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5"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分析" sheetId="84" r:id="rId51"/>
    <sheet name="模拟测算" sheetId="86" state="hidden" r:id="rId52"/>
    <sheet name="现金流量" sheetId="87" state="hidden" r:id="rId53"/>
  </sheets>
  <externalReferences>
    <externalReference r:id="rId54"/>
    <externalReference r:id="rId55"/>
    <externalReference r:id="rId56"/>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52">现金流量!$A$1:$AQ$82</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2" i="15" l="1"/>
  <c r="AJ20" i="1"/>
  <c r="Y29" i="1"/>
  <c r="Y28" i="1"/>
  <c r="N14" i="1"/>
  <c r="L14" i="1"/>
  <c r="AF8" i="1"/>
  <c r="AF7" i="1"/>
  <c r="AF6" i="1"/>
  <c r="C38" i="39" l="1"/>
  <c r="AH8" i="1"/>
  <c r="C66" i="9"/>
  <c r="C75"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M47" i="77"/>
  <c r="L49" i="77"/>
  <c r="L48" i="77"/>
  <c r="L47" i="7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L8" i="1"/>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C15" i="74"/>
  <c r="B15" i="74"/>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D15" i="74"/>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G15" i="74"/>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D70" i="39"/>
  <c r="E70" i="39" s="1"/>
  <c r="F70" i="39" s="1"/>
  <c r="G70" i="39" s="1"/>
  <c r="H70" i="39" s="1"/>
  <c r="I70" i="39" s="1"/>
  <c r="J70" i="39" s="1"/>
  <c r="K70" i="39" s="1"/>
  <c r="L70" i="39" s="1"/>
  <c r="M70" i="39" s="1"/>
  <c r="N70" i="39" s="1"/>
  <c r="O70" i="39" s="1"/>
  <c r="I46" i="39"/>
  <c r="G46" i="39"/>
  <c r="E46" i="39"/>
  <c r="I38" i="39"/>
  <c r="G38" i="39"/>
  <c r="E38" i="39"/>
  <c r="I11" i="39"/>
  <c r="G11" i="39"/>
  <c r="E11" i="39"/>
  <c r="I7" i="39"/>
  <c r="G7" i="39"/>
  <c r="E7" i="39"/>
  <c r="I5" i="39"/>
  <c r="G5" i="39"/>
  <c r="E5" i="39"/>
  <c r="C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AL7" i="1"/>
  <c r="AL8" i="1" s="1"/>
  <c r="J8" i="1"/>
  <c r="J7" i="1"/>
  <c r="F13" i="4"/>
  <c r="C16" i="3"/>
  <c r="C13" i="3"/>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L92" i="87" l="1"/>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J49" i="15"/>
  <c r="B35" i="1"/>
  <c r="B21" i="1"/>
  <c r="N19" i="1"/>
  <c r="N21" i="1" s="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N6" i="1"/>
  <c r="D3" i="4"/>
  <c r="AO37" i="87" l="1"/>
  <c r="AO28" i="87" s="1"/>
  <c r="AP33" i="87"/>
  <c r="AP35" i="87" s="1"/>
  <c r="AP36" i="87" s="1"/>
  <c r="AP17" i="87"/>
  <c r="AO91" i="87"/>
  <c r="AO16" i="87"/>
  <c r="AS17" i="87"/>
  <c r="AS12" i="87"/>
  <c r="AQ33" i="87"/>
  <c r="AQ35" i="87" s="1"/>
  <c r="AQ36" i="87" s="1"/>
  <c r="AQ17" i="87"/>
  <c r="AQ16" i="87" s="1"/>
  <c r="N8" i="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AP92" i="87" l="1"/>
  <c r="AP27" i="87"/>
  <c r="AR27" i="87" s="1"/>
  <c r="AR28" i="87"/>
  <c r="AR16" i="87"/>
  <c r="P28" i="79"/>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BD5" i="3"/>
  <c r="G21" i="6" s="1"/>
  <c r="E21" i="6" s="1"/>
  <c r="K8" i="1" s="1"/>
  <c r="M8" i="1" s="1"/>
  <c r="AZ333" i="3"/>
  <c r="BQ5" i="3"/>
  <c r="F28" i="6" s="1"/>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K6" i="1" s="1"/>
  <c r="AP6" i="1"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J51" i="67"/>
  <c r="C42" i="1"/>
  <c r="C24" i="12" s="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A27"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15"/>
  <c r="B7" i="76"/>
  <c r="M8" i="15"/>
  <c r="J15" i="15"/>
  <c r="F37" i="15"/>
  <c r="B13" i="76"/>
  <c r="F20" i="31"/>
  <c r="B11" i="76"/>
  <c r="F6" i="73"/>
  <c r="M28" i="67"/>
  <c r="D4" i="73"/>
  <c r="M23" i="67"/>
  <c r="M9" i="15"/>
  <c r="F16" i="67"/>
  <c r="M24" i="67"/>
  <c r="F5" i="73"/>
  <c r="F26" i="67"/>
  <c r="F6" i="67"/>
  <c r="M28" i="15"/>
  <c r="E11" i="76"/>
  <c r="L48" i="15"/>
  <c r="B9" i="76"/>
  <c r="E12" i="76"/>
  <c r="F7" i="73"/>
  <c r="F43" i="15"/>
  <c r="D5" i="73"/>
  <c r="F13" i="15"/>
  <c r="M22" i="67"/>
  <c r="F40" i="15"/>
  <c r="E2" i="68"/>
  <c r="F3" i="73"/>
  <c r="F7" i="15"/>
  <c r="F9" i="15"/>
  <c r="F13" i="67"/>
  <c r="B8" i="76"/>
  <c r="F40" i="67"/>
  <c r="E8" i="76"/>
  <c r="B12" i="76"/>
  <c r="D7" i="73"/>
  <c r="F37" i="67"/>
  <c r="AO13" i="1"/>
  <c r="M23" i="15"/>
  <c r="F4" i="73"/>
  <c r="E10" i="76"/>
  <c r="M6" i="15"/>
  <c r="E9" i="76"/>
  <c r="F16" i="15"/>
  <c r="B10" i="76"/>
  <c r="E2" i="69"/>
  <c r="F36" i="67"/>
  <c r="C76" i="67"/>
  <c r="E13" i="76"/>
  <c r="E7" i="76"/>
  <c r="D3" i="73"/>
  <c r="D6" i="73"/>
  <c r="D93" i="9" l="1"/>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G6" i="1"/>
  <c r="I24" i="43"/>
  <c r="F11" i="1"/>
  <c r="G11" i="1" s="1"/>
  <c r="G44" i="43"/>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K7" i="1"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C16" i="15"/>
  <c r="F9" i="67"/>
  <c r="M9" i="67"/>
  <c r="F38" i="15"/>
  <c r="J15" i="67"/>
  <c r="M29" i="15"/>
  <c r="L47" i="15"/>
  <c r="M6" i="67"/>
  <c r="F36" i="15"/>
  <c r="F8" i="15"/>
  <c r="F6" i="15"/>
  <c r="F42" i="15"/>
  <c r="F26" i="15"/>
  <c r="M26" i="15"/>
  <c r="F38" i="67"/>
  <c r="L47" i="67"/>
  <c r="L48" i="67"/>
  <c r="F8" i="67"/>
  <c r="M26" i="67"/>
  <c r="M8" i="67"/>
  <c r="M22" i="15"/>
  <c r="F42" i="67"/>
  <c r="F43" i="67"/>
  <c r="G1" i="73"/>
  <c r="C76" i="15"/>
  <c r="F7" i="67"/>
  <c r="M29" i="67"/>
  <c r="M7" i="1" l="1"/>
  <c r="O7" i="1" s="1"/>
  <c r="P7" i="1" s="1"/>
  <c r="U20" i="1"/>
  <c r="U21" i="1" s="1"/>
  <c r="C48" i="68"/>
  <c r="C30" i="69"/>
  <c r="K16" i="1"/>
  <c r="Q16" i="1"/>
  <c r="F27" i="69" s="1"/>
  <c r="F45" i="69" s="1"/>
  <c r="C31" i="12"/>
  <c r="AA25" i="37"/>
  <c r="S25" i="37"/>
  <c r="U12" i="36"/>
  <c r="AB12" i="36"/>
  <c r="U23" i="35"/>
  <c r="AB23" i="35"/>
  <c r="U16" i="71"/>
  <c r="M23" i="43"/>
  <c r="BL5" i="3"/>
  <c r="G5" i="3"/>
  <c r="B3" i="3" s="1"/>
  <c r="E32" i="3" s="1"/>
  <c r="G16" i="1"/>
  <c r="F10" i="39" s="1"/>
  <c r="C44" i="71"/>
  <c r="D43" i="71"/>
  <c r="D63" i="71"/>
  <c r="C64" i="71"/>
  <c r="AZ469" i="3"/>
  <c r="AZ422" i="3"/>
  <c r="AA23" i="36"/>
  <c r="S23" i="36"/>
  <c r="S12" i="35"/>
  <c r="AA12" i="35"/>
  <c r="BA5" i="3"/>
  <c r="E27" i="6" s="1"/>
  <c r="K26" i="6" s="1"/>
  <c r="M26" i="6" s="1"/>
  <c r="I26" i="6" s="1"/>
  <c r="S26" i="6" s="1"/>
  <c r="AC23" i="35"/>
  <c r="W23" i="35"/>
  <c r="M11" i="83"/>
  <c r="F11" i="83"/>
  <c r="M11" i="82"/>
  <c r="F11" i="82"/>
  <c r="E166" i="3"/>
  <c r="E551" i="3"/>
  <c r="E496" i="3"/>
  <c r="E153" i="3"/>
  <c r="E169" i="3"/>
  <c r="E210" i="3"/>
  <c r="E477" i="3"/>
  <c r="E549" i="3"/>
  <c r="E406" i="3"/>
  <c r="E257" i="3"/>
  <c r="E288" i="3"/>
  <c r="E306"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D33" i="43" s="1"/>
  <c r="D1" i="43"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AE12" i="1"/>
  <c r="AE10" i="1"/>
  <c r="F6" i="83"/>
  <c r="M29" i="82"/>
  <c r="F41" i="67"/>
  <c r="M24" i="82"/>
  <c r="L47" i="82"/>
  <c r="F38" i="82"/>
  <c r="F8" i="83"/>
  <c r="F37" i="82"/>
  <c r="F16" i="83"/>
  <c r="F8" i="82"/>
  <c r="M9" i="82"/>
  <c r="F13" i="82"/>
  <c r="F42" i="83"/>
  <c r="J15" i="82"/>
  <c r="M26" i="83"/>
  <c r="F38" i="83"/>
  <c r="C16" i="67"/>
  <c r="F7" i="82"/>
  <c r="F43" i="83"/>
  <c r="M24" i="83"/>
  <c r="F37" i="83"/>
  <c r="M8" i="83"/>
  <c r="M29" i="83"/>
  <c r="M26" i="82"/>
  <c r="F6" i="82"/>
  <c r="L48" i="82"/>
  <c r="M28" i="82"/>
  <c r="J15" i="83"/>
  <c r="L47" i="83"/>
  <c r="C76" i="82"/>
  <c r="AE6" i="1"/>
  <c r="F16" i="82"/>
  <c r="F9" i="82"/>
  <c r="F13" i="83"/>
  <c r="M9" i="83"/>
  <c r="M6" i="83"/>
  <c r="F42" i="82"/>
  <c r="M8" i="82"/>
  <c r="F36" i="83"/>
  <c r="F40" i="83"/>
  <c r="F40" i="82"/>
  <c r="L48" i="83"/>
  <c r="M6" i="82"/>
  <c r="M23" i="83"/>
  <c r="F26" i="83"/>
  <c r="F7" i="83"/>
  <c r="F43" i="82"/>
  <c r="M22" i="83"/>
  <c r="M22" i="82"/>
  <c r="M28" i="83"/>
  <c r="F36" i="82"/>
  <c r="C76" i="83"/>
  <c r="F26" i="82"/>
  <c r="M23" i="82"/>
  <c r="F9" i="83"/>
  <c r="E122" i="3" l="1"/>
  <c r="E532" i="3"/>
  <c r="E475" i="3"/>
  <c r="E545" i="3"/>
  <c r="E171" i="3"/>
  <c r="E585" i="3"/>
  <c r="E447" i="3"/>
  <c r="E441" i="3"/>
  <c r="E390" i="3"/>
  <c r="E531" i="3"/>
  <c r="E415" i="3"/>
  <c r="E239" i="3"/>
  <c r="M48" i="77"/>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C29" i="69"/>
  <c r="D27" i="69" s="1"/>
  <c r="C47" i="69"/>
  <c r="D45" i="69"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Q71" i="83"/>
  <c r="C6" i="82"/>
  <c r="C10" i="82" s="1"/>
  <c r="C5" i="82" s="1"/>
  <c r="F64" i="82"/>
  <c r="F65" i="82"/>
  <c r="N59" i="82"/>
  <c r="L58" i="82"/>
  <c r="L59" i="82"/>
  <c r="M59" i="82"/>
  <c r="Q71" i="82"/>
  <c r="F51" i="82"/>
  <c r="F64" i="83"/>
  <c r="J6" i="83"/>
  <c r="J10" i="83" s="1"/>
  <c r="J5" i="83" s="1"/>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16" i="83"/>
  <c r="C17" i="83"/>
  <c r="C16" i="82"/>
  <c r="M27" i="67"/>
  <c r="M27" i="15"/>
  <c r="F41" i="15"/>
  <c r="C29" i="68" l="1"/>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82"/>
  <c r="AE8" i="1"/>
  <c r="C14" i="83"/>
  <c r="C17" i="15"/>
  <c r="C17" i="67"/>
  <c r="AE7" i="1"/>
  <c r="AG8" i="1" l="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7" i="82"/>
  <c r="M27" i="83"/>
  <c r="F41" i="82"/>
  <c r="M21" i="83"/>
  <c r="C14" i="82"/>
  <c r="F35" i="83"/>
  <c r="F41" i="83"/>
  <c r="C14" i="15"/>
  <c r="F69" i="82" l="1"/>
  <c r="F69" i="83"/>
  <c r="C60" i="83"/>
  <c r="C66" i="83"/>
  <c r="C66" i="82"/>
  <c r="C60" i="82"/>
  <c r="D8" i="74"/>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7" i="21" l="1"/>
  <c r="C59" i="83"/>
  <c r="H26" i="43"/>
  <c r="G26" i="43"/>
  <c r="F26" i="43"/>
  <c r="N94" i="46"/>
  <c r="J26" i="43"/>
  <c r="Z7" i="43"/>
  <c r="N370" i="46"/>
  <c r="E26" i="43"/>
  <c r="B116" i="43"/>
  <c r="J7" i="2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F35" i="15"/>
  <c r="F35" i="82"/>
  <c r="M21" i="82"/>
  <c r="F35" i="67"/>
  <c r="M21" i="67"/>
  <c r="C118" i="43" l="1"/>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E6" i="76"/>
  <c r="E2" i="76" l="1"/>
  <c r="B2" i="43"/>
  <c r="J16" i="83"/>
  <c r="J25" i="83" s="1"/>
  <c r="J26" i="83" s="1"/>
  <c r="J29" i="83" s="1"/>
  <c r="Q67" i="83"/>
  <c r="C71" i="83"/>
  <c r="Q70" i="82"/>
  <c r="C37" i="82"/>
  <c r="C30" i="82" s="1"/>
  <c r="C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L51" i="82"/>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1" i="1"/>
  <c r="AO9" i="1"/>
  <c r="AO12"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B2" i="70"/>
  <c r="B3" i="70" s="1"/>
  <c r="C42" i="40"/>
  <c r="C43" i="40"/>
  <c r="E47" i="40"/>
  <c r="F47" i="40" s="1"/>
  <c r="E46" i="40"/>
  <c r="F46" i="40" s="1"/>
  <c r="I47" i="40"/>
  <c r="J47" i="40" s="1"/>
  <c r="D19" i="9"/>
  <c r="D20" i="9"/>
  <c r="L26" i="9" l="1"/>
  <c r="B3" i="39"/>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H111" i="9"/>
  <c r="D19" i="53" s="1"/>
  <c r="B38" i="72" s="1"/>
  <c r="H112" i="9"/>
  <c r="D21" i="53" s="1"/>
  <c r="B39" i="72" s="1"/>
  <c r="C28" i="68" l="1"/>
  <c r="C27" i="68" s="1"/>
  <c r="C25" i="68"/>
  <c r="C22" i="68" s="1"/>
  <c r="D126" i="9"/>
  <c r="D12" i="52" s="1"/>
  <c r="C8" i="74"/>
  <c r="D20" i="53"/>
  <c r="B40" i="72" s="1"/>
  <c r="D127" i="9" l="1"/>
  <c r="D13" i="52" s="1"/>
  <c r="C31" i="68"/>
  <c r="C52" i="68" s="1"/>
  <c r="B2" i="68" s="1"/>
  <c r="C19" i="9"/>
  <c r="C57" i="68" l="1"/>
  <c r="C56" i="68" s="1"/>
  <c r="C21" i="9"/>
  <c r="C102" i="9"/>
  <c r="G19" i="9"/>
  <c r="D22" i="9"/>
  <c r="B3" i="68"/>
  <c r="C20" i="9"/>
  <c r="D34" i="9"/>
  <c r="D35" i="9"/>
  <c r="M23" i="9" l="1"/>
  <c r="N23" i="9" s="1"/>
  <c r="M25" i="9"/>
  <c r="N25" i="9" s="1"/>
  <c r="M24" i="9"/>
  <c r="N24" i="9" s="1"/>
  <c r="C103" i="9"/>
  <c r="G20" i="9"/>
  <c r="C32" i="9"/>
  <c r="G21" i="9"/>
  <c r="D59" i="9"/>
  <c r="M55" i="9" s="1"/>
  <c r="C35" i="9" l="1"/>
  <c r="H118" i="9"/>
  <c r="H4" i="52" l="1"/>
  <c r="H101" i="9"/>
  <c r="D45" i="9" s="1"/>
  <c r="M48" i="9" s="1"/>
  <c r="M49" i="9" s="1"/>
  <c r="H119" i="9"/>
  <c r="H5" i="52" s="1"/>
  <c r="C104" i="9"/>
  <c r="D14" i="74"/>
  <c r="I118" i="9"/>
  <c r="C34" i="9"/>
  <c r="D118" i="9" s="1"/>
  <c r="F118" i="9"/>
  <c r="D4" i="52" l="1"/>
  <c r="B47" i="72" s="1"/>
  <c r="D119" i="9"/>
  <c r="D5" i="52" s="1"/>
  <c r="B49" i="72" s="1"/>
  <c r="G14" i="74"/>
  <c r="B6" i="74" s="1"/>
  <c r="D6" i="74" s="1"/>
  <c r="E14" i="74"/>
  <c r="F14" i="74"/>
  <c r="B5" i="74"/>
  <c r="F4" i="52"/>
  <c r="B51" i="72" s="1"/>
  <c r="G118" i="9"/>
  <c r="G4" i="52" s="1"/>
  <c r="B52" i="72" s="1"/>
  <c r="F119" i="9"/>
  <c r="F5" i="52" s="1"/>
  <c r="B53" i="72" s="1"/>
  <c r="C105" i="9"/>
  <c r="I4" i="52"/>
  <c r="H102" i="9"/>
  <c r="D7" i="53" s="1"/>
  <c r="B21" i="72" s="1"/>
  <c r="H107" i="9"/>
  <c r="D5" i="53"/>
  <c r="E118" i="9" l="1"/>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<sst xmlns="http://schemas.openxmlformats.org/spreadsheetml/2006/main" count="9793" uniqueCount="3944">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</sst>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0013;&#39567;&#37329;&#36745;&#26410;&#26469;&#20113;&#22478;(09)-&#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土地案例"/>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72778.28</v>
          </cell>
          <cell r="C14">
            <v>0</v>
          </cell>
          <cell r="D14">
            <v>154552</v>
          </cell>
          <cell r="G14">
            <v>154552</v>
          </cell>
        </row>
      </sheetData>
      <sheetData sheetId="18">
        <row r="101">
          <cell r="H101">
            <v>154552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估价对象为北京市房地产，为所有。根据《国有土地使用证》[]，估价对象（分摊）出让国有建设用地使用权面积为0平方米，建筑面积为35356.13平方米。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估价对象为北京市房地产,属开发建设的，该项目尚在开发建设中。根据《国有土地使用证》[]，估价对象（分摊）出让国有建设用地使用权面积为0平方米，规划建筑面积为35356.13平方米。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85470</v>
      </c>
    </row>
    <row r="21" spans="1:2" s="1201" customFormat="1">
      <c r="A21" s="1199" t="s">
        <v>537</v>
      </c>
      <c r="B21" s="1200">
        <f ca="1">'预评函-2'!D7</f>
        <v>24174</v>
      </c>
    </row>
    <row r="22" spans="1:2" s="1201" customFormat="1">
      <c r="A22" s="1199" t="s">
        <v>538</v>
      </c>
      <c r="B22" s="1200" t="str">
        <f ca="1">'预评函-2'!D6</f>
        <v>捌亿伍仟肆佰柒拾万元整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85470</v>
      </c>
    </row>
    <row r="31" spans="1:2" s="1201" customFormat="1">
      <c r="A31" s="1199" t="s">
        <v>576</v>
      </c>
      <c r="B31" s="1200">
        <f ca="1">'预评函-2'!D15</f>
        <v>24174</v>
      </c>
    </row>
    <row r="32" spans="1:2" s="1201" customFormat="1">
      <c r="A32" s="1199" t="s">
        <v>543</v>
      </c>
      <c r="B32" s="1200" t="str">
        <f ca="1">'预评函-2'!D14</f>
        <v>捌亿伍仟肆佰柒拾万元整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35356.130000000005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58291</v>
      </c>
    </row>
    <row r="48" spans="1:2" s="1201" customFormat="1">
      <c r="A48" s="1199" t="s">
        <v>549</v>
      </c>
      <c r="B48" s="1200">
        <f ca="1">'预评函-3'!E4</f>
        <v>16487</v>
      </c>
    </row>
    <row r="49" spans="1:2" s="1201" customFormat="1">
      <c r="A49" s="1199" t="s">
        <v>550</v>
      </c>
      <c r="B49" s="1200" t="str">
        <f ca="1">'预评函-3'!D5</f>
        <v>伍亿捌仟贰佰玖拾壹万元整</v>
      </c>
    </row>
    <row r="50" spans="1:2" s="1201" customFormat="1">
      <c r="A50" s="1199" t="s">
        <v>574</v>
      </c>
      <c r="B50" s="1200" t="str">
        <f>'预评函-3'!F2</f>
        <v>在建建筑物价值</v>
      </c>
    </row>
    <row r="51" spans="1:2" s="1201" customFormat="1">
      <c r="A51" s="1199" t="s">
        <v>551</v>
      </c>
      <c r="B51" s="1200">
        <f ca="1">'预评函-3'!F4</f>
        <v>27179</v>
      </c>
    </row>
    <row r="52" spans="1:2" s="1201" customFormat="1">
      <c r="A52" s="1199" t="s">
        <v>552</v>
      </c>
      <c r="B52" s="1200">
        <f ca="1">'预评函-3'!G4</f>
        <v>7687</v>
      </c>
    </row>
    <row r="53" spans="1:2" s="1201" customFormat="1">
      <c r="A53" s="1199" t="s">
        <v>580</v>
      </c>
      <c r="B53" s="1200" t="str">
        <f ca="1">'预评函-3'!F5</f>
        <v>贰亿柒仟壹佰柒拾玖万元整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2572</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2573</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3453</v>
      </c>
      <c r="C19" s="1545"/>
    </row>
    <row r="20" spans="1:3">
      <c r="A20" s="1544" t="s">
        <v>1048</v>
      </c>
      <c r="B20" s="1544" t="s">
        <v>3455</v>
      </c>
      <c r="C20" s="1545"/>
    </row>
    <row r="21" spans="1:3">
      <c r="A21" s="1544" t="s">
        <v>1049</v>
      </c>
      <c r="B21" s="1544" t="s">
        <v>3457</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2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1552" t="s">
        <v>385</v>
      </c>
      <c r="C54" s="1549" t="s">
        <v>583</v>
      </c>
    </row>
    <row r="55" spans="1:4">
      <c r="A55" s="3622"/>
      <c r="B55" s="1552" t="s">
        <v>386</v>
      </c>
      <c r="C55" s="1549" t="s">
        <v>584</v>
      </c>
    </row>
    <row r="56" spans="1:4">
      <c r="A56" s="3622"/>
      <c r="B56" s="1552" t="s">
        <v>387</v>
      </c>
      <c r="C56" s="1549" t="s">
        <v>588</v>
      </c>
    </row>
    <row r="57" spans="1:4">
      <c r="A57" s="362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2495</v>
      </c>
      <c r="B1" s="3004"/>
      <c r="C1" s="3004"/>
      <c r="D1" s="3004"/>
      <c r="E1" s="3004"/>
      <c r="F1" s="3005"/>
      <c r="I1" s="3426" t="s">
        <v>2588</v>
      </c>
      <c r="J1" s="3216"/>
      <c r="K1" s="3216"/>
      <c r="L1" s="3216"/>
      <c r="M1" s="3216"/>
      <c r="N1" s="3427"/>
      <c r="O1" s="3427"/>
      <c r="P1" s="3427"/>
      <c r="Q1" s="3427"/>
      <c r="R1" s="3427"/>
    </row>
    <row r="2" spans="1:18">
      <c r="A2" s="3007"/>
      <c r="B2" s="3008"/>
      <c r="C2" s="3008"/>
      <c r="D2" s="3008"/>
      <c r="E2" s="3008"/>
      <c r="F2" s="3009"/>
      <c r="I2" s="3623" t="s">
        <v>2575</v>
      </c>
      <c r="J2" s="3623"/>
      <c r="K2" s="3623"/>
      <c r="L2" s="3623"/>
      <c r="M2" s="3623"/>
      <c r="N2" s="3623"/>
      <c r="O2" s="3623"/>
      <c r="P2" s="3623"/>
      <c r="Q2" s="3623"/>
      <c r="R2" s="3623"/>
    </row>
    <row r="3" spans="1:18">
      <c r="A3" s="3010" t="s">
        <v>2496</v>
      </c>
      <c r="B3" s="3011">
        <f>项目基本情况!D3</f>
        <v>45160</v>
      </c>
      <c r="C3" s="3013"/>
      <c r="D3" s="3013"/>
      <c r="E3" s="3013"/>
      <c r="F3" s="3009"/>
      <c r="I3" s="3428"/>
      <c r="J3" s="3428" t="s">
        <v>2579</v>
      </c>
      <c r="K3" s="3428" t="s">
        <v>2580</v>
      </c>
      <c r="L3" s="3428" t="s">
        <v>2581</v>
      </c>
      <c r="M3" s="3428" t="s">
        <v>2582</v>
      </c>
      <c r="N3" s="3429" t="s">
        <v>2583</v>
      </c>
      <c r="O3" s="3429" t="s">
        <v>2584</v>
      </c>
      <c r="P3" s="3429" t="s">
        <v>2585</v>
      </c>
      <c r="Q3" s="3429" t="s">
        <v>2586</v>
      </c>
      <c r="R3" s="3429" t="s">
        <v>2587</v>
      </c>
    </row>
    <row r="4" spans="1:18">
      <c r="A4" s="3010" t="s">
        <v>2497</v>
      </c>
      <c r="B4" s="3013" t="s">
        <v>2498</v>
      </c>
      <c r="C4" s="3013" t="s">
        <v>2499</v>
      </c>
      <c r="D4" s="3013" t="s">
        <v>2500</v>
      </c>
      <c r="E4" s="3013" t="s">
        <v>2501</v>
      </c>
      <c r="F4" s="3009"/>
      <c r="I4" s="3428" t="s">
        <v>2576</v>
      </c>
      <c r="J4" s="3428">
        <v>80</v>
      </c>
      <c r="K4" s="3428">
        <v>70</v>
      </c>
      <c r="L4" s="3428">
        <v>20</v>
      </c>
      <c r="M4" s="3428">
        <v>30</v>
      </c>
      <c r="N4" s="3013">
        <v>45</v>
      </c>
      <c r="O4" s="3013">
        <v>60</v>
      </c>
      <c r="P4" s="3013">
        <v>50</v>
      </c>
      <c r="Q4" s="3013">
        <v>20</v>
      </c>
      <c r="R4" s="3013">
        <v>375</v>
      </c>
    </row>
    <row r="5" spans="1:18">
      <c r="A5" s="3014">
        <v>40</v>
      </c>
      <c r="B5" s="3011">
        <v>46375</v>
      </c>
      <c r="C5" s="3013">
        <f>ROUNDDOWN(MIN((B5-B3)/365,A5),2)</f>
        <v>3.32</v>
      </c>
      <c r="D5" s="3015">
        <f>IF(ISERROR(ROUND(POWER(1+E5,A5-C5)*(POWER(1+E5,C5)-1)/(POWER(1+E5,A5)-1),3)),0,ROUND(POWER(1+E5,A5-C5)*(POWER(1+E5,C5)-1)/(POWER(1+E5,A5)-1),4))</f>
        <v>0.1542</v>
      </c>
      <c r="E5" s="3016">
        <v>0.04</v>
      </c>
      <c r="F5" s="3009"/>
      <c r="I5" s="3428" t="s">
        <v>2577</v>
      </c>
      <c r="J5" s="3428">
        <v>70</v>
      </c>
      <c r="K5" s="3428">
        <v>60</v>
      </c>
      <c r="L5" s="3428">
        <v>15</v>
      </c>
      <c r="M5" s="3428">
        <v>25</v>
      </c>
      <c r="N5" s="3013">
        <v>40</v>
      </c>
      <c r="O5" s="3013">
        <v>50</v>
      </c>
      <c r="P5" s="3013">
        <v>40</v>
      </c>
      <c r="Q5" s="3013">
        <v>15</v>
      </c>
      <c r="R5" s="3013">
        <v>315</v>
      </c>
    </row>
    <row r="6" spans="1:18">
      <c r="A6" s="3014">
        <v>50</v>
      </c>
      <c r="B6" s="3011">
        <v>50028</v>
      </c>
      <c r="C6" s="3013">
        <f>ROUNDDOWN(MIN((B6-B3)/365,A6),2)</f>
        <v>13.33</v>
      </c>
      <c r="D6" s="3015">
        <f>IF(ISERROR(ROUND(POWER(1+E6,A6-C6)*(POWER(1+E6,C6)-1)/(POWER(1+E6,A6)-1),3)),0,ROUND(POWER(1+E6,A6-C6)*(POWER(1+E6,C6)-1)/(POWER(1+E6,A6)-1),4))</f>
        <v>0.4738</v>
      </c>
      <c r="E6" s="3016">
        <v>0.04</v>
      </c>
      <c r="F6" s="3009"/>
      <c r="I6" s="3428" t="s">
        <v>2578</v>
      </c>
      <c r="J6" s="3428">
        <v>60</v>
      </c>
      <c r="K6" s="3428">
        <v>50</v>
      </c>
      <c r="L6" s="3428">
        <v>10</v>
      </c>
      <c r="M6" s="3428">
        <v>20</v>
      </c>
      <c r="N6" s="3013">
        <v>35</v>
      </c>
      <c r="O6" s="3013">
        <v>40</v>
      </c>
      <c r="P6" s="3013">
        <v>30</v>
      </c>
      <c r="Q6" s="3013">
        <v>10</v>
      </c>
      <c r="R6" s="3013">
        <v>255</v>
      </c>
    </row>
    <row r="7" spans="1:18">
      <c r="A7" s="3014">
        <v>70</v>
      </c>
      <c r="B7" s="3011">
        <v>57333</v>
      </c>
      <c r="C7" s="3013">
        <f>ROUNDDOWN(MIN((B7-B3)/365,A7),2)</f>
        <v>33.35</v>
      </c>
      <c r="D7" s="3015">
        <f>IF(ISERROR(ROUND(POWER(1+E7,A7-C7)*(POWER(1+E7,C7)-1)/(POWER(1+E7,A7)-1),3)),0,ROUND(POWER(1+E7,A7-C7)*(POWER(1+E7,C7)-1)/(POWER(1+E7,A7)-1),4))</f>
        <v>0.77969999999999995</v>
      </c>
      <c r="E7" s="3016">
        <v>0.04</v>
      </c>
      <c r="F7" s="3009"/>
    </row>
    <row r="8" spans="1:18">
      <c r="A8" s="3007"/>
      <c r="B8" s="3008"/>
      <c r="C8" s="3008"/>
      <c r="D8" s="3008"/>
      <c r="E8" s="3008"/>
      <c r="F8" s="3009"/>
    </row>
    <row r="9" spans="1:18">
      <c r="A9" s="3010" t="s">
        <v>2502</v>
      </c>
      <c r="B9" s="3013"/>
      <c r="C9" s="3013"/>
      <c r="D9" s="3013"/>
      <c r="E9" s="3013"/>
      <c r="F9" s="3017"/>
    </row>
    <row r="10" spans="1:18">
      <c r="A10" s="3010" t="s">
        <v>2503</v>
      </c>
      <c r="B10" s="3013"/>
      <c r="C10" s="3013"/>
      <c r="D10" s="3013" t="s">
        <v>2501</v>
      </c>
      <c r="E10" s="3013"/>
      <c r="F10" s="3017" t="s">
        <v>2500</v>
      </c>
    </row>
    <row r="11" spans="1:18">
      <c r="A11" s="3010" t="s">
        <v>2504</v>
      </c>
      <c r="B11" s="3018">
        <v>70</v>
      </c>
      <c r="C11" s="3013" t="s">
        <v>2505</v>
      </c>
      <c r="D11" s="3019">
        <v>4.4999999999999998E-2</v>
      </c>
      <c r="E11" s="3013" t="s">
        <v>2506</v>
      </c>
      <c r="F11" s="3020">
        <f>ROUND(1-(1/(POWER(1+D11,B11))),4)</f>
        <v>0.95409999999999995</v>
      </c>
    </row>
    <row r="12" spans="1:18">
      <c r="A12" s="3010" t="s">
        <v>2507</v>
      </c>
      <c r="B12" s="3018">
        <v>40</v>
      </c>
      <c r="C12" s="3013" t="s">
        <v>2508</v>
      </c>
      <c r="D12" s="3019">
        <v>4.4999999999999998E-2</v>
      </c>
      <c r="E12" s="3013" t="s">
        <v>2509</v>
      </c>
      <c r="F12" s="3020">
        <f>ROUND(1-(1/(POWER(1+D12,B12))),4)</f>
        <v>0.82809999999999995</v>
      </c>
    </row>
    <row r="13" spans="1:18">
      <c r="A13" s="3010" t="s">
        <v>2510</v>
      </c>
      <c r="B13" s="3013"/>
      <c r="C13" s="3013"/>
      <c r="D13" s="3008"/>
      <c r="E13" s="3008"/>
      <c r="F13" s="3009"/>
    </row>
    <row r="14" spans="1:18">
      <c r="A14" s="3010" t="s">
        <v>2511</v>
      </c>
      <c r="B14" s="3018">
        <v>5000</v>
      </c>
      <c r="C14" s="3012"/>
      <c r="D14" s="3008"/>
      <c r="E14" s="3008"/>
      <c r="F14" s="3009"/>
    </row>
    <row r="15" spans="1:18">
      <c r="A15" s="3010" t="s">
        <v>2512</v>
      </c>
      <c r="B15" s="3013">
        <f>ROUND(B14*F12/F11,2)</f>
        <v>4339.6899999999996</v>
      </c>
      <c r="C15" s="3013">
        <f>ROUND(F12/F11,4)</f>
        <v>0.8679</v>
      </c>
      <c r="D15" s="3008"/>
      <c r="E15" s="3008"/>
      <c r="F15" s="3009"/>
    </row>
    <row r="16" spans="1:18">
      <c r="A16" s="3010" t="s">
        <v>2513</v>
      </c>
      <c r="B16" s="3013"/>
      <c r="C16" s="3013"/>
      <c r="D16" s="3008"/>
      <c r="E16" s="3008"/>
      <c r="F16" s="3009"/>
    </row>
    <row r="17" spans="1:13">
      <c r="A17" s="3010" t="s">
        <v>2512</v>
      </c>
      <c r="B17" s="3019">
        <v>4810</v>
      </c>
      <c r="C17" s="3012"/>
      <c r="D17" s="3008"/>
      <c r="E17" s="3008"/>
      <c r="F17" s="3009"/>
    </row>
    <row r="18" spans="1:13" ht="14.25" thickBot="1">
      <c r="A18" s="3021" t="s">
        <v>2511</v>
      </c>
      <c r="B18" s="3022">
        <f>ROUND(B17*F11/F12,2)</f>
        <v>5541.87</v>
      </c>
      <c r="C18" s="3022">
        <f>ROUND(F11/F12,4)</f>
        <v>1.1521999999999999</v>
      </c>
      <c r="D18" s="3023"/>
      <c r="E18" s="3023"/>
      <c r="F18" s="3024"/>
    </row>
    <row r="19" spans="1:13" ht="14.25" thickBot="1"/>
    <row r="20" spans="1:13" s="3059" customFormat="1" ht="14.25" thickTop="1">
      <c r="A20" s="3056" t="s">
        <v>2514</v>
      </c>
      <c r="B20" s="3057"/>
      <c r="C20" s="3057"/>
      <c r="D20" s="3057"/>
      <c r="E20" s="3057"/>
      <c r="F20" s="3057"/>
      <c r="G20" s="3058"/>
      <c r="I20" s="3060" t="s">
        <v>2559</v>
      </c>
      <c r="J20" s="3060" t="s">
        <v>2564</v>
      </c>
      <c r="K20" s="3060"/>
      <c r="L20" s="3060"/>
      <c r="M20" s="3060"/>
    </row>
    <row r="21" spans="1:13">
      <c r="A21" s="3025"/>
      <c r="B21" s="3026" t="s">
        <v>2515</v>
      </c>
      <c r="C21" s="3026" t="s">
        <v>2516</v>
      </c>
      <c r="D21" s="3026" t="s">
        <v>2517</v>
      </c>
      <c r="E21" s="3026" t="s">
        <v>2518</v>
      </c>
      <c r="F21" s="3026" t="s">
        <v>2519</v>
      </c>
      <c r="G21" s="3027" t="s">
        <v>2520</v>
      </c>
      <c r="I21" s="3048">
        <v>5</v>
      </c>
      <c r="J21" s="3048">
        <v>54.2</v>
      </c>
    </row>
    <row r="22" spans="1:13">
      <c r="A22" s="3025" t="s">
        <v>2521</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2522</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2562</v>
      </c>
      <c r="M23" s="3048" t="s">
        <v>2563</v>
      </c>
    </row>
    <row r="24" spans="1:13">
      <c r="A24" s="3025" t="s">
        <v>2523</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2561</v>
      </c>
      <c r="M24" s="3048">
        <v>10</v>
      </c>
    </row>
    <row r="25" spans="1:13">
      <c r="A25" s="3025" t="s">
        <v>2524</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2565</v>
      </c>
      <c r="M25" s="3048">
        <v>8</v>
      </c>
    </row>
    <row r="26" spans="1:13">
      <c r="A26" s="3030"/>
      <c r="B26" s="3031"/>
      <c r="C26" s="3031"/>
      <c r="D26" s="3031"/>
      <c r="E26" s="3031"/>
      <c r="F26" s="3031"/>
      <c r="G26" s="3032"/>
      <c r="I26" s="3048">
        <v>30</v>
      </c>
      <c r="J26" s="3048">
        <v>90.5</v>
      </c>
      <c r="K26" s="3048">
        <f t="shared" si="2"/>
        <v>4.2000000000000028</v>
      </c>
      <c r="L26" s="3048" t="s">
        <v>2566</v>
      </c>
      <c r="M26" s="3048">
        <v>5</v>
      </c>
    </row>
    <row r="27" spans="1:13">
      <c r="A27" s="3030" t="s">
        <v>2525</v>
      </c>
      <c r="B27" s="3031"/>
      <c r="C27" s="3031"/>
      <c r="D27" s="3031"/>
      <c r="E27" s="3031"/>
      <c r="F27" s="3031"/>
      <c r="G27" s="3032"/>
      <c r="I27" s="3048">
        <v>35</v>
      </c>
      <c r="J27" s="3048">
        <v>93.8</v>
      </c>
      <c r="K27" s="3048">
        <f t="shared" si="2"/>
        <v>3.2999999999999972</v>
      </c>
      <c r="L27" s="3048" t="s">
        <v>2567</v>
      </c>
      <c r="M27" s="3048">
        <v>3</v>
      </c>
    </row>
    <row r="28" spans="1:13">
      <c r="A28" s="3030" t="s">
        <v>2526</v>
      </c>
      <c r="B28" s="3031"/>
      <c r="C28" s="3031"/>
      <c r="D28" s="3031"/>
      <c r="E28" s="3031"/>
      <c r="F28" s="3031"/>
      <c r="G28" s="3032"/>
      <c r="I28" s="3048">
        <v>40</v>
      </c>
      <c r="J28" s="3048">
        <v>96.4</v>
      </c>
      <c r="K28" s="3048">
        <f t="shared" si="2"/>
        <v>2.6000000000000085</v>
      </c>
      <c r="L28" s="3048" t="s">
        <v>2568</v>
      </c>
      <c r="M28" s="3048">
        <v>2</v>
      </c>
    </row>
    <row r="29" spans="1:13">
      <c r="A29" s="3030" t="s">
        <v>2527</v>
      </c>
      <c r="B29" s="3031"/>
      <c r="C29" s="3031"/>
      <c r="D29" s="3031"/>
      <c r="E29" s="3031"/>
      <c r="F29" s="3031"/>
      <c r="G29" s="3032"/>
      <c r="I29" s="3048">
        <v>45</v>
      </c>
      <c r="J29" s="3048">
        <v>98.4</v>
      </c>
      <c r="K29" s="3048">
        <f t="shared" si="2"/>
        <v>2</v>
      </c>
    </row>
    <row r="30" spans="1:13">
      <c r="A30" s="3030" t="s">
        <v>2528</v>
      </c>
      <c r="B30" s="3031"/>
      <c r="C30" s="3031"/>
      <c r="D30" s="3031"/>
      <c r="E30" s="3031"/>
      <c r="F30" s="3031"/>
      <c r="G30" s="3032"/>
      <c r="I30" s="3048">
        <v>50</v>
      </c>
      <c r="J30" s="3048">
        <v>100</v>
      </c>
      <c r="K30" s="3048">
        <f t="shared" si="2"/>
        <v>1.5999999999999943</v>
      </c>
    </row>
    <row r="31" spans="1:13">
      <c r="A31" s="3030" t="s">
        <v>2529</v>
      </c>
      <c r="B31" s="3031"/>
      <c r="C31" s="3031"/>
      <c r="D31" s="3031"/>
      <c r="E31" s="3031"/>
      <c r="F31" s="3031"/>
      <c r="G31" s="3032"/>
      <c r="I31" s="3048" t="s">
        <v>2560</v>
      </c>
    </row>
    <row r="32" spans="1:13">
      <c r="A32" s="3030" t="s">
        <v>2530</v>
      </c>
      <c r="B32" s="3031"/>
      <c r="C32" s="3031"/>
      <c r="D32" s="3031"/>
      <c r="E32" s="3031"/>
      <c r="F32" s="3031"/>
      <c r="G32" s="3032"/>
    </row>
    <row r="33" spans="1:13">
      <c r="A33" s="3030" t="s">
        <v>2531</v>
      </c>
      <c r="B33" s="3031"/>
      <c r="C33" s="3031"/>
      <c r="D33" s="3031"/>
      <c r="E33" s="3031"/>
      <c r="F33" s="3031"/>
      <c r="G33" s="3032"/>
      <c r="I33" s="3048" t="s">
        <v>2559</v>
      </c>
      <c r="J33" s="3048" t="s">
        <v>2569</v>
      </c>
    </row>
    <row r="34" spans="1:13">
      <c r="A34" s="3030" t="s">
        <v>2532</v>
      </c>
      <c r="B34" s="3031"/>
      <c r="C34" s="3031"/>
      <c r="D34" s="3031"/>
      <c r="E34" s="3031"/>
      <c r="F34" s="3031"/>
      <c r="G34" s="3032"/>
      <c r="I34" s="3048">
        <v>5</v>
      </c>
      <c r="J34" s="3048">
        <v>55.1</v>
      </c>
    </row>
    <row r="35" spans="1:13">
      <c r="A35" s="3030" t="s">
        <v>2533</v>
      </c>
      <c r="B35" s="3031"/>
      <c r="C35" s="3031"/>
      <c r="D35" s="3031"/>
      <c r="E35" s="3031"/>
      <c r="F35" s="3031"/>
      <c r="G35" s="3032"/>
      <c r="I35" s="3048">
        <v>10</v>
      </c>
      <c r="J35" s="3048">
        <v>67</v>
      </c>
      <c r="K35" s="3048">
        <f>J35-J34</f>
        <v>11.899999999999999</v>
      </c>
    </row>
    <row r="36" spans="1:13">
      <c r="A36" s="3030" t="s">
        <v>2534</v>
      </c>
      <c r="B36" s="3031"/>
      <c r="C36" s="3031"/>
      <c r="D36" s="3031"/>
      <c r="E36" s="3031"/>
      <c r="F36" s="3031"/>
      <c r="G36" s="3032"/>
      <c r="I36" s="3048">
        <v>15</v>
      </c>
      <c r="J36" s="3048">
        <v>76.3</v>
      </c>
      <c r="K36" s="3048">
        <f t="shared" ref="K36:K41" si="3">J36-J35</f>
        <v>9.2999999999999972</v>
      </c>
      <c r="L36" s="3048" t="s">
        <v>2562</v>
      </c>
      <c r="M36" s="3048" t="s">
        <v>2563</v>
      </c>
    </row>
    <row r="37" spans="1:13">
      <c r="A37" s="3030" t="s">
        <v>2535</v>
      </c>
      <c r="B37" s="3031"/>
      <c r="C37" s="3031"/>
      <c r="D37" s="3031"/>
      <c r="E37" s="3031"/>
      <c r="F37" s="3031"/>
      <c r="G37" s="3032"/>
      <c r="I37" s="3048">
        <v>20</v>
      </c>
      <c r="J37" s="3048">
        <v>83.6</v>
      </c>
      <c r="K37" s="3048">
        <f t="shared" si="3"/>
        <v>7.2999999999999972</v>
      </c>
      <c r="L37" s="3048" t="s">
        <v>2561</v>
      </c>
      <c r="M37" s="3048">
        <v>10</v>
      </c>
    </row>
    <row r="38" spans="1:13">
      <c r="A38" s="3030" t="s">
        <v>2536</v>
      </c>
      <c r="B38" s="3031"/>
      <c r="C38" s="3031"/>
      <c r="D38" s="3031"/>
      <c r="E38" s="3031"/>
      <c r="F38" s="3031"/>
      <c r="G38" s="3032"/>
      <c r="I38" s="3048">
        <v>25</v>
      </c>
      <c r="J38" s="3048">
        <v>89.3</v>
      </c>
      <c r="K38" s="3048">
        <f t="shared" si="3"/>
        <v>5.7000000000000028</v>
      </c>
      <c r="L38" s="3048" t="s">
        <v>2565</v>
      </c>
      <c r="M38" s="3048">
        <v>8</v>
      </c>
    </row>
    <row r="39" spans="1:13">
      <c r="A39" s="3030"/>
      <c r="B39" s="3031"/>
      <c r="C39" s="3031"/>
      <c r="D39" s="3031"/>
      <c r="E39" s="3031"/>
      <c r="F39" s="3031"/>
      <c r="G39" s="3032"/>
      <c r="I39" s="3048">
        <v>30</v>
      </c>
      <c r="J39" s="3048">
        <v>93.8</v>
      </c>
      <c r="K39" s="3048">
        <f t="shared" si="3"/>
        <v>4.5</v>
      </c>
      <c r="L39" s="3048" t="s">
        <v>2566</v>
      </c>
      <c r="M39" s="3048">
        <v>6</v>
      </c>
    </row>
    <row r="40" spans="1:13">
      <c r="A40" s="3033" t="s">
        <v>2537</v>
      </c>
      <c r="B40" s="3034"/>
      <c r="C40" s="3034"/>
      <c r="D40" s="3034"/>
      <c r="E40" s="3034"/>
      <c r="F40" s="3034"/>
      <c r="G40" s="3035"/>
      <c r="I40" s="3048">
        <v>35</v>
      </c>
      <c r="J40" s="3048">
        <v>97.2</v>
      </c>
      <c r="K40" s="3048">
        <f t="shared" si="3"/>
        <v>3.4000000000000057</v>
      </c>
      <c r="L40" s="3048" t="s">
        <v>2567</v>
      </c>
      <c r="M40" s="3048">
        <v>3</v>
      </c>
    </row>
    <row r="41" spans="1:13">
      <c r="A41" s="3036" t="s">
        <v>2538</v>
      </c>
      <c r="B41" s="3037" t="s">
        <v>2539</v>
      </c>
      <c r="C41" s="3038" t="s">
        <v>2540</v>
      </c>
      <c r="D41" s="3038" t="s">
        <v>2541</v>
      </c>
      <c r="E41" s="3039"/>
      <c r="F41" s="3040"/>
      <c r="G41" s="3041"/>
      <c r="I41" s="3048">
        <v>40</v>
      </c>
      <c r="J41" s="3048">
        <v>100</v>
      </c>
      <c r="K41" s="3048">
        <f t="shared" si="3"/>
        <v>2.7999999999999972</v>
      </c>
    </row>
    <row r="42" spans="1:13">
      <c r="A42" s="3036" t="s">
        <v>2542</v>
      </c>
      <c r="B42" s="3037" t="s">
        <v>2543</v>
      </c>
      <c r="C42" s="3038" t="s">
        <v>2544</v>
      </c>
      <c r="D42" s="3042" t="s">
        <v>2545</v>
      </c>
      <c r="E42" s="3034" t="s">
        <v>2546</v>
      </c>
      <c r="F42" s="3034"/>
      <c r="G42" s="3035"/>
    </row>
    <row r="43" spans="1:13">
      <c r="A43" s="3036" t="s">
        <v>2547</v>
      </c>
      <c r="B43" s="3037" t="s">
        <v>2548</v>
      </c>
      <c r="C43" s="3038" t="s">
        <v>2549</v>
      </c>
      <c r="D43" s="3038" t="s">
        <v>2550</v>
      </c>
      <c r="E43" s="3039" t="s">
        <v>2551</v>
      </c>
      <c r="F43" s="3040"/>
      <c r="G43" s="3041"/>
      <c r="I43" s="3048" t="s">
        <v>2559</v>
      </c>
      <c r="J43" s="3048" t="s">
        <v>2570</v>
      </c>
    </row>
    <row r="44" spans="1:13">
      <c r="A44" s="3036" t="s">
        <v>2552</v>
      </c>
      <c r="B44" s="3037" t="s">
        <v>2553</v>
      </c>
      <c r="C44" s="3038" t="s">
        <v>2554</v>
      </c>
      <c r="D44" s="3042">
        <v>0.5</v>
      </c>
      <c r="E44" s="3039" t="s">
        <v>2555</v>
      </c>
      <c r="F44" s="3040"/>
      <c r="G44" s="3041"/>
      <c r="I44" s="3048">
        <v>30</v>
      </c>
      <c r="J44" s="3048">
        <v>81.7</v>
      </c>
    </row>
    <row r="45" spans="1:13" ht="14.25" thickBot="1">
      <c r="A45" s="3043" t="s">
        <v>2556</v>
      </c>
      <c r="B45" s="3044" t="s">
        <v>2543</v>
      </c>
      <c r="C45" s="3045" t="s">
        <v>2543</v>
      </c>
      <c r="D45" s="3045" t="s">
        <v>2557</v>
      </c>
      <c r="E45" s="3046" t="s">
        <v>2558</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18" customWidth="1"/>
    <col min="12" max="13" width="10" style="2619"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2168</v>
      </c>
      <c r="B1" s="3624" t="str">
        <f>IF(B10="北京市","北京市",C10)&amp;F10&amp;IF(结果表!G1="在建","出让国有建设用地使用权及在建建筑物",IF(结果表!G1="土地","出让国有建设用地使用权",))&amp;B9&amp;"预评估"</f>
        <v>北京市房地产市场价值预评估</v>
      </c>
      <c r="C1" s="3625"/>
      <c r="D1" s="3625"/>
      <c r="E1" s="3625"/>
      <c r="F1" s="3625"/>
      <c r="G1" s="3625"/>
      <c r="H1" s="3625"/>
      <c r="I1" s="3626"/>
      <c r="J1" s="2463"/>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3" t="s">
        <v>2169</v>
      </c>
      <c r="B2" s="2367"/>
      <c r="C2" s="2368"/>
      <c r="D2" s="2660"/>
      <c r="E2" s="2652"/>
      <c r="F2" s="2652"/>
      <c r="G2" s="2653"/>
      <c r="H2" s="2653"/>
      <c r="I2" s="2653"/>
      <c r="J2" s="2463"/>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2170</v>
      </c>
      <c r="B3" s="2369">
        <v>45160</v>
      </c>
      <c r="C3" s="2370" t="s">
        <v>2171</v>
      </c>
      <c r="D3" s="2369">
        <f>B3</f>
        <v>45160</v>
      </c>
      <c r="E3" s="2653"/>
      <c r="F3" s="2653"/>
      <c r="G3" s="2653"/>
      <c r="H3" s="2653"/>
      <c r="I3" s="2653"/>
      <c r="J3" s="2463"/>
      <c r="K3" s="2364"/>
      <c r="L3" s="2365"/>
      <c r="M3" s="2365"/>
      <c r="N3" s="2366"/>
      <c r="O3" s="1574"/>
      <c r="P3" s="2366"/>
      <c r="Q3" s="2366"/>
      <c r="R3" s="2366"/>
      <c r="S3" s="1680"/>
      <c r="T3" s="1743"/>
      <c r="U3" s="1743"/>
      <c r="V3" s="1743"/>
      <c r="W3" s="1743"/>
      <c r="X3" s="1743"/>
      <c r="Y3" s="1743"/>
      <c r="Z3" s="1743"/>
      <c r="AA3" s="1743"/>
      <c r="AB3" s="1743"/>
    </row>
    <row r="4" spans="1:30" ht="13.5" thickBot="1">
      <c r="A4" s="1089" t="s">
        <v>2172</v>
      </c>
      <c r="B4" s="2371" t="s">
        <v>3370</v>
      </c>
      <c r="C4" s="2372">
        <f ca="1">SUMIF(注册房地产估价师,B4,估价师及机构信息!B3:B24)</f>
        <v>1120100036</v>
      </c>
      <c r="D4" s="2371" t="s">
        <v>3371</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4"/>
      <c r="P4" s="2366"/>
      <c r="Q4" s="2366"/>
      <c r="R4" s="2366"/>
      <c r="S4" s="1680"/>
      <c r="T4" s="1743"/>
      <c r="U4" s="1743"/>
      <c r="V4" s="1743"/>
      <c r="W4" s="1743"/>
      <c r="X4" s="1743"/>
      <c r="Y4" s="1743"/>
      <c r="Z4" s="1743"/>
      <c r="AA4" s="1743"/>
      <c r="AB4" s="1743"/>
    </row>
    <row r="5" spans="1:30" ht="13.5" thickTop="1">
      <c r="A5" s="2375" t="s">
        <v>2173</v>
      </c>
      <c r="B5" s="2376"/>
      <c r="C5" s="2377"/>
      <c r="D5" s="2378"/>
      <c r="E5" s="2654"/>
      <c r="F5" s="2654"/>
      <c r="G5" s="2654"/>
      <c r="H5" s="2654"/>
      <c r="I5" s="2654"/>
      <c r="J5" s="2435"/>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2174</v>
      </c>
      <c r="B6" s="2380"/>
      <c r="C6" s="2381"/>
      <c r="D6" s="2382"/>
      <c r="E6" s="2652"/>
      <c r="F6" s="2654"/>
      <c r="G6" s="2654"/>
      <c r="H6" s="2654"/>
      <c r="I6" s="2654"/>
      <c r="J6" s="2435"/>
      <c r="K6" s="2605" t="str">
        <f>IF(COUNTIF(B6,"*上海银行*"),"上海银行","")</f>
        <v/>
      </c>
      <c r="L6" s="2603"/>
      <c r="M6" s="2603"/>
      <c r="N6" s="2435"/>
      <c r="O6" s="2446"/>
      <c r="P6" s="2435"/>
      <c r="Q6" s="2435"/>
      <c r="R6" s="2435"/>
    </row>
    <row r="7" spans="1:30">
      <c r="A7" s="2379" t="s">
        <v>2175</v>
      </c>
      <c r="B7" s="2383"/>
      <c r="C7" s="2381"/>
      <c r="D7" s="2382"/>
      <c r="E7" s="2652"/>
      <c r="F7" s="2654"/>
      <c r="G7" s="2654"/>
      <c r="H7" s="2654"/>
      <c r="I7" s="2654"/>
      <c r="J7" s="2435"/>
      <c r="K7" s="2606"/>
      <c r="L7" s="2603"/>
      <c r="M7" s="2603"/>
      <c r="N7" s="2435"/>
      <c r="O7" s="2446"/>
      <c r="P7" s="2435"/>
      <c r="Q7" s="2435"/>
      <c r="R7" s="2435"/>
    </row>
    <row r="8" spans="1:30">
      <c r="A8" s="2384" t="s">
        <v>2176</v>
      </c>
      <c r="B8" s="2385" t="s">
        <v>3372</v>
      </c>
      <c r="C8" s="2386"/>
      <c r="D8" s="3627" t="s">
        <v>2177</v>
      </c>
      <c r="E8" s="2387" t="s">
        <v>3374</v>
      </c>
      <c r="F8" s="2388"/>
      <c r="G8" s="2653"/>
      <c r="H8" s="2653"/>
      <c r="I8" s="2653"/>
      <c r="J8" s="2435"/>
      <c r="K8" s="2604"/>
      <c r="L8" s="2603"/>
      <c r="M8" s="2603"/>
      <c r="N8" s="2435"/>
      <c r="O8" s="2446"/>
      <c r="P8" s="2435"/>
      <c r="Q8" s="2435"/>
      <c r="R8" s="2435"/>
    </row>
    <row r="9" spans="1:30" ht="13.5" thickBot="1">
      <c r="A9" s="2389" t="s">
        <v>2178</v>
      </c>
      <c r="B9" s="2390" t="s">
        <v>3373</v>
      </c>
      <c r="C9" s="2391"/>
      <c r="D9" s="3628"/>
      <c r="E9" s="2390" t="s">
        <v>43</v>
      </c>
      <c r="F9" s="2392"/>
      <c r="G9" s="2655"/>
      <c r="H9" s="2655"/>
      <c r="I9" s="2655"/>
      <c r="J9" s="2435"/>
      <c r="K9" s="2606"/>
      <c r="L9" s="2603"/>
      <c r="M9" s="2603"/>
      <c r="N9" s="2435"/>
      <c r="O9" s="2446"/>
      <c r="P9" s="2435"/>
      <c r="Q9" s="2435"/>
      <c r="R9" s="2435"/>
    </row>
    <row r="10" spans="1:30" ht="13.5" thickTop="1">
      <c r="A10" s="2393" t="s">
        <v>2179</v>
      </c>
      <c r="B10" s="2394" t="s">
        <v>3375</v>
      </c>
      <c r="C10" s="2395"/>
      <c r="D10" s="2378"/>
      <c r="E10" s="2396" t="s">
        <v>2180</v>
      </c>
      <c r="F10" s="2656"/>
      <c r="G10" s="2657"/>
      <c r="H10" s="2658"/>
      <c r="I10" s="2659"/>
      <c r="J10" s="2435"/>
      <c r="K10" s="2606"/>
      <c r="L10" s="2603"/>
      <c r="M10" s="2603"/>
      <c r="N10" s="2435"/>
      <c r="O10" s="2446"/>
      <c r="P10" s="2435"/>
      <c r="Q10" s="2435"/>
      <c r="R10" s="2435"/>
    </row>
    <row r="11" spans="1:30">
      <c r="A11" s="2397" t="s">
        <v>2181</v>
      </c>
      <c r="B11" s="2398" t="s">
        <v>3376</v>
      </c>
      <c r="C11" s="2399"/>
      <c r="D11" s="2400"/>
      <c r="E11" s="2366"/>
      <c r="F11" s="2366"/>
      <c r="G11" s="2366"/>
      <c r="H11" s="2366"/>
      <c r="I11" s="2366"/>
      <c r="J11" s="3051"/>
      <c r="K11" s="3050"/>
      <c r="L11" s="2603"/>
      <c r="M11" s="2603"/>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49" t="s">
        <v>2571</v>
      </c>
      <c r="J12" s="3052"/>
      <c r="K12" s="2603"/>
      <c r="L12" s="2603"/>
      <c r="M12" s="2435"/>
      <c r="N12" s="2446"/>
      <c r="O12" s="2435"/>
      <c r="P12" s="2435"/>
      <c r="Q12" s="2435"/>
      <c r="AD12" s="1743"/>
    </row>
    <row r="13" spans="1:30">
      <c r="A13" s="3413" t="s">
        <v>3328</v>
      </c>
      <c r="B13" s="2403" t="s">
        <v>2190</v>
      </c>
      <c r="C13" s="855"/>
      <c r="D13" s="855">
        <v>58939</v>
      </c>
      <c r="E13" s="855">
        <v>62591</v>
      </c>
      <c r="F13" s="855">
        <f>E13</f>
        <v>62591</v>
      </c>
      <c r="G13" s="855"/>
      <c r="H13" s="855"/>
      <c r="I13" s="855">
        <v>45291</v>
      </c>
      <c r="J13" s="3052"/>
      <c r="K13" s="2603"/>
      <c r="L13" s="2603"/>
      <c r="M13" s="2435"/>
      <c r="N13" s="2446"/>
      <c r="O13" s="2435"/>
      <c r="P13" s="2435"/>
      <c r="Q13" s="2435"/>
      <c r="AD13" s="1743"/>
    </row>
    <row r="14" spans="1:30">
      <c r="A14" s="1080"/>
      <c r="B14" s="2403" t="s">
        <v>2191</v>
      </c>
      <c r="C14" s="2404">
        <v>70</v>
      </c>
      <c r="D14" s="2404">
        <v>40</v>
      </c>
      <c r="E14" s="2404">
        <v>50</v>
      </c>
      <c r="F14" s="2404">
        <v>50</v>
      </c>
      <c r="G14" s="2404">
        <v>50</v>
      </c>
      <c r="H14" s="2404">
        <v>50</v>
      </c>
      <c r="I14" s="2404">
        <v>50</v>
      </c>
      <c r="J14" s="3053"/>
      <c r="K14" s="2603"/>
      <c r="L14" s="2603"/>
      <c r="M14" s="2435"/>
      <c r="N14" s="2446"/>
      <c r="O14" s="2435"/>
      <c r="P14" s="2435"/>
      <c r="Q14" s="2435"/>
      <c r="AD14" s="1743"/>
    </row>
    <row r="15" spans="1:30">
      <c r="A15" s="320"/>
      <c r="B15" s="2405" t="s">
        <v>2192</v>
      </c>
      <c r="C15" s="2406" t="str">
        <f>IF(A13="出让",IF(C13="","",ROUNDDOWN(MIN((C13-$D$3)/365,C14),2)),C14)</f>
        <v/>
      </c>
      <c r="D15" s="2406">
        <f>IF(A13="出让",IF(D13="","",ROUNDDOWN(MIN((D13-$D$3)/365,D14),2)),D14)</f>
        <v>37.75</v>
      </c>
      <c r="E15" s="2406">
        <f>IF(A13="出让",IF(E13="","",ROUNDDOWN(MIN((E13-$D$3)/365,E14),2)),E14)</f>
        <v>47.75</v>
      </c>
      <c r="F15" s="2406">
        <f>IF(A13="出让",IF(F13="","",ROUNDDOWN(MIN((F13-$D$3)/365,F14),2)),F14)</f>
        <v>47.75</v>
      </c>
      <c r="G15" s="2406" t="str">
        <f>IF(A13="出让",IF(G13="","",ROUNDDOWN(MIN((G13-$D$3)/365,G14),2)),G14)</f>
        <v/>
      </c>
      <c r="H15" s="2406" t="str">
        <f>IF(A13="出让",IF(H13="","",ROUNDDOWN(MIN((H13-$D$3)/365,H14),2)),H14)</f>
        <v/>
      </c>
      <c r="I15" s="2406">
        <f>IF(A13="出让",IF(I13="","",ROUNDDOWN(MIN((I13-$D$3)/365,I14),2)),I14)</f>
        <v>0.35</v>
      </c>
      <c r="J15" s="3054"/>
      <c r="K15" s="2447"/>
      <c r="L15" s="2447"/>
      <c r="M15" s="2500"/>
      <c r="N15" s="2447"/>
      <c r="O15" s="2500"/>
      <c r="P15" s="2435"/>
      <c r="Q15" s="2435"/>
      <c r="AD15" s="1743"/>
    </row>
    <row r="16" spans="1:30">
      <c r="A16" s="2396" t="s">
        <v>2193</v>
      </c>
      <c r="B16" s="3634"/>
      <c r="C16" s="3635"/>
      <c r="D16" s="3636"/>
      <c r="E16" s="2409" t="s">
        <v>2194</v>
      </c>
      <c r="F16" s="3637"/>
      <c r="G16" s="3638"/>
      <c r="H16" s="3638"/>
      <c r="I16" s="3639"/>
      <c r="J16" s="2435"/>
      <c r="K16" s="2607"/>
      <c r="L16" s="2447"/>
      <c r="M16" s="2447"/>
      <c r="N16" s="2500"/>
      <c r="O16" s="2447"/>
      <c r="P16" s="2500"/>
      <c r="Q16" s="2435"/>
      <c r="R16" s="2435"/>
    </row>
    <row r="17" spans="1:28">
      <c r="A17" s="313" t="s">
        <v>2195</v>
      </c>
      <c r="B17" s="302" t="s">
        <v>2196</v>
      </c>
      <c r="C17" s="8">
        <f>'数据-汇总表'!E3</f>
        <v>35356.130000000005</v>
      </c>
      <c r="D17" s="2318" t="s">
        <v>2197</v>
      </c>
      <c r="E17" s="3640" t="s">
        <v>2198</v>
      </c>
      <c r="F17" s="3641"/>
      <c r="G17" s="3641"/>
      <c r="H17" s="3641"/>
      <c r="I17" s="3642"/>
      <c r="J17" s="2435"/>
      <c r="K17" s="2608"/>
      <c r="L17" s="2447"/>
      <c r="M17" s="2447"/>
      <c r="N17" s="2500"/>
      <c r="O17" s="2447"/>
      <c r="P17" s="2500"/>
      <c r="Q17" s="2435"/>
      <c r="R17" s="2435"/>
      <c r="S17" s="2435"/>
      <c r="T17" s="2435"/>
      <c r="U17" s="2435"/>
      <c r="V17" s="2435"/>
    </row>
    <row r="18" spans="1:28" ht="24.75" thickBot="1">
      <c r="A18" s="2410" t="s">
        <v>2199</v>
      </c>
      <c r="B18" s="1089" t="s">
        <v>2200</v>
      </c>
      <c r="C18" s="2411">
        <f>'数据-汇总表'!D3</f>
        <v>0</v>
      </c>
      <c r="D18" s="1091" t="s">
        <v>2201</v>
      </c>
      <c r="E18" s="3643" t="s">
        <v>2202</v>
      </c>
      <c r="F18" s="3644"/>
      <c r="G18" s="3644"/>
      <c r="H18" s="3644"/>
      <c r="I18" s="3645"/>
      <c r="J18" s="2435"/>
      <c r="K18" s="2608"/>
      <c r="L18" s="2447"/>
      <c r="M18" s="2447"/>
      <c r="N18" s="2500"/>
      <c r="O18" s="2447"/>
      <c r="P18" s="2500"/>
      <c r="Q18" s="2435"/>
      <c r="R18" s="2435"/>
      <c r="S18" s="2435"/>
      <c r="T18" s="2435"/>
      <c r="U18" s="2435"/>
      <c r="V18" s="2435"/>
    </row>
    <row r="19" spans="1:28" ht="37.5" thickTop="1" thickBot="1">
      <c r="A19" s="327" t="s">
        <v>1055</v>
      </c>
      <c r="B19" s="307" t="s">
        <v>2203</v>
      </c>
      <c r="C19" s="1561"/>
      <c r="D19" s="1562" t="s">
        <v>2204</v>
      </c>
      <c r="E19" s="1563"/>
      <c r="F19" s="1564" t="str">
        <f>IF(AND(C19="是",E19="否"),"是否提供他项权证或相关说明","")</f>
        <v/>
      </c>
      <c r="G19" s="1565"/>
      <c r="H19" s="2654"/>
      <c r="I19" s="2654"/>
      <c r="J19" s="2435"/>
      <c r="K19" s="2606"/>
      <c r="L19" s="2603"/>
      <c r="M19" s="2603"/>
      <c r="N19" s="2500"/>
      <c r="O19" s="2447"/>
      <c r="P19" s="2500"/>
      <c r="Q19" s="2435"/>
      <c r="R19" s="2435"/>
      <c r="S19" s="2435"/>
      <c r="T19" s="2435"/>
      <c r="U19" s="2435"/>
      <c r="V19" s="2435"/>
    </row>
    <row r="20" spans="1:28">
      <c r="A20" s="2622" t="s">
        <v>2205</v>
      </c>
      <c r="B20" s="3630" t="s">
        <v>2206</v>
      </c>
      <c r="C20" s="3631"/>
      <c r="D20" s="3632" t="s">
        <v>2207</v>
      </c>
      <c r="E20" s="3633"/>
      <c r="F20" s="2637" t="s">
        <v>1056</v>
      </c>
      <c r="G20" s="2654"/>
      <c r="H20" s="2654"/>
      <c r="I20" s="2654"/>
      <c r="J20" s="2435"/>
      <c r="K20" s="36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3"/>
      <c r="X20" s="1743"/>
      <c r="Y20" s="1743"/>
      <c r="Z20" s="1743"/>
      <c r="AA20" s="1743"/>
      <c r="AB20" s="1743"/>
    </row>
    <row r="21" spans="1:28" ht="24.75" thickBot="1">
      <c r="A21" s="2622"/>
      <c r="B21" s="2623" t="s">
        <v>2209</v>
      </c>
      <c r="C21" s="2624" t="s">
        <v>1057</v>
      </c>
      <c r="D21" s="1566" t="s">
        <v>2210</v>
      </c>
      <c r="E21" s="2625" t="s">
        <v>1057</v>
      </c>
      <c r="F21" s="2638"/>
      <c r="G21" s="2654"/>
      <c r="H21" s="2654"/>
      <c r="I21" s="2654"/>
      <c r="J21" s="2435"/>
      <c r="K21" s="36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3"/>
      <c r="X21" s="1743"/>
      <c r="Y21" s="1743"/>
      <c r="Z21" s="1743"/>
      <c r="AA21" s="1743"/>
      <c r="AB21" s="1743"/>
    </row>
    <row r="22" spans="1:28" ht="24.75" thickBot="1">
      <c r="A22" s="2622"/>
      <c r="B22" s="2626" t="s">
        <v>2211</v>
      </c>
      <c r="C22" s="2624" t="s">
        <v>1058</v>
      </c>
      <c r="D22" s="2653"/>
      <c r="E22" s="2653"/>
      <c r="F22" s="2653"/>
      <c r="G22" s="2654"/>
      <c r="H22" s="2654"/>
      <c r="I22" s="2654"/>
      <c r="J22" s="2435"/>
      <c r="K22" s="36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3"/>
      <c r="X22" s="1743"/>
      <c r="Y22" s="1743"/>
      <c r="Z22" s="1743"/>
      <c r="AA22" s="1743"/>
      <c r="AB22" s="1743"/>
    </row>
    <row r="23" spans="1:28">
      <c r="A23" s="2627" t="s">
        <v>2212</v>
      </c>
      <c r="B23" s="2493" t="s">
        <v>2213</v>
      </c>
      <c r="C23" s="2628"/>
      <c r="D23" s="2629" t="s">
        <v>2213</v>
      </c>
      <c r="E23" s="2630"/>
      <c r="F23" s="2653"/>
      <c r="G23" s="2654"/>
      <c r="H23" s="2654"/>
      <c r="I23" s="2654"/>
      <c r="J23" s="2435"/>
      <c r="K23" s="2609"/>
      <c r="L23" s="2466"/>
      <c r="M23" s="2603"/>
      <c r="N23" s="2500"/>
      <c r="O23" s="2447"/>
      <c r="P23" s="2500"/>
      <c r="Q23" s="2435"/>
      <c r="R23" s="2435"/>
      <c r="S23" s="2435"/>
      <c r="T23" s="2435"/>
      <c r="U23" s="2435"/>
      <c r="V23" s="2435"/>
    </row>
    <row r="24" spans="1:28">
      <c r="A24" s="2627"/>
      <c r="B24" s="2493" t="s">
        <v>1059</v>
      </c>
      <c r="C24" s="2631"/>
      <c r="D24" s="2627" t="s">
        <v>1059</v>
      </c>
      <c r="E24" s="2632"/>
      <c r="F24" s="2653"/>
      <c r="G24" s="2654"/>
      <c r="H24" s="2654"/>
      <c r="I24" s="2654"/>
      <c r="J24" s="2435"/>
      <c r="K24" s="2609"/>
      <c r="L24" s="2466"/>
      <c r="M24" s="2603"/>
      <c r="N24" s="2500"/>
      <c r="O24" s="2447"/>
      <c r="P24" s="2500"/>
      <c r="Q24" s="2435"/>
      <c r="R24" s="2435"/>
      <c r="S24" s="2435"/>
      <c r="T24" s="2435"/>
      <c r="U24" s="2435"/>
      <c r="V24" s="2435"/>
    </row>
    <row r="25" spans="1:28">
      <c r="A25" s="2627"/>
      <c r="B25" s="2493" t="s">
        <v>1060</v>
      </c>
      <c r="C25" s="2631"/>
      <c r="D25" s="2627" t="s">
        <v>1060</v>
      </c>
      <c r="E25" s="2632"/>
      <c r="F25" s="2653"/>
      <c r="G25" s="2654"/>
      <c r="H25" s="2654"/>
      <c r="I25" s="2654"/>
      <c r="J25" s="2435"/>
      <c r="K25" s="2606"/>
      <c r="L25" s="2603"/>
      <c r="M25" s="2603"/>
      <c r="N25" s="2500"/>
      <c r="O25" s="2447"/>
      <c r="P25" s="2500"/>
      <c r="Q25" s="2435"/>
      <c r="R25" s="2435"/>
      <c r="S25" s="2435"/>
      <c r="T25" s="2435"/>
      <c r="U25" s="2435"/>
      <c r="V25" s="2435"/>
    </row>
    <row r="26" spans="1:28" ht="13.5" thickBot="1">
      <c r="A26" s="2633"/>
      <c r="B26" s="2634" t="s">
        <v>1061</v>
      </c>
      <c r="C26" s="2635"/>
      <c r="D26" s="2633" t="s">
        <v>1061</v>
      </c>
      <c r="E26" s="2636"/>
      <c r="F26" s="2655"/>
      <c r="G26" s="2655"/>
      <c r="H26" s="2655"/>
      <c r="I26" s="2655"/>
      <c r="J26" s="2435"/>
      <c r="K26" s="2606"/>
      <c r="L26" s="2603"/>
      <c r="M26" s="2603"/>
      <c r="N26" s="2500"/>
      <c r="O26" s="2447"/>
      <c r="P26" s="2500"/>
      <c r="Q26" s="2435"/>
      <c r="R26" s="2435"/>
      <c r="S26" s="2435"/>
      <c r="T26" s="2435"/>
      <c r="U26" s="2435"/>
      <c r="V26" s="2435"/>
    </row>
    <row r="27" spans="1:28" ht="13.5" thickTop="1">
      <c r="A27" s="3647" t="s">
        <v>2214</v>
      </c>
      <c r="B27" s="320" t="s">
        <v>2215</v>
      </c>
      <c r="C27" s="2412"/>
      <c r="D27" s="2413"/>
      <c r="E27" s="2654"/>
      <c r="F27" s="2654"/>
      <c r="G27" s="2654"/>
      <c r="H27" s="2654"/>
      <c r="I27" s="2654"/>
      <c r="J27" s="2435"/>
      <c r="K27" s="2607"/>
      <c r="L27" s="2447"/>
      <c r="M27" s="2447"/>
      <c r="N27" s="2500"/>
      <c r="O27" s="2447"/>
      <c r="P27" s="2500"/>
      <c r="Q27" s="2435"/>
      <c r="R27" s="2435"/>
      <c r="S27" s="2435"/>
      <c r="T27" s="2435"/>
      <c r="U27" s="2435"/>
      <c r="V27" s="2435"/>
    </row>
    <row r="28" spans="1:28">
      <c r="A28" s="3647"/>
      <c r="B28" s="302" t="s">
        <v>2216</v>
      </c>
      <c r="C28" s="2414"/>
      <c r="D28" s="2415"/>
      <c r="E28" s="2654"/>
      <c r="F28" s="2654"/>
      <c r="G28" s="2654"/>
      <c r="H28" s="2654"/>
      <c r="I28" s="2654"/>
      <c r="J28" s="2435"/>
      <c r="K28" s="2606"/>
      <c r="L28" s="2603"/>
      <c r="M28" s="2603"/>
      <c r="N28" s="2435"/>
      <c r="O28" s="2446"/>
      <c r="P28" s="2435"/>
      <c r="Q28" s="2435"/>
      <c r="R28" s="2435"/>
      <c r="S28" s="2435"/>
      <c r="T28" s="2435"/>
      <c r="U28" s="2435"/>
      <c r="V28" s="2435"/>
    </row>
    <row r="29" spans="1:28">
      <c r="A29" s="3647"/>
      <c r="B29" s="302" t="s">
        <v>2217</v>
      </c>
      <c r="C29" s="2416"/>
      <c r="D29" s="2417"/>
      <c r="E29" s="2654"/>
      <c r="F29" s="2654"/>
      <c r="G29" s="2654"/>
      <c r="H29" s="2654"/>
      <c r="I29" s="2654"/>
      <c r="J29" s="2435"/>
      <c r="K29" s="2606"/>
      <c r="L29" s="2603"/>
      <c r="M29" s="2603"/>
      <c r="N29" s="2435"/>
      <c r="O29" s="2446"/>
      <c r="P29" s="2435"/>
      <c r="Q29" s="2435"/>
      <c r="R29" s="2435"/>
      <c r="S29" s="2435"/>
      <c r="T29" s="2435"/>
      <c r="U29" s="2435"/>
      <c r="V29" s="2435"/>
    </row>
    <row r="30" spans="1:28">
      <c r="A30" s="3648"/>
      <c r="B30" s="302" t="s">
        <v>2218</v>
      </c>
      <c r="C30" s="3649"/>
      <c r="D30" s="3650"/>
      <c r="E30" s="2654"/>
      <c r="F30" s="2654"/>
      <c r="G30" s="2654"/>
      <c r="H30" s="2654"/>
      <c r="I30" s="2654"/>
      <c r="J30" s="2435"/>
      <c r="K30" s="2606"/>
      <c r="L30" s="2603"/>
      <c r="M30" s="2603"/>
      <c r="N30" s="2435"/>
      <c r="O30" s="2446"/>
      <c r="P30" s="2435"/>
      <c r="Q30" s="2435"/>
      <c r="R30" s="2435"/>
      <c r="S30" s="2435"/>
      <c r="T30" s="2435"/>
      <c r="U30" s="2435"/>
      <c r="V30" s="2435"/>
    </row>
    <row r="31" spans="1:28">
      <c r="A31" s="3651" t="s">
        <v>2219</v>
      </c>
      <c r="B31" s="2418" t="s">
        <v>3377</v>
      </c>
      <c r="C31" s="2319" t="str">
        <f>IF(B31="现房","成新及维护状况正常否",IF(B31="在建","工程状态是否正常",IF(B31="土地","是否闲置","-")))</f>
        <v>成新及维护状况正常否</v>
      </c>
      <c r="D31" s="1371"/>
      <c r="E31" s="2419"/>
      <c r="F31" s="2654"/>
      <c r="G31" s="2654"/>
      <c r="H31" s="2654"/>
      <c r="I31" s="2654"/>
      <c r="J31" s="2435"/>
      <c r="K31" s="2605"/>
      <c r="L31" s="2603"/>
      <c r="M31" s="2603"/>
      <c r="N31" s="2435"/>
      <c r="O31" s="2446"/>
      <c r="P31" s="2435"/>
      <c r="Q31" s="2435"/>
      <c r="R31" s="2435"/>
      <c r="S31" s="2435"/>
      <c r="T31" s="2435"/>
      <c r="U31" s="2435"/>
      <c r="V31" s="2435"/>
    </row>
    <row r="32" spans="1:28">
      <c r="A32" s="3652"/>
      <c r="B32" s="2418"/>
      <c r="C32" s="2319" t="str">
        <f>IF(B32="现房","成新及维护状况是否正常",IF(B32="在建","工程状态是否正常",IF(B32="土地","是否闲置","-")))</f>
        <v>-</v>
      </c>
      <c r="D32" s="1371"/>
      <c r="E32" s="2419"/>
      <c r="F32" s="2654"/>
      <c r="G32" s="2654"/>
      <c r="H32" s="2654"/>
      <c r="I32" s="2654"/>
      <c r="J32" s="2435"/>
      <c r="K32" s="2606"/>
      <c r="L32" s="2603"/>
      <c r="M32" s="2603"/>
      <c r="N32" s="2435"/>
      <c r="O32" s="2446"/>
      <c r="P32" s="2435"/>
      <c r="Q32" s="2435"/>
      <c r="R32" s="2435"/>
      <c r="S32" s="2435"/>
      <c r="T32" s="2435"/>
      <c r="U32" s="2435"/>
      <c r="V32" s="2435"/>
    </row>
    <row r="33" spans="1:30">
      <c r="A33" s="3652"/>
      <c r="B33" s="2421"/>
      <c r="C33" s="1588" t="str">
        <f>IF(B33="现房","成新及维护状况是否正常",IF(B33="在建","工程状态是否正常",IF(B33="土地","是否闲置","-")))</f>
        <v>-</v>
      </c>
      <c r="D33" s="1363"/>
      <c r="E33" s="2422"/>
      <c r="F33" s="2654"/>
      <c r="G33" s="2654"/>
      <c r="H33" s="2654"/>
      <c r="I33" s="2654"/>
      <c r="J33" s="2435"/>
      <c r="K33" s="2606"/>
      <c r="L33" s="2603"/>
      <c r="M33" s="2603"/>
      <c r="N33" s="2435"/>
      <c r="O33" s="2446"/>
      <c r="P33" s="2435"/>
      <c r="Q33" s="2435"/>
      <c r="R33" s="2435"/>
      <c r="S33" s="2435"/>
      <c r="T33" s="2435"/>
      <c r="U33" s="2435"/>
      <c r="V33" s="2435"/>
    </row>
    <row r="34" spans="1:30">
      <c r="A34" s="302" t="s">
        <v>2220</v>
      </c>
      <c r="B34" s="2022" t="s">
        <v>3378</v>
      </c>
      <c r="C34" s="2022" t="s">
        <v>3379</v>
      </c>
      <c r="D34" s="2022" t="s">
        <v>3380</v>
      </c>
      <c r="E34" s="2022" t="s">
        <v>3381</v>
      </c>
      <c r="F34" s="2022" t="s">
        <v>3382</v>
      </c>
      <c r="G34" s="2022" t="s">
        <v>3383</v>
      </c>
      <c r="H34" s="2022"/>
      <c r="I34" s="2654"/>
      <c r="J34" s="2435"/>
      <c r="K34" s="2423">
        <f>COUNTIF(B34:H34,"——")</f>
        <v>0</v>
      </c>
      <c r="L34" s="323" t="s">
        <v>2221</v>
      </c>
      <c r="M34" s="323" t="s">
        <v>2222</v>
      </c>
      <c r="N34" s="323" t="s">
        <v>2223</v>
      </c>
      <c r="O34" s="323" t="s">
        <v>2224</v>
      </c>
      <c r="P34" s="323" t="s">
        <v>2225</v>
      </c>
      <c r="Q34" s="323" t="s">
        <v>2226</v>
      </c>
      <c r="R34" s="323" t="s">
        <v>2227</v>
      </c>
      <c r="S34" s="3646" t="s">
        <v>2228</v>
      </c>
      <c r="T34" s="2424" t="str">
        <f>NUMBERSTRING(7-K34,1)&amp;"通"</f>
        <v>七通</v>
      </c>
      <c r="U34" s="2435"/>
      <c r="V34" s="2435"/>
    </row>
    <row r="35" spans="1:30">
      <c r="A35" s="2425"/>
      <c r="B35" s="3653" t="s">
        <v>2229</v>
      </c>
      <c r="C35" s="3653"/>
      <c r="D35" s="3653"/>
      <c r="E35" s="3653"/>
      <c r="F35" s="664">
        <f>C10</f>
        <v>0</v>
      </c>
      <c r="G35" s="2654"/>
      <c r="H35" s="2654"/>
      <c r="I35" s="2654"/>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46"/>
      <c r="T35" s="329" t="str">
        <f>IF(T34="一通",L35,IF(T34="二通",M35,IF(T34="三通",N35,IF(T34="四通",O35,IF(T34="五通",P35,IF(T34="六通",Q35,R35))))))</f>
        <v>通路、通电、通讯、通上水、通下水、平整、</v>
      </c>
      <c r="U35" s="2435"/>
      <c r="V35" s="2435"/>
    </row>
    <row r="36" spans="1:30">
      <c r="A36" s="2426"/>
      <c r="B36" s="664" t="s">
        <v>2185</v>
      </c>
      <c r="C36" s="664" t="s">
        <v>2186</v>
      </c>
      <c r="D36" s="664" t="s">
        <v>2184</v>
      </c>
      <c r="E36" s="664" t="s">
        <v>2189</v>
      </c>
      <c r="F36" s="3055" t="s">
        <v>2574</v>
      </c>
      <c r="G36" s="2654"/>
      <c r="H36" s="2654"/>
      <c r="I36" s="2654"/>
      <c r="J36" s="2435"/>
      <c r="K36" s="2606"/>
      <c r="L36" s="2603"/>
      <c r="M36" s="2603"/>
      <c r="N36" s="2435"/>
      <c r="O36" s="2446"/>
      <c r="P36" s="2435"/>
      <c r="Q36" s="2435"/>
      <c r="R36" s="2435"/>
      <c r="S36" s="2435"/>
      <c r="T36" s="2435"/>
      <c r="U36" s="2435"/>
      <c r="V36" s="2435"/>
    </row>
    <row r="37" spans="1:30">
      <c r="A37" s="2620" t="s">
        <v>2230</v>
      </c>
      <c r="B37" s="2427" t="s">
        <v>304</v>
      </c>
      <c r="C37" s="2427" t="s">
        <v>304</v>
      </c>
      <c r="D37" s="2427" t="s">
        <v>304</v>
      </c>
      <c r="E37" s="2427" t="s">
        <v>304</v>
      </c>
      <c r="F37" s="2427" t="s">
        <v>304</v>
      </c>
      <c r="G37" s="2654"/>
      <c r="H37" s="2654"/>
      <c r="I37" s="2654"/>
      <c r="J37" s="2435"/>
      <c r="K37" s="2606"/>
      <c r="L37" s="2603"/>
      <c r="M37" s="2603"/>
      <c r="N37" s="2435"/>
      <c r="O37" s="2446"/>
      <c r="P37" s="2435"/>
      <c r="Q37" s="2435"/>
      <c r="R37" s="2435"/>
      <c r="S37" s="2435"/>
      <c r="T37" s="2435"/>
      <c r="U37" s="2435"/>
      <c r="V37" s="2435"/>
    </row>
    <row r="38" spans="1:30" ht="13.5" thickBot="1">
      <c r="A38" s="2621" t="s">
        <v>2231</v>
      </c>
      <c r="B38" s="2428" t="s">
        <v>3464</v>
      </c>
      <c r="C38" s="2428" t="s">
        <v>3464</v>
      </c>
      <c r="D38" s="2428" t="s">
        <v>3464</v>
      </c>
      <c r="E38" s="2428" t="s">
        <v>3464</v>
      </c>
      <c r="F38" s="2428" t="s">
        <v>3464</v>
      </c>
      <c r="G38" s="2655"/>
      <c r="H38" s="2655"/>
      <c r="I38" s="2655"/>
      <c r="J38" s="2435"/>
      <c r="K38" s="2606"/>
      <c r="L38" s="2603"/>
      <c r="M38" s="2603"/>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6"/>
      <c r="J40" s="2500"/>
      <c r="K40" s="2605"/>
      <c r="L40" s="2447"/>
      <c r="M40" s="2447"/>
      <c r="N40" s="2500"/>
      <c r="O40" s="2447"/>
      <c r="P40" s="2435"/>
      <c r="Q40" s="2435"/>
      <c r="R40" s="2435"/>
      <c r="S40" s="2435"/>
      <c r="T40" s="2435"/>
      <c r="U40" s="2435"/>
      <c r="V40" s="2435"/>
    </row>
    <row r="41" spans="1:30">
      <c r="A41" s="2432" t="s">
        <v>2233</v>
      </c>
      <c r="B41" s="1755"/>
      <c r="C41" s="1371"/>
      <c r="D41" s="2366"/>
      <c r="E41" s="2366"/>
      <c r="F41" s="2366"/>
      <c r="G41" s="2366"/>
      <c r="H41" s="2366"/>
      <c r="I41" s="1574"/>
      <c r="J41" s="2435"/>
      <c r="K41" s="2606"/>
      <c r="L41" s="2603"/>
      <c r="M41" s="2603"/>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35356.130000000005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35356.130000000005</v>
      </c>
      <c r="H5" s="13">
        <f t="shared" ref="H5:AT5" si="0">SUM(H13:H656)</f>
        <v>35135.550000000003</v>
      </c>
      <c r="I5" s="13">
        <f t="shared" si="0"/>
        <v>33089.26</v>
      </c>
      <c r="J5" s="13">
        <f t="shared" si="0"/>
        <v>0</v>
      </c>
      <c r="K5" s="13">
        <f t="shared" si="0"/>
        <v>1592.61</v>
      </c>
      <c r="L5" s="13">
        <f t="shared" si="0"/>
        <v>0</v>
      </c>
      <c r="M5" s="13">
        <f t="shared" si="0"/>
        <v>453.68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220.58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220.58</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35356.130000000005</v>
      </c>
      <c r="BA5" s="15">
        <f t="shared" si="1"/>
        <v>35135.550000000003</v>
      </c>
      <c r="BB5" s="15">
        <f t="shared" si="1"/>
        <v>33089.26</v>
      </c>
      <c r="BC5" s="15">
        <f t="shared" si="1"/>
        <v>1592.61</v>
      </c>
      <c r="BD5" s="15">
        <f t="shared" si="1"/>
        <v>453.68</v>
      </c>
      <c r="BE5" s="15">
        <f t="shared" si="1"/>
        <v>0</v>
      </c>
      <c r="BF5" s="15">
        <f t="shared" si="1"/>
        <v>0</v>
      </c>
      <c r="BG5" s="15">
        <f t="shared" si="1"/>
        <v>0</v>
      </c>
      <c r="BH5" s="15">
        <f t="shared" si="1"/>
        <v>0</v>
      </c>
      <c r="BI5" s="15">
        <f t="shared" si="1"/>
        <v>0</v>
      </c>
      <c r="BJ5" s="15">
        <f t="shared" si="1"/>
        <v>0</v>
      </c>
      <c r="BK5" s="15">
        <f t="shared" si="1"/>
        <v>0</v>
      </c>
      <c r="BL5" s="15">
        <f t="shared" si="1"/>
        <v>220.58</v>
      </c>
      <c r="BM5" s="15">
        <f t="shared" si="1"/>
        <v>0</v>
      </c>
      <c r="BN5" s="15">
        <f t="shared" si="1"/>
        <v>0</v>
      </c>
      <c r="BO5" s="15">
        <f t="shared" si="1"/>
        <v>0</v>
      </c>
      <c r="BP5" s="15">
        <f t="shared" si="1"/>
        <v>0</v>
      </c>
      <c r="BQ5" s="15">
        <f t="shared" si="1"/>
        <v>0</v>
      </c>
      <c r="BR5" s="15">
        <f t="shared" si="1"/>
        <v>220.58</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8"/>
      <c r="K9" s="1601" t="s">
        <v>3384</v>
      </c>
      <c r="L9" s="808"/>
      <c r="M9" s="1601" t="s">
        <v>3444</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21</v>
      </c>
      <c r="J10" s="808"/>
      <c r="K10" s="1607" t="s">
        <v>673</v>
      </c>
      <c r="L10" s="808"/>
      <c r="M10" s="1607" t="s">
        <v>3329</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3443</v>
      </c>
      <c r="J11" s="1613"/>
      <c r="K11" s="1612" t="s">
        <v>3445</v>
      </c>
      <c r="L11" s="1613"/>
      <c r="M11" s="1612" t="s">
        <v>3329</v>
      </c>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商业</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t="str">
        <f>K11</f>
        <v>独立商业</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v>34681.870000000003</v>
      </c>
      <c r="C13" s="1050" t="str">
        <f>'指标-规证'!A5</f>
        <v>3-C</v>
      </c>
      <c r="D13" s="1623" t="s">
        <v>3442</v>
      </c>
      <c r="E13" s="13">
        <f>IF($C$3="是",ROUND($A$3*G13/$B$3,2),ROUND($A$3*(G13-AT13)/$B$3,2))</f>
        <v>0</v>
      </c>
      <c r="F13" s="29"/>
      <c r="G13" s="30">
        <f>H13+AC13+AT13</f>
        <v>34681.870000000003</v>
      </c>
      <c r="H13" s="17">
        <f>SUMIF(I$12:AB$12,"总值",I13:AB13)</f>
        <v>34681.870000000003</v>
      </c>
      <c r="I13" s="1624">
        <f>B13-K13</f>
        <v>33089.26</v>
      </c>
      <c r="J13" s="1624"/>
      <c r="K13" s="1624">
        <v>1592.61</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34681.870000000003</v>
      </c>
      <c r="AX13" s="8" t="str">
        <f t="shared" si="6"/>
        <v>3-C</v>
      </c>
      <c r="AY13" s="1347">
        <f>ROUND($AY$6*AZ13/$AZ$5,2)</f>
        <v>0</v>
      </c>
      <c r="AZ13" s="13">
        <f>BA13+BL13</f>
        <v>34681.870000000003</v>
      </c>
      <c r="BA13" s="13">
        <f>SUM(BB13:BK13)</f>
        <v>34681.870000000003</v>
      </c>
      <c r="BB13" s="13">
        <f>IF($D13="是",I13-J13,0)</f>
        <v>33089.26</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t="str">
        <f>'指标-规证'!A6</f>
        <v>3地下车库</v>
      </c>
      <c r="D16" s="1623" t="s">
        <v>3442</v>
      </c>
      <c r="E16" s="13">
        <f>IF($C$3="是",ROUND($A$3*G16/$B$3,2),ROUND($A$3*(G16-AT16)/$B$3,2))</f>
        <v>0</v>
      </c>
      <c r="F16" s="29"/>
      <c r="G16" s="30">
        <f>H16+AC16+AT16</f>
        <v>674.26</v>
      </c>
      <c r="H16" s="17">
        <f>SUMIF(I$12:AB$12,"总值",I16:AB16)</f>
        <v>453.68</v>
      </c>
      <c r="I16" s="1624"/>
      <c r="J16" s="1624"/>
      <c r="K16" s="1624"/>
      <c r="L16" s="1624"/>
      <c r="M16" s="1624">
        <v>453.68</v>
      </c>
      <c r="N16" s="1624"/>
      <c r="O16" s="1624"/>
      <c r="P16" s="1624"/>
      <c r="Q16" s="1624"/>
      <c r="R16" s="1624"/>
      <c r="S16" s="1624"/>
      <c r="T16" s="1624"/>
      <c r="U16" s="1624"/>
      <c r="V16" s="1624"/>
      <c r="W16" s="1624"/>
      <c r="X16" s="1624"/>
      <c r="Y16" s="1624"/>
      <c r="Z16" s="1624"/>
      <c r="AA16" s="1624"/>
      <c r="AB16" s="1624"/>
      <c r="AC16" s="13">
        <f>SUMIF(AD$12:AS$12,"总值",AD16:AS16)</f>
        <v>220.58</v>
      </c>
      <c r="AD16" s="1625"/>
      <c r="AE16" s="1625"/>
      <c r="AF16" s="1625"/>
      <c r="AG16" s="1625"/>
      <c r="AH16" s="1625"/>
      <c r="AI16" s="1625"/>
      <c r="AJ16" s="1625"/>
      <c r="AK16" s="1625"/>
      <c r="AL16" s="1625"/>
      <c r="AM16" s="1625"/>
      <c r="AN16" s="1625">
        <v>220.58</v>
      </c>
      <c r="AO16" s="1625"/>
      <c r="AP16" s="1625"/>
      <c r="AQ16" s="1625"/>
      <c r="AR16" s="1625"/>
      <c r="AS16" s="1625"/>
      <c r="AT16" s="1626"/>
      <c r="AU16" s="1627"/>
      <c r="AV16" s="8">
        <f t="shared" si="6"/>
        <v>0</v>
      </c>
      <c r="AW16" s="8">
        <f t="shared" si="6"/>
        <v>0</v>
      </c>
      <c r="AX16" s="8" t="str">
        <f t="shared" si="6"/>
        <v>3地下车库</v>
      </c>
      <c r="AY16" s="1347">
        <f>ROUND($AY$6*AZ16/$AZ$5,2)</f>
        <v>0</v>
      </c>
      <c r="AZ16" s="13">
        <f>BA16+BL16</f>
        <v>674.26</v>
      </c>
      <c r="BA16" s="13">
        <f>SUM(BB16:BK16)</f>
        <v>453.68</v>
      </c>
      <c r="BB16" s="13">
        <f>IF($D16="是",I16-J16,0)</f>
        <v>0</v>
      </c>
      <c r="BC16" s="13">
        <f>IF($D16="是",K16-L16,0)</f>
        <v>0</v>
      </c>
      <c r="BD16" s="13">
        <f>IF($D16="是",M16-N16,0)</f>
        <v>453.68</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220.58</v>
      </c>
      <c r="BM16" s="13">
        <f>IF($D16="是",AD16-AE16,0)</f>
        <v>0</v>
      </c>
      <c r="BN16" s="13">
        <f>IF($D16="是",AF16-AG16,0)</f>
        <v>0</v>
      </c>
      <c r="BO16" s="13">
        <f>IF($D16="是",AH16-AI16,0)</f>
        <v>0</v>
      </c>
      <c r="BP16" s="13">
        <f>IF($D16="是",AJ16-AK16,0)</f>
        <v>0</v>
      </c>
      <c r="BQ16" s="13">
        <f>IF($D16="是",AL16-AM16,0)</f>
        <v>0</v>
      </c>
      <c r="BR16" s="13">
        <f>IF($D16="是",AN16-AO16,0)</f>
        <v>220.58</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446" t="s">
        <v>3419</v>
      </c>
      <c r="B1" s="3446" t="s">
        <v>3421</v>
      </c>
      <c r="C1" s="3446" t="s">
        <v>3422</v>
      </c>
      <c r="D1" s="3446"/>
      <c r="H1" s="3446" t="s">
        <v>3424</v>
      </c>
      <c r="I1" s="3446"/>
      <c r="M1" s="3446" t="s">
        <v>3426</v>
      </c>
      <c r="R1" s="3446" t="s">
        <v>3679</v>
      </c>
      <c r="S1" s="3446" t="s">
        <v>3680</v>
      </c>
    </row>
    <row r="2" spans="1:19">
      <c r="C2" s="3446" t="s">
        <v>3423</v>
      </c>
      <c r="D2" s="3446" t="s">
        <v>3437</v>
      </c>
      <c r="E2" s="3446" t="s">
        <v>3425</v>
      </c>
      <c r="F2" s="3446" t="s">
        <v>3436</v>
      </c>
      <c r="G2" s="3446" t="s">
        <v>3438</v>
      </c>
      <c r="H2" s="3446" t="s">
        <v>3423</v>
      </c>
      <c r="I2" s="3446" t="s">
        <v>3441</v>
      </c>
      <c r="J2" s="3446" t="s">
        <v>3439</v>
      </c>
      <c r="K2" s="3446" t="s">
        <v>3436</v>
      </c>
      <c r="L2" s="3446" t="s">
        <v>3440</v>
      </c>
      <c r="M2" s="3446" t="s">
        <v>3422</v>
      </c>
      <c r="N2" s="3446" t="s">
        <v>3427</v>
      </c>
      <c r="R2">
        <v>10883.75</v>
      </c>
      <c r="S2">
        <f>ROUND((C3+C4+C5+C6)/R2,1)</f>
        <v>3.5</v>
      </c>
    </row>
    <row r="3" spans="1:19">
      <c r="A3" s="3446" t="s">
        <v>3420</v>
      </c>
      <c r="B3">
        <f>C3+H3</f>
        <v>1069.8499999999999</v>
      </c>
      <c r="C3">
        <f>SUM(D3:G3)</f>
        <v>1069.8499999999999</v>
      </c>
      <c r="E3">
        <v>1069.8499999999999</v>
      </c>
      <c r="H3">
        <f>SUM(I3:L3)</f>
        <v>0</v>
      </c>
      <c r="M3">
        <v>1</v>
      </c>
      <c r="N3">
        <v>-1</v>
      </c>
    </row>
    <row r="4" spans="1:19">
      <c r="A4" s="3446" t="s">
        <v>3428</v>
      </c>
      <c r="B4">
        <f t="shared" ref="B4:B13" si="0">C4+H4</f>
        <v>2266.98</v>
      </c>
      <c r="C4">
        <f t="shared" ref="C4:C13" si="1">SUM(D4:G4)</f>
        <v>2266.98</v>
      </c>
      <c r="E4">
        <v>2156.15</v>
      </c>
      <c r="F4">
        <f>58.56+52.27</f>
        <v>110.83000000000001</v>
      </c>
      <c r="H4">
        <f t="shared" ref="H4:H13" si="2">SUM(I4:L4)</f>
        <v>0</v>
      </c>
      <c r="M4">
        <v>2</v>
      </c>
      <c r="N4">
        <v>-1</v>
      </c>
    </row>
    <row r="5" spans="1:19" s="3459" customFormat="1">
      <c r="A5" s="3458" t="s">
        <v>3429</v>
      </c>
      <c r="B5" s="3459">
        <f t="shared" si="0"/>
        <v>34675.24</v>
      </c>
      <c r="C5" s="3459">
        <f t="shared" si="1"/>
        <v>34675.24</v>
      </c>
      <c r="D5" s="3459">
        <f>34675.24-F5</f>
        <v>34621.879999999997</v>
      </c>
      <c r="F5" s="3459">
        <v>53.36</v>
      </c>
      <c r="H5" s="3459">
        <f t="shared" si="2"/>
        <v>0</v>
      </c>
      <c r="M5" s="3459">
        <v>23</v>
      </c>
      <c r="N5" s="3459">
        <v>-1</v>
      </c>
      <c r="S5" s="3459">
        <v>34681</v>
      </c>
    </row>
    <row r="6" spans="1:19">
      <c r="A6" s="3446" t="s">
        <v>3430</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446" t="s">
        <v>3681</v>
      </c>
    </row>
    <row r="8" spans="1:19">
      <c r="B8">
        <f t="shared" si="0"/>
        <v>0</v>
      </c>
      <c r="C8">
        <f t="shared" si="1"/>
        <v>0</v>
      </c>
      <c r="H8">
        <f t="shared" si="2"/>
        <v>0</v>
      </c>
    </row>
    <row r="9" spans="1:19" s="3459" customFormat="1">
      <c r="A9" s="3458" t="s">
        <v>3431</v>
      </c>
      <c r="B9" s="3459">
        <f t="shared" si="0"/>
        <v>30835.68</v>
      </c>
      <c r="C9" s="3459">
        <f t="shared" si="1"/>
        <v>30835.68</v>
      </c>
      <c r="D9" s="3459">
        <f>29070.68-F9</f>
        <v>29008.86</v>
      </c>
      <c r="E9" s="3459">
        <v>1765</v>
      </c>
      <c r="F9" s="3459">
        <v>61.82</v>
      </c>
      <c r="H9" s="3459">
        <f t="shared" si="2"/>
        <v>0</v>
      </c>
      <c r="M9" s="3459">
        <v>25</v>
      </c>
      <c r="N9" s="3459">
        <v>-2</v>
      </c>
      <c r="S9" s="3459">
        <v>30860</v>
      </c>
    </row>
    <row r="10" spans="1:19" s="3459" customFormat="1">
      <c r="A10" s="3458" t="s">
        <v>3432</v>
      </c>
      <c r="B10" s="3459">
        <f t="shared" si="0"/>
        <v>31253.08</v>
      </c>
      <c r="C10" s="3459">
        <f t="shared" si="1"/>
        <v>31253.08</v>
      </c>
      <c r="D10" s="3459">
        <v>29009.08</v>
      </c>
      <c r="E10" s="3459">
        <v>2235</v>
      </c>
      <c r="G10" s="3459">
        <v>9</v>
      </c>
      <c r="H10" s="3459">
        <f t="shared" si="2"/>
        <v>0</v>
      </c>
      <c r="M10" s="3459">
        <v>25</v>
      </c>
      <c r="N10" s="3459">
        <v>-2</v>
      </c>
      <c r="S10" s="3459">
        <v>31261</v>
      </c>
    </row>
    <row r="11" spans="1:19">
      <c r="A11" s="3446" t="s">
        <v>3433</v>
      </c>
      <c r="B11">
        <f t="shared" si="0"/>
        <v>1605.04</v>
      </c>
      <c r="C11">
        <f t="shared" si="1"/>
        <v>1605.04</v>
      </c>
      <c r="E11">
        <v>1605.04</v>
      </c>
      <c r="H11">
        <f t="shared" si="2"/>
        <v>0</v>
      </c>
      <c r="M11">
        <v>2</v>
      </c>
      <c r="N11">
        <v>-2</v>
      </c>
    </row>
    <row r="12" spans="1:19">
      <c r="A12" s="3446" t="s">
        <v>3434</v>
      </c>
      <c r="B12">
        <f t="shared" si="0"/>
        <v>1296.9299999999998</v>
      </c>
      <c r="C12">
        <f t="shared" si="1"/>
        <v>1296.9299999999998</v>
      </c>
      <c r="E12">
        <v>1046.06</v>
      </c>
      <c r="F12">
        <v>250.87</v>
      </c>
      <c r="H12">
        <f t="shared" si="2"/>
        <v>0</v>
      </c>
      <c r="M12">
        <v>1</v>
      </c>
      <c r="N12">
        <v>-2</v>
      </c>
    </row>
    <row r="13" spans="1:19">
      <c r="A13" s="3446" t="s">
        <v>3435</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39"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63" t="s">
        <v>1131</v>
      </c>
      <c r="B2" s="3663"/>
      <c r="C2" s="3663"/>
      <c r="D2" s="795" t="s">
        <v>1107</v>
      </c>
      <c r="E2" s="1637" t="s">
        <v>1108</v>
      </c>
      <c r="F2" s="2649"/>
      <c r="G2" s="2640"/>
      <c r="H2" s="2641"/>
      <c r="I2" s="2321" t="s">
        <v>1132</v>
      </c>
      <c r="J2" s="2649"/>
      <c r="K2" s="2649"/>
      <c r="L2" s="2649"/>
      <c r="M2" s="2649"/>
      <c r="N2" s="2651"/>
      <c r="O2" s="2649"/>
      <c r="P2" s="2649"/>
    </row>
    <row r="3" spans="1:16" ht="15.75" thickBot="1">
      <c r="A3" s="3664" t="s">
        <v>1105</v>
      </c>
      <c r="B3" s="3664"/>
      <c r="C3" s="3664"/>
      <c r="D3" s="43">
        <f>'数据-基础表'!AY6</f>
        <v>0</v>
      </c>
      <c r="E3" s="43">
        <f>'数据-基础表'!AZ5</f>
        <v>35356.130000000005</v>
      </c>
      <c r="F3" s="2649"/>
      <c r="G3" s="1144"/>
      <c r="H3" s="1025" t="s">
        <v>1106</v>
      </c>
      <c r="I3" s="854" t="e">
        <f>ROUND('数据-基础表'!B3/'数据-基础表'!A3,2)</f>
        <v>#DIV/0!</v>
      </c>
      <c r="J3" s="2649"/>
      <c r="K3" s="2649"/>
      <c r="L3" s="2649"/>
      <c r="M3" s="2649"/>
      <c r="N3" s="2651"/>
      <c r="O3" s="2649"/>
      <c r="P3" s="2649"/>
    </row>
    <row r="4" spans="1:16" ht="15">
      <c r="A4" s="3665"/>
      <c r="B4" s="3666"/>
      <c r="C4" s="3667"/>
      <c r="D4" s="1639" t="s">
        <v>1107</v>
      </c>
      <c r="E4" s="1640" t="s">
        <v>1108</v>
      </c>
      <c r="F4" s="2649"/>
      <c r="G4" s="2642" t="s">
        <v>1133</v>
      </c>
      <c r="H4" s="1025" t="s">
        <v>1113</v>
      </c>
      <c r="I4" s="854" t="e">
        <f>ROUND(SUMIF('数据-基础表'!I9:AS9,"地上",'数据-基础表'!I5:AS5)/'数据-基础表'!A3,2)</f>
        <v>#DIV/0!</v>
      </c>
      <c r="J4" s="2649"/>
      <c r="K4" s="2649"/>
      <c r="L4" s="2649"/>
      <c r="M4" s="2649"/>
      <c r="N4" s="2651"/>
      <c r="O4" s="2649"/>
      <c r="P4" s="2649"/>
    </row>
    <row r="5" spans="1:16">
      <c r="A5" s="44" t="s">
        <v>1109</v>
      </c>
      <c r="B5" s="3668" t="s">
        <v>1110</v>
      </c>
      <c r="C5" s="3668"/>
      <c r="D5" s="45">
        <f>ROUND($D$3*E5/$E$3,2)</f>
        <v>0</v>
      </c>
      <c r="E5" s="46">
        <f>SUMIF('数据-基础表'!$11:$11,"住宅",'数据-基础表'!$5:$5)</f>
        <v>0</v>
      </c>
      <c r="F5" s="2649"/>
      <c r="G5" s="1144"/>
      <c r="H5" s="1025" t="s">
        <v>1106</v>
      </c>
      <c r="I5" s="854" t="e">
        <f>ROUND(E31/D31,2)</f>
        <v>#DIV/0!</v>
      </c>
      <c r="J5" s="2649"/>
      <c r="K5" s="2649"/>
      <c r="L5" s="2649"/>
      <c r="M5" s="2649"/>
      <c r="N5" s="2649"/>
      <c r="O5" s="2649"/>
      <c r="P5" s="2649"/>
    </row>
    <row r="6" spans="1:16" ht="15" thickBot="1">
      <c r="A6" s="1642"/>
      <c r="B6" s="3668" t="s">
        <v>1111</v>
      </c>
      <c r="C6" s="3668"/>
      <c r="D6" s="45">
        <f>ROUND($D$3*E6/$E$3,2)</f>
        <v>0</v>
      </c>
      <c r="E6" s="46">
        <f>E3-E5</f>
        <v>35356.130000000005</v>
      </c>
      <c r="F6" s="2649"/>
      <c r="G6" s="2643" t="s">
        <v>1112</v>
      </c>
      <c r="H6" s="1145" t="s">
        <v>1113</v>
      </c>
      <c r="I6" s="2644" t="e">
        <f>ROUND(F31/D31,2)</f>
        <v>#DIV/0!</v>
      </c>
      <c r="J6" s="2649"/>
      <c r="K6" s="2649"/>
      <c r="L6" s="2649"/>
      <c r="M6" s="2649"/>
      <c r="N6" s="2649"/>
      <c r="O6" s="2649"/>
      <c r="P6" s="2649"/>
    </row>
    <row r="7" spans="1:16" ht="15.75" thickBot="1">
      <c r="A7" s="3660"/>
      <c r="B7" s="3661"/>
      <c r="C7" s="3662"/>
      <c r="D7" s="1639" t="s">
        <v>1107</v>
      </c>
      <c r="E7" s="1643" t="s">
        <v>1114</v>
      </c>
      <c r="F7" s="2649"/>
      <c r="G7" s="2645" t="s">
        <v>1115</v>
      </c>
      <c r="H7" s="2646"/>
      <c r="I7" s="2647">
        <f>'指标-规证'!S2</f>
        <v>3.5</v>
      </c>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34681.870000000003</v>
      </c>
      <c r="F8" s="2649"/>
      <c r="G8" s="2650"/>
      <c r="H8" s="2650"/>
      <c r="I8" s="2649"/>
      <c r="J8" s="2649"/>
      <c r="K8" s="2649"/>
      <c r="L8" s="2649"/>
      <c r="M8" s="2649"/>
      <c r="N8" s="2649"/>
      <c r="O8" s="2649"/>
      <c r="P8" s="2649"/>
    </row>
    <row r="9" spans="1:16">
      <c r="A9" s="1644"/>
      <c r="B9" s="1645"/>
      <c r="C9" s="45" t="s">
        <v>1119</v>
      </c>
      <c r="D9" s="45">
        <f t="shared" si="0"/>
        <v>0</v>
      </c>
      <c r="E9" s="49">
        <v>0</v>
      </c>
      <c r="F9" s="2649"/>
      <c r="G9" s="2650"/>
      <c r="H9" s="2650"/>
      <c r="I9" s="2649"/>
      <c r="J9" s="2649"/>
      <c r="K9" s="2649"/>
      <c r="L9" s="2649"/>
      <c r="M9" s="2649"/>
      <c r="N9" s="2649"/>
      <c r="O9" s="2649"/>
      <c r="P9" s="2649"/>
    </row>
    <row r="10" spans="1:16">
      <c r="A10" s="1644"/>
      <c r="B10" s="1645"/>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4"/>
      <c r="B11" s="1645"/>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4"/>
      <c r="B12" s="1645"/>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4"/>
      <c r="B13" s="1645"/>
      <c r="C13" s="45" t="s">
        <v>1122</v>
      </c>
      <c r="D13" s="45">
        <f t="shared" si="0"/>
        <v>0</v>
      </c>
      <c r="E13" s="48">
        <f>SUMPRODUCT(('数据-基础表'!BB10:BK10="地下")*('数据-基础表'!BB11:BK11="车库")*('数据-基础表'!BB5:BK5))</f>
        <v>453.68</v>
      </c>
      <c r="F13" s="2649"/>
      <c r="G13" s="2650"/>
      <c r="H13" s="2650"/>
      <c r="I13" s="2649"/>
      <c r="J13" s="2649"/>
      <c r="K13" s="2649"/>
      <c r="L13" s="2649"/>
      <c r="M13" s="2649"/>
      <c r="N13" s="2649"/>
      <c r="O13" s="2649"/>
      <c r="P13" s="2649"/>
    </row>
    <row r="14" spans="1:16">
      <c r="A14" s="1644"/>
      <c r="B14" s="1645"/>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4"/>
      <c r="B15" s="1645"/>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2"/>
      <c r="B16" s="1645"/>
      <c r="C16" s="47" t="s">
        <v>1123</v>
      </c>
      <c r="D16" s="47">
        <f>SUM(D8:D15)</f>
        <v>0</v>
      </c>
      <c r="E16" s="50">
        <f>SUM(E8:E15)</f>
        <v>35135.550000000003</v>
      </c>
      <c r="F16" s="2649"/>
      <c r="G16" s="2650"/>
      <c r="H16" s="1646" t="s">
        <v>1135</v>
      </c>
      <c r="I16" s="1647"/>
      <c r="J16" s="1138"/>
      <c r="K16" s="3657" t="s">
        <v>1135</v>
      </c>
      <c r="L16" s="3658"/>
      <c r="M16" s="3658"/>
      <c r="N16" s="3658"/>
      <c r="O16" s="3658"/>
      <c r="P16" s="3659"/>
    </row>
    <row r="17" spans="1:19" ht="15">
      <c r="A17" s="1648" t="s">
        <v>1136</v>
      </c>
      <c r="B17" s="1649" t="s">
        <v>1137</v>
      </c>
      <c r="C17" s="1650" t="s">
        <v>1138</v>
      </c>
      <c r="D17" s="1651" t="s">
        <v>1126</v>
      </c>
      <c r="E17" s="1652" t="s">
        <v>1127</v>
      </c>
      <c r="F17" s="1653"/>
      <c r="G17" s="1654"/>
      <c r="H17" s="1655" t="s">
        <v>1139</v>
      </c>
      <c r="I17" s="1656" t="s">
        <v>1124</v>
      </c>
      <c r="J17" s="1138"/>
      <c r="K17" s="3654" t="s">
        <v>1140</v>
      </c>
      <c r="L17" s="3655"/>
      <c r="M17" s="3656"/>
      <c r="N17" s="3654" t="s">
        <v>1141</v>
      </c>
      <c r="O17" s="3655"/>
      <c r="P17" s="3656"/>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07" t="s">
        <v>3447</v>
      </c>
      <c r="D19" s="45">
        <f>ROUND($D$3*E19/$E$3,2)</f>
        <v>0</v>
      </c>
      <c r="E19" s="53">
        <f t="shared" ref="E19:E26" si="1">SUM(F19:G19)</f>
        <v>33089.26</v>
      </c>
      <c r="F19" s="2785">
        <f>'数据-基础表'!BB5</f>
        <v>33089.26</v>
      </c>
      <c r="G19" s="2786"/>
      <c r="H19" s="670">
        <f>ROUND($D$3*I19/$E$3,2)</f>
        <v>0</v>
      </c>
      <c r="I19" s="48">
        <f t="shared" ref="I19:I26" si="2">IF($I$17="自定义",P19,M19)</f>
        <v>207.73</v>
      </c>
      <c r="J19" s="1138"/>
      <c r="K19" s="1137">
        <f t="shared" ref="K19:K26" si="3">ROUND(E$28*E19/E$27,2)</f>
        <v>207.73</v>
      </c>
      <c r="L19" s="1025">
        <f t="shared" ref="L19:L26" si="4">ROUND(IF(COUNTIF(C19,"*住宅*")&gt;0,E$29*E19/E$32,0),2)</f>
        <v>0</v>
      </c>
      <c r="M19" s="1149">
        <f>K19+L19</f>
        <v>207.73</v>
      </c>
      <c r="N19" s="1666"/>
      <c r="O19" s="1667"/>
      <c r="P19" s="1149">
        <f>N19+O19</f>
        <v>0</v>
      </c>
      <c r="R19" s="1025">
        <f t="shared" ref="R19:S26" si="5">D19+H19</f>
        <v>0</v>
      </c>
      <c r="S19" s="1026">
        <f t="shared" si="5"/>
        <v>33296.990000000005</v>
      </c>
    </row>
    <row r="20" spans="1:19">
      <c r="A20" s="1668"/>
      <c r="B20" s="47" t="s">
        <v>1153</v>
      </c>
      <c r="C20" s="3407" t="s">
        <v>3449</v>
      </c>
      <c r="D20" s="45">
        <f t="shared" ref="D20:D26" si="6">ROUND($D$3*E20/$E$3,2)</f>
        <v>0</v>
      </c>
      <c r="E20" s="53">
        <f t="shared" si="1"/>
        <v>1592.61</v>
      </c>
      <c r="F20" s="2785">
        <f>'数据-基础表'!BC5</f>
        <v>1592.61</v>
      </c>
      <c r="G20" s="2786"/>
      <c r="H20" s="670">
        <f t="shared" ref="H20:H26" si="7">ROUND($D$3*I20/$E$3,2)</f>
        <v>0</v>
      </c>
      <c r="I20" s="48">
        <f t="shared" si="2"/>
        <v>10</v>
      </c>
      <c r="J20" s="1138"/>
      <c r="K20" s="1137">
        <f t="shared" si="3"/>
        <v>10</v>
      </c>
      <c r="L20" s="1025">
        <f t="shared" si="4"/>
        <v>0</v>
      </c>
      <c r="M20" s="1149">
        <f t="shared" ref="M20:M26" si="8">K20+L20</f>
        <v>10</v>
      </c>
      <c r="N20" s="1666"/>
      <c r="O20" s="1667"/>
      <c r="P20" s="1149">
        <f t="shared" ref="P20:P26" si="9">N20+O20</f>
        <v>0</v>
      </c>
      <c r="R20" s="1025">
        <f t="shared" si="5"/>
        <v>0</v>
      </c>
      <c r="S20" s="1026">
        <f t="shared" si="5"/>
        <v>1602.61</v>
      </c>
    </row>
    <row r="21" spans="1:19">
      <c r="A21" s="1668"/>
      <c r="B21" s="47" t="s">
        <v>1153</v>
      </c>
      <c r="C21" s="3407" t="s">
        <v>3451</v>
      </c>
      <c r="D21" s="45">
        <f t="shared" si="6"/>
        <v>0</v>
      </c>
      <c r="E21" s="53">
        <f t="shared" si="1"/>
        <v>453.68</v>
      </c>
      <c r="F21" s="2785"/>
      <c r="G21" s="2786">
        <f>'数据-基础表'!BD5</f>
        <v>453.68</v>
      </c>
      <c r="H21" s="670">
        <f t="shared" si="7"/>
        <v>0</v>
      </c>
      <c r="I21" s="48">
        <f t="shared" si="2"/>
        <v>2.85</v>
      </c>
      <c r="J21" s="1138"/>
      <c r="K21" s="1137">
        <f t="shared" si="3"/>
        <v>2.85</v>
      </c>
      <c r="L21" s="1025">
        <f t="shared" si="4"/>
        <v>0</v>
      </c>
      <c r="M21" s="1149">
        <f t="shared" si="8"/>
        <v>2.85</v>
      </c>
      <c r="N21" s="1666"/>
      <c r="O21" s="1667"/>
      <c r="P21" s="1149">
        <f t="shared" si="9"/>
        <v>0</v>
      </c>
      <c r="R21" s="1025">
        <f t="shared" si="5"/>
        <v>0</v>
      </c>
      <c r="S21" s="1026">
        <f t="shared" si="5"/>
        <v>456.53000000000003</v>
      </c>
    </row>
    <row r="22" spans="1:19">
      <c r="A22" s="1668"/>
      <c r="B22" s="47" t="s">
        <v>1153</v>
      </c>
      <c r="C22" s="3408"/>
      <c r="D22" s="45">
        <f t="shared" si="6"/>
        <v>0</v>
      </c>
      <c r="E22" s="53">
        <f t="shared" si="1"/>
        <v>0</v>
      </c>
      <c r="F22" s="2787"/>
      <c r="G22" s="2788"/>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08"/>
      <c r="D23" s="45">
        <f>ROUND($D$3*E23/$E$3,2)</f>
        <v>0</v>
      </c>
      <c r="E23" s="53">
        <f>SUM(F23:G23)</f>
        <v>0</v>
      </c>
      <c r="F23" s="2787"/>
      <c r="G23" s="2788"/>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08"/>
      <c r="D24" s="45">
        <f>ROUND($D$3*E24/$E$3,2)</f>
        <v>0</v>
      </c>
      <c r="E24" s="53">
        <f>SUM(F24:G24)</f>
        <v>0</v>
      </c>
      <c r="F24" s="2787"/>
      <c r="G24" s="2788"/>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08"/>
      <c r="D25" s="45">
        <f t="shared" si="6"/>
        <v>0</v>
      </c>
      <c r="E25" s="53">
        <f t="shared" si="1"/>
        <v>0</v>
      </c>
      <c r="F25" s="2787"/>
      <c r="G25" s="2788"/>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87"/>
      <c r="G26" s="2788"/>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35135.550000000003</v>
      </c>
      <c r="F27" s="1139">
        <f>IF(SUM(F19:F26)=E8,SUM(F19:F26),"地上面积有误")</f>
        <v>34681.870000000003</v>
      </c>
      <c r="G27" s="1141">
        <f>SUM(G19:G26)</f>
        <v>453.68</v>
      </c>
      <c r="H27" s="1142">
        <f>SUM(H19:H26)</f>
        <v>0</v>
      </c>
      <c r="I27" s="1143">
        <f>SUM(I19:I26)</f>
        <v>220.57999999999998</v>
      </c>
      <c r="J27" s="1138"/>
      <c r="K27" s="1146">
        <f>SUM(K19:K26)</f>
        <v>220.57999999999998</v>
      </c>
      <c r="L27" s="1147">
        <f>SUM(L19:L26)</f>
        <v>0</v>
      </c>
      <c r="M27" s="1150">
        <f>SUM(M19:M26)</f>
        <v>220.57999999999998</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35356.130000000005</v>
      </c>
    </row>
    <row r="28" spans="1:19">
      <c r="A28" s="1668"/>
      <c r="B28" s="47" t="s">
        <v>1155</v>
      </c>
      <c r="C28" s="1037" t="s">
        <v>1156</v>
      </c>
      <c r="D28" s="45">
        <f>ROUND($D$3*E28/$E$3,2)</f>
        <v>0</v>
      </c>
      <c r="E28" s="53">
        <f>SUM(F28:G28)</f>
        <v>220.58</v>
      </c>
      <c r="F28" s="56">
        <f>'数据-基础表'!BQ5+'数据-基础表'!BS5</f>
        <v>0</v>
      </c>
      <c r="G28" s="57">
        <f>'数据-基础表'!BR5+'数据-基础表'!BT5</f>
        <v>220.58</v>
      </c>
      <c r="H28" s="2649"/>
      <c r="I28" s="2649"/>
      <c r="J28" s="2649"/>
      <c r="K28" s="2649"/>
      <c r="L28" s="2649"/>
      <c r="M28" s="2649"/>
      <c r="N28" s="2649"/>
      <c r="O28" s="2649"/>
      <c r="P28" s="2649"/>
    </row>
    <row r="29" spans="1:19">
      <c r="A29" s="1668"/>
      <c r="B29" s="47" t="s">
        <v>1155</v>
      </c>
      <c r="C29" s="1672"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8"/>
      <c r="B30" s="47"/>
      <c r="C30" s="1673" t="s">
        <v>1154</v>
      </c>
      <c r="D30" s="1139">
        <f>SUM(D28:D29)</f>
        <v>0</v>
      </c>
      <c r="E30" s="1139">
        <f>SUM(E28:E29)</f>
        <v>220.58</v>
      </c>
      <c r="F30" s="1139">
        <f>SUM(F28:F29)</f>
        <v>0</v>
      </c>
      <c r="G30" s="1141">
        <f>SUM(G28:G29)</f>
        <v>220.58</v>
      </c>
      <c r="H30" s="2649"/>
      <c r="I30" s="2649"/>
      <c r="J30" s="2649"/>
      <c r="K30" s="2649"/>
      <c r="L30" s="2649"/>
      <c r="M30" s="2649"/>
      <c r="N30" s="2649"/>
      <c r="O30" s="2649"/>
      <c r="P30" s="2649"/>
    </row>
    <row r="31" spans="1:19" ht="15.75" thickBot="1">
      <c r="A31" s="1674"/>
      <c r="B31" s="1675"/>
      <c r="C31" s="834" t="s">
        <v>1158</v>
      </c>
      <c r="D31" s="676">
        <f>D27+D30</f>
        <v>0</v>
      </c>
      <c r="E31" s="676">
        <f>E27+E30</f>
        <v>35356.130000000005</v>
      </c>
      <c r="F31" s="677">
        <f>F27+F30</f>
        <v>34681.870000000003</v>
      </c>
      <c r="G31" s="678">
        <f>G27+G30</f>
        <v>674.26</v>
      </c>
      <c r="H31" s="2649"/>
      <c r="I31" s="2649"/>
      <c r="J31" s="2649"/>
      <c r="K31" s="2649"/>
      <c r="L31" s="2649"/>
      <c r="M31" s="2649"/>
      <c r="N31" s="2649"/>
      <c r="O31" s="2649"/>
      <c r="P31" s="2649"/>
    </row>
    <row r="32" spans="1:19">
      <c r="A32" s="1641"/>
      <c r="B32" s="1641" t="s">
        <v>1159</v>
      </c>
      <c r="C32" s="1641"/>
      <c r="D32" s="1641"/>
      <c r="E32" s="1052">
        <f>SUMIF(C19:C26,"*住宅*",E19:E26)</f>
        <v>0</v>
      </c>
      <c r="F32" s="1641"/>
      <c r="G32" s="1641"/>
      <c r="H32" s="2649"/>
      <c r="I32" s="2649"/>
      <c r="J32" s="2649"/>
      <c r="K32" s="2649"/>
      <c r="L32" s="2649"/>
      <c r="M32" s="2649"/>
      <c r="N32" s="2649"/>
      <c r="O32" s="2649"/>
      <c r="P32" s="2649"/>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AJ28" sqref="AJ28:AK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1"/>
      <c r="AO1" s="2661"/>
      <c r="AP1" s="2661"/>
      <c r="AQ1" s="2661"/>
      <c r="AR1" s="2661"/>
    </row>
    <row r="2" spans="1:67" s="1557" customFormat="1" ht="15.75" thickBot="1">
      <c r="A2" s="1681" t="s">
        <v>1161</v>
      </c>
      <c r="B2" s="1044">
        <f>项目基本情况!D3</f>
        <v>45160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3"/>
      <c r="AO2" s="2663"/>
      <c r="AP2" s="2663"/>
      <c r="AQ2" s="2663"/>
      <c r="AR2" s="2663"/>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3"/>
      <c r="AO3" s="2663"/>
      <c r="AP3" s="2663"/>
      <c r="AQ3" s="2663"/>
      <c r="AR3" s="2663"/>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48"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3"/>
      <c r="AO4" s="2663"/>
      <c r="AP4" s="2663"/>
      <c r="AQ4" s="2663"/>
      <c r="AR4" s="2663"/>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3389</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长租公寓</v>
      </c>
      <c r="B6" s="1711" t="str">
        <f>IF(A6=0,"","经营性")</f>
        <v>经营性</v>
      </c>
      <c r="C6" s="1712" t="s">
        <v>21</v>
      </c>
      <c r="D6" s="857">
        <f>SUMIF(项目基本情况!C$12:I$12,C6,项目基本情况!C$14:I$14)</f>
        <v>50</v>
      </c>
      <c r="E6" s="856">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29">
        <f>SUMIF('数据-汇总表'!C$19:C$33,A6,'数据-汇总表'!E$19:E$33)</f>
        <v>33089.26</v>
      </c>
      <c r="L6" s="3466">
        <v>5200</v>
      </c>
      <c r="M6" s="67">
        <f t="shared" ref="M6:M14" si="0">ROUND(K6*L6/10000,0)</f>
        <v>17206</v>
      </c>
      <c r="N6" s="731">
        <f>N19</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207.73</v>
      </c>
      <c r="T6" s="1171">
        <f>ROUND($L$14*S6/10000,0)</f>
        <v>87</v>
      </c>
      <c r="U6" s="3418"/>
      <c r="V6" s="70"/>
      <c r="W6" s="70"/>
      <c r="X6" s="1039"/>
      <c r="Y6" s="71"/>
      <c r="Z6" s="72">
        <v>3.8</v>
      </c>
      <c r="AA6" s="66">
        <v>2.5000000000000001E-2</v>
      </c>
      <c r="AB6" s="66">
        <v>0.05</v>
      </c>
      <c r="AC6" s="1039"/>
      <c r="AD6" s="73">
        <v>1</v>
      </c>
      <c r="AE6" s="1040">
        <f ca="1">IF(AN6="",0,SUMIF(INDIRECT("'"&amp;AN6&amp;"'"&amp;"!E:E"),$AE$5,INDIRECT("'"&amp;AN6&amp;"'"&amp;"!F:F")))</f>
        <v>47.75</v>
      </c>
      <c r="AF6" s="1346">
        <f>项目基本情况!I15</f>
        <v>0.35</v>
      </c>
      <c r="AG6" s="138">
        <f ca="1">IF(AF6="",0,AE6-AF6)</f>
        <v>47.4</v>
      </c>
      <c r="AH6" s="74"/>
      <c r="AI6" s="76">
        <v>365</v>
      </c>
      <c r="AJ6" s="77"/>
      <c r="AK6" s="78">
        <v>0.01</v>
      </c>
      <c r="AL6" s="79">
        <v>1E-3</v>
      </c>
      <c r="AM6" s="80">
        <v>0.01</v>
      </c>
      <c r="AN6" s="1713" t="s">
        <v>3452</v>
      </c>
      <c r="AO6" s="52">
        <f ca="1">SUMIF(INDIRECT("'"&amp;AN6&amp;"'"&amp;"!A:A"),"总价",INDIRECT("'"&amp;AN6&amp;"'"&amp;"!B:B"))</f>
        <v>82104</v>
      </c>
      <c r="AP6" s="1714">
        <f>IF(C6="住宅",K6*L6,0)</f>
        <v>0</v>
      </c>
      <c r="AQ6" s="52">
        <f>ROUND($L$14*$N$14*S6/10000,0)</f>
        <v>87</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1层商业</v>
      </c>
      <c r="B7" s="1711" t="str">
        <f t="shared" ref="B7:B13" si="1">IF(A7=0,"","经营性")</f>
        <v>经营性</v>
      </c>
      <c r="C7" s="1712" t="s">
        <v>673</v>
      </c>
      <c r="D7" s="857">
        <f>SUMIF(项目基本情况!C$12:I$12,C7,项目基本情况!C$14:I$14)</f>
        <v>40</v>
      </c>
      <c r="E7" s="856">
        <f>IF(B7="","",SUMIF(项目基本情况!C$12:I$12,C7,项目基本情况!C$13:I$13))</f>
        <v>58939</v>
      </c>
      <c r="F7" s="64">
        <f>SUMIF(项目基本情况!C$12:I$12,C7,项目基本情况!C$15:I$15)</f>
        <v>37.75</v>
      </c>
      <c r="G7" s="65">
        <f t="shared" ref="G7:G11" si="2">IF(ISERROR(ROUND(POWER(1+H7,D7-F7)*(POWER(1+H7,F7)-1)/(POWER(1+H7,D7)-1),3)),0,ROUND(POWER(1+H7,D7-F7)*(POWER(1+H7,F7)-1)/(POWER(1+H7,D7)-1),3))</f>
        <v>0.98099999999999998</v>
      </c>
      <c r="H7" s="732">
        <v>0.05</v>
      </c>
      <c r="I7" s="732">
        <v>5.5E-2</v>
      </c>
      <c r="J7" s="66">
        <f>J6</f>
        <v>7.0000000000000007E-2</v>
      </c>
      <c r="K7" s="1029">
        <f>SUMIF('数据-汇总表'!C$19:C$33,A7,'数据-汇总表'!E$19:E$33)</f>
        <v>1592.61</v>
      </c>
      <c r="L7" s="3466">
        <v>4200</v>
      </c>
      <c r="M7" s="67">
        <f t="shared" si="0"/>
        <v>669</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10</v>
      </c>
      <c r="T7" s="1171">
        <f t="shared" ref="T7:T13" si="5">ROUND($L$14*S7/10000,0)</f>
        <v>4</v>
      </c>
      <c r="U7" s="3418"/>
      <c r="V7" s="70"/>
      <c r="W7" s="70"/>
      <c r="X7" s="1039"/>
      <c r="Y7" s="71"/>
      <c r="Z7" s="72">
        <v>4.8</v>
      </c>
      <c r="AA7" s="66">
        <v>2.5000000000000001E-2</v>
      </c>
      <c r="AB7" s="66">
        <v>0.05</v>
      </c>
      <c r="AC7" s="1039"/>
      <c r="AD7" s="73">
        <v>1</v>
      </c>
      <c r="AE7" s="1040">
        <f t="shared" ref="AE7:AE13" ca="1" si="6">IF(AN7="",0,SUMIF(INDIRECT("'"&amp;AN7&amp;"'"&amp;"!E:E"),$AE$5,INDIRECT("'"&amp;AN7&amp;"'"&amp;"!F:F")))</f>
        <v>37.75</v>
      </c>
      <c r="AF7" s="1346">
        <f>AF6</f>
        <v>0.35</v>
      </c>
      <c r="AG7" s="138">
        <f t="shared" ref="AG7:AG13" ca="1" si="7">IF(AF7="",0,AE7-AF7)</f>
        <v>37.4</v>
      </c>
      <c r="AH7" s="74"/>
      <c r="AI7" s="76">
        <v>365</v>
      </c>
      <c r="AJ7" s="77"/>
      <c r="AK7" s="78">
        <v>0.01</v>
      </c>
      <c r="AL7" s="79">
        <f>AL6</f>
        <v>1E-3</v>
      </c>
      <c r="AM7" s="80">
        <v>0.01</v>
      </c>
      <c r="AN7" s="1713" t="s">
        <v>3454</v>
      </c>
      <c r="AO7" s="52">
        <f t="shared" ref="AO7:AO13" ca="1" si="8">SUMIF(INDIRECT("'"&amp;AN7&amp;"'"&amp;"!A:A"),"总价",INDIRECT("'"&amp;AN7&amp;"'"&amp;"!B:B"))</f>
        <v>4493</v>
      </c>
      <c r="AP7" s="1714">
        <f t="shared" ref="AP7:AP13" si="9">IF(C7="住宅",K7*L7,0)</f>
        <v>0</v>
      </c>
      <c r="AQ7" s="52">
        <f t="shared" ref="AQ7:AQ13" si="10">ROUND($L$14*$N$14*S7/10000,0)</f>
        <v>4</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3329</v>
      </c>
      <c r="D8" s="857">
        <f>SUMIF(项目基本情况!C$12:I$12,C8,项目基本情况!C$14:I$14)</f>
        <v>50</v>
      </c>
      <c r="E8" s="856">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29">
        <f>SUMIF('数据-汇总表'!C$19:C$33,A8,'数据-汇总表'!E$19:E$33)</f>
        <v>453.68</v>
      </c>
      <c r="L8" s="3466">
        <f>L7</f>
        <v>4200</v>
      </c>
      <c r="M8" s="67">
        <f>ROUND(K8*L8/10000,0)</f>
        <v>191</v>
      </c>
      <c r="N8" s="731">
        <f>N6</f>
        <v>1</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2.85</v>
      </c>
      <c r="T8" s="1171">
        <f t="shared" si="5"/>
        <v>1</v>
      </c>
      <c r="U8" s="3418"/>
      <c r="V8" s="66"/>
      <c r="W8" s="66"/>
      <c r="X8" s="1039"/>
      <c r="Y8" s="71"/>
      <c r="Z8" s="72">
        <v>350</v>
      </c>
      <c r="AA8" s="66">
        <v>2.5000000000000001E-2</v>
      </c>
      <c r="AB8" s="66">
        <v>0.05</v>
      </c>
      <c r="AC8" s="1039"/>
      <c r="AD8" s="73">
        <v>1</v>
      </c>
      <c r="AE8" s="1040">
        <f t="shared" ca="1" si="6"/>
        <v>47.75</v>
      </c>
      <c r="AF8" s="1346">
        <f>AF7</f>
        <v>0.35</v>
      </c>
      <c r="AG8" s="138">
        <f t="shared" ca="1" si="7"/>
        <v>47.4</v>
      </c>
      <c r="AH8" s="735">
        <f>AI19</f>
        <v>8</v>
      </c>
      <c r="AI8" s="76">
        <v>12</v>
      </c>
      <c r="AJ8" s="77"/>
      <c r="AK8" s="736">
        <v>5.0000000000000001E-3</v>
      </c>
      <c r="AL8" s="737">
        <f>AL7</f>
        <v>1E-3</v>
      </c>
      <c r="AM8" s="738">
        <v>0.01</v>
      </c>
      <c r="AN8" s="1713" t="s">
        <v>3456</v>
      </c>
      <c r="AO8" s="52">
        <f t="shared" ca="1" si="8"/>
        <v>30</v>
      </c>
      <c r="AP8" s="1714">
        <f t="shared" si="9"/>
        <v>0</v>
      </c>
      <c r="AQ8" s="52">
        <f t="shared" si="10"/>
        <v>1</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8"/>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8"/>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8"/>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8"/>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9"/>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220.58</v>
      </c>
      <c r="L14" s="3467">
        <f>L8</f>
        <v>4200</v>
      </c>
      <c r="M14" s="67">
        <f t="shared" si="0"/>
        <v>93</v>
      </c>
      <c r="N14" s="83">
        <f>N8</f>
        <v>1</v>
      </c>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1"/>
      <c r="AO14" s="2663"/>
      <c r="AP14" s="2663"/>
      <c r="AQ14" s="2663"/>
      <c r="AR14" s="2663"/>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1"/>
      <c r="AO15" s="2663"/>
      <c r="AP15" s="2663"/>
      <c r="AQ15" s="2663"/>
      <c r="AR15" s="2663"/>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0.98899999999999999</v>
      </c>
      <c r="H16" s="90">
        <f>ROUND(SUMPRODUCT(H6:H13,K6:K13)/SUMPRODUCT((H6:H13&gt;0)*(K6:K13)),3)</f>
        <v>0.05</v>
      </c>
      <c r="I16" s="91"/>
      <c r="J16" s="91"/>
      <c r="K16" s="92">
        <f>SUM(K6:K15)</f>
        <v>35356.130000000005</v>
      </c>
      <c r="L16" s="93">
        <f>ROUND(M16*10000/SUM(K6:K14),0)</f>
        <v>5136</v>
      </c>
      <c r="M16" s="93">
        <f>SUM(M6:M14)</f>
        <v>18159</v>
      </c>
      <c r="N16" s="94">
        <f>ROUND(SUMPRODUCT(M6:M14,N6:N14)/M16,3)</f>
        <v>1</v>
      </c>
      <c r="O16" s="93">
        <f>SUM(O6:O14)</f>
        <v>0</v>
      </c>
      <c r="P16" s="93">
        <f>SUM(P6:P14)</f>
        <v>0</v>
      </c>
      <c r="Q16" s="95">
        <f>ROUND(SUMPRODUCT(Q6:Q13,K6:K13)/SUMPRODUCT((Q6:Q13&gt;0)*(K6:K13)),2)</f>
        <v>0.15</v>
      </c>
      <c r="R16" s="1033">
        <f ca="1">SUM(R6:R13)</f>
        <v>0</v>
      </c>
      <c r="S16" s="96">
        <f>SUM(S6:S13)</f>
        <v>220.57999999999998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3439" t="s">
        <v>3385</v>
      </c>
      <c r="N18" s="2661">
        <v>2023</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20" t="s">
        <v>1211</v>
      </c>
      <c r="B19" s="103">
        <v>0</v>
      </c>
      <c r="C19" s="2789" t="s">
        <v>2296</v>
      </c>
      <c r="D19" s="2666"/>
      <c r="E19" s="2663"/>
      <c r="F19" s="2663"/>
      <c r="G19" s="2663"/>
      <c r="H19" s="2663"/>
      <c r="I19" s="2663"/>
      <c r="J19" s="2663"/>
      <c r="K19" s="2662"/>
      <c r="L19" s="2662"/>
      <c r="M19" s="3439" t="s">
        <v>3386</v>
      </c>
      <c r="N19" s="2661">
        <f>ROUND(1-(1-0%)*(2023-N18)/60,2)</f>
        <v>1</v>
      </c>
      <c r="O19" s="2661"/>
      <c r="P19" s="2661"/>
      <c r="Q19" s="2661"/>
      <c r="R19" s="2661"/>
      <c r="S19" s="2661"/>
      <c r="T19" s="2661"/>
      <c r="U19" s="3439" t="s">
        <v>3683</v>
      </c>
      <c r="V19" s="2661"/>
      <c r="W19" s="2661"/>
      <c r="X19" s="2661"/>
      <c r="Y19" s="3476" t="s">
        <v>3701</v>
      </c>
      <c r="Z19" s="3439" t="s">
        <v>3699</v>
      </c>
      <c r="AA19" s="3439" t="s">
        <v>3700</v>
      </c>
      <c r="AB19" s="2661"/>
      <c r="AC19" s="2661"/>
      <c r="AD19" s="2661"/>
      <c r="AE19" s="2661"/>
      <c r="AF19" s="2661"/>
      <c r="AG19" s="2661"/>
      <c r="AH19" s="3439" t="s">
        <v>3936</v>
      </c>
      <c r="AI19" s="2661">
        <v>8</v>
      </c>
      <c r="AJ19" s="2661"/>
      <c r="AK19" s="2661"/>
      <c r="AL19" s="2661"/>
      <c r="AM19" s="2661"/>
      <c r="AN19" s="2661"/>
      <c r="AO19" s="2661"/>
      <c r="AP19" s="2661"/>
      <c r="AQ19" s="2661"/>
      <c r="AR19" s="2661"/>
    </row>
    <row r="20" spans="1:67" ht="14.25">
      <c r="A20" s="1721" t="s">
        <v>1212</v>
      </c>
      <c r="B20" s="104">
        <v>2</v>
      </c>
      <c r="C20" s="2790" t="s">
        <v>2294</v>
      </c>
      <c r="D20" s="2666"/>
      <c r="E20" s="2663"/>
      <c r="F20" s="2663"/>
      <c r="G20" s="2663"/>
      <c r="H20" s="2663"/>
      <c r="I20" s="2663"/>
      <c r="J20" s="2663"/>
      <c r="K20" s="2662"/>
      <c r="L20" s="2662"/>
      <c r="M20" s="3439" t="s">
        <v>3387</v>
      </c>
      <c r="N20" s="2661"/>
      <c r="O20" s="2661"/>
      <c r="P20" s="2661"/>
      <c r="Q20" s="2661"/>
      <c r="R20" s="2661"/>
      <c r="S20" s="2661"/>
      <c r="T20" s="2661"/>
      <c r="U20" s="2665">
        <f>K7</f>
        <v>1592.61</v>
      </c>
      <c r="V20" s="2661"/>
      <c r="W20" s="2661"/>
      <c r="X20" s="3439" t="s">
        <v>3698</v>
      </c>
      <c r="Y20" s="2661" t="str">
        <f>案例分析!C3</f>
        <v>3-3.2</v>
      </c>
      <c r="Z20" s="2661">
        <v>4</v>
      </c>
      <c r="AA20" s="3475">
        <f>案例分析!G3</f>
        <v>1.33</v>
      </c>
      <c r="AB20" s="2661"/>
      <c r="AC20" s="2661"/>
      <c r="AD20" s="2661"/>
      <c r="AE20" s="2661"/>
      <c r="AF20" s="2661"/>
      <c r="AG20" s="2661"/>
      <c r="AH20" s="3439" t="s">
        <v>3937</v>
      </c>
      <c r="AI20" s="2661">
        <v>112</v>
      </c>
      <c r="AJ20" s="2661">
        <f>AI20*Z8*12*(1-AB8)</f>
        <v>446880</v>
      </c>
      <c r="AK20" s="2661"/>
      <c r="AL20" s="2661"/>
      <c r="AM20" s="2661"/>
      <c r="AN20" s="2661"/>
      <c r="AO20" s="2661"/>
      <c r="AP20" s="2661"/>
      <c r="AQ20" s="2661"/>
      <c r="AR20" s="2661"/>
    </row>
    <row r="21" spans="1:67" ht="14.25">
      <c r="A21" s="1722" t="s">
        <v>1213</v>
      </c>
      <c r="B21" s="104">
        <f>B20</f>
        <v>2</v>
      </c>
      <c r="C21" s="2663"/>
      <c r="D21" s="2666"/>
      <c r="E21" s="2663"/>
      <c r="F21" s="2663"/>
      <c r="G21" s="2663"/>
      <c r="H21" s="2663"/>
      <c r="I21" s="2663"/>
      <c r="J21" s="2663"/>
      <c r="K21" s="2662"/>
      <c r="L21" s="2662"/>
      <c r="M21" s="3439" t="s">
        <v>3388</v>
      </c>
      <c r="N21" s="2661">
        <f>ROUND((N19+N20)/2,2)</f>
        <v>0.5</v>
      </c>
      <c r="O21" s="2661"/>
      <c r="P21" s="2661"/>
      <c r="Q21" s="2661"/>
      <c r="R21" s="2661"/>
      <c r="S21" s="2661"/>
      <c r="T21" s="3470">
        <v>0.8</v>
      </c>
      <c r="U21" s="2661">
        <f>U20*T21</f>
        <v>1274.088</v>
      </c>
      <c r="V21" s="2661"/>
      <c r="W21" s="2661"/>
      <c r="X21" s="3439" t="str">
        <f>案例分析!B4</f>
        <v>旧宫</v>
      </c>
      <c r="Y21" s="2661" t="str">
        <f>案例分析!C4</f>
        <v>3-3.5</v>
      </c>
      <c r="Z21" s="2661">
        <f>案例分析!E4</f>
        <v>4</v>
      </c>
      <c r="AA21" s="3475">
        <f>AA20</f>
        <v>1.33</v>
      </c>
      <c r="AB21" s="2661"/>
      <c r="AC21" s="2661"/>
      <c r="AD21" s="2661"/>
      <c r="AE21" s="2661"/>
      <c r="AF21" s="2661"/>
      <c r="AG21" s="2661"/>
      <c r="AH21" s="3439" t="s">
        <v>3938</v>
      </c>
      <c r="AI21" s="2661">
        <f>AI20+AI19</f>
        <v>120</v>
      </c>
      <c r="AJ21" s="2661"/>
      <c r="AK21" s="2661"/>
      <c r="AL21" s="2661"/>
      <c r="AM21" s="2661"/>
      <c r="AN21" s="2661"/>
      <c r="AO21" s="2661"/>
      <c r="AP21" s="2661"/>
      <c r="AQ21" s="2661"/>
      <c r="AR21" s="2661"/>
    </row>
    <row r="22" spans="1:67" ht="14.25">
      <c r="A22" s="1721" t="s">
        <v>1214</v>
      </c>
      <c r="B22" s="105">
        <f>B19+B20</f>
        <v>2</v>
      </c>
      <c r="C22" s="2663"/>
      <c r="D22" s="2666"/>
      <c r="E22" s="2663"/>
      <c r="F22" s="2663"/>
      <c r="G22" s="2663"/>
      <c r="H22" s="2663"/>
      <c r="I22" s="2663"/>
      <c r="J22" s="2663"/>
      <c r="K22" s="2662"/>
      <c r="L22" s="2662"/>
      <c r="M22" s="2661"/>
      <c r="N22" s="2661"/>
      <c r="O22" s="2661"/>
      <c r="P22" s="2661"/>
      <c r="Q22" s="2661"/>
      <c r="R22" s="2661"/>
      <c r="S22" s="2661"/>
      <c r="T22" s="2661"/>
      <c r="U22" s="3439" t="s">
        <v>3684</v>
      </c>
      <c r="V22" s="2661">
        <v>6</v>
      </c>
      <c r="W22" s="2661"/>
      <c r="X22" s="3439" t="str">
        <f>案例分析!B5</f>
        <v>黄村</v>
      </c>
      <c r="Y22" s="2661">
        <f>案例分析!D5</f>
        <v>2.5</v>
      </c>
      <c r="Z22" s="2661">
        <f>案例分析!E5</f>
        <v>3.8</v>
      </c>
      <c r="AA22" s="3475">
        <f>案例分析!G5</f>
        <v>1.52</v>
      </c>
      <c r="AB22" s="2661"/>
      <c r="AC22" s="2661"/>
      <c r="AD22" s="2661"/>
      <c r="AE22" s="2661"/>
      <c r="AF22" s="2661"/>
      <c r="AG22" s="2661"/>
      <c r="AH22" s="2661"/>
      <c r="AI22" s="2661"/>
      <c r="AJ22" s="2661"/>
      <c r="AK22" s="2661"/>
      <c r="AL22" s="2661"/>
      <c r="AM22" s="2661"/>
      <c r="AN22" s="2661"/>
      <c r="AO22" s="2661"/>
      <c r="AP22" s="2661"/>
      <c r="AQ22" s="2661"/>
      <c r="AR22" s="2661"/>
    </row>
    <row r="23" spans="1:67" ht="14.25">
      <c r="A23" s="1722" t="s">
        <v>1215</v>
      </c>
      <c r="B23" s="105">
        <f>B19+B21</f>
        <v>2</v>
      </c>
      <c r="C23" s="2663"/>
      <c r="D23" s="2666"/>
      <c r="E23" s="2663"/>
      <c r="F23" s="2663"/>
      <c r="G23" s="2663"/>
      <c r="H23" s="2663"/>
      <c r="I23" s="2663"/>
      <c r="J23" s="2663"/>
      <c r="K23" s="2662"/>
      <c r="L23" s="2662"/>
      <c r="M23" s="2661"/>
      <c r="N23" s="2661"/>
      <c r="O23" s="2661"/>
      <c r="P23" s="2661"/>
      <c r="Q23" s="2661"/>
      <c r="R23" s="2661"/>
      <c r="S23" s="2661"/>
      <c r="T23" s="2661"/>
      <c r="U23" s="2661"/>
      <c r="V23" s="2661">
        <f>ROUND(V22*U21/U20,1)</f>
        <v>4.8</v>
      </c>
      <c r="W23" s="2661"/>
      <c r="X23" s="2661" t="str">
        <f>案例分析!B6</f>
        <v>天竺</v>
      </c>
      <c r="Y23" s="2661"/>
      <c r="Z23" s="2661">
        <f>案例分析!E6</f>
        <v>3.2</v>
      </c>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3" t="s">
        <v>1216</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t="str">
        <f>案例分析!B7</f>
        <v>亦庄</v>
      </c>
      <c r="Y24" s="2661"/>
      <c r="Z24" s="2661">
        <f>案例分析!E7</f>
        <v>3.8</v>
      </c>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5"/>
      <c r="B25" s="1685"/>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1" t="s">
        <v>1217</v>
      </c>
      <c r="B26" s="1724"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6" customFormat="1" ht="27.75">
      <c r="A27" s="1725" t="s">
        <v>1220</v>
      </c>
      <c r="B27" s="107">
        <v>160</v>
      </c>
      <c r="C27" s="2791" t="s">
        <v>2298</v>
      </c>
      <c r="D27" s="2669"/>
      <c r="E27" s="2651"/>
      <c r="F27" s="2651"/>
      <c r="G27" s="2663"/>
      <c r="H27" s="2663"/>
      <c r="I27" s="2663"/>
      <c r="J27" s="2663"/>
      <c r="K27" s="2662"/>
      <c r="L27" s="2662"/>
      <c r="M27" s="2661"/>
      <c r="N27" s="2661"/>
      <c r="O27" s="2661"/>
      <c r="P27" s="2661"/>
      <c r="Q27" s="2661"/>
      <c r="R27" s="2661"/>
      <c r="S27" s="2661"/>
      <c r="T27" s="2661"/>
      <c r="U27" s="3439" t="s">
        <v>3685</v>
      </c>
      <c r="V27" s="3439" t="s">
        <v>3688</v>
      </c>
      <c r="W27" s="3439" t="s">
        <v>3689</v>
      </c>
      <c r="X27" s="3439" t="s">
        <v>3690</v>
      </c>
      <c r="Y27" s="3471" t="s">
        <v>3691</v>
      </c>
      <c r="Z27" s="2661"/>
      <c r="AA27" s="2661"/>
      <c r="AB27" s="2661"/>
      <c r="AC27" s="2661"/>
      <c r="AD27" s="2661"/>
      <c r="AE27" s="2661"/>
      <c r="AF27" s="2661"/>
      <c r="AG27" s="2661"/>
      <c r="AH27" s="2661"/>
      <c r="AI27" s="2661"/>
      <c r="AJ27" s="2661"/>
      <c r="AK27" s="2661"/>
      <c r="AL27" s="2661"/>
      <c r="AM27" s="2661"/>
      <c r="AN27" s="2661"/>
      <c r="AO27" s="2661"/>
      <c r="AP27" s="2661"/>
      <c r="AQ27" s="2661"/>
      <c r="AR27" s="2661"/>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0"/>
      <c r="D28" s="2669"/>
      <c r="E28" s="2651"/>
      <c r="F28" s="2651"/>
      <c r="G28" s="2663"/>
      <c r="H28" s="2663"/>
      <c r="I28" s="2663"/>
      <c r="J28" s="2663"/>
      <c r="K28" s="2662"/>
      <c r="L28" s="2662"/>
      <c r="M28" s="2661"/>
      <c r="N28" s="2661"/>
      <c r="O28" s="2661"/>
      <c r="P28" s="2661"/>
      <c r="Q28" s="2661"/>
      <c r="R28" s="2661"/>
      <c r="S28" s="2661"/>
      <c r="T28" s="2661"/>
      <c r="U28" s="2661" t="s">
        <v>3686</v>
      </c>
      <c r="V28" s="2661">
        <v>1313</v>
      </c>
      <c r="W28" s="2661">
        <v>24.7</v>
      </c>
      <c r="X28" s="2661">
        <v>3800</v>
      </c>
      <c r="Y28" s="3472">
        <f>ROUND(Z6*W28*30,0)</f>
        <v>2816</v>
      </c>
      <c r="Z28" s="2661"/>
      <c r="AA28" s="2661"/>
      <c r="AB28" s="2661"/>
      <c r="AC28" s="2661"/>
      <c r="AD28" s="2661"/>
      <c r="AE28" s="2661"/>
      <c r="AF28" s="2661"/>
      <c r="AG28" s="2661"/>
      <c r="AH28" s="2661"/>
      <c r="AI28" s="2661"/>
      <c r="AJ28" s="2661"/>
      <c r="AK28" s="2661"/>
      <c r="AL28" s="2661"/>
      <c r="AM28" s="2661"/>
      <c r="AN28" s="2661"/>
      <c r="AO28" s="2661"/>
      <c r="AP28" s="2661"/>
      <c r="AQ28" s="2661"/>
      <c r="AR28" s="2661"/>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792" t="s">
        <v>2285</v>
      </c>
      <c r="D29" s="2669"/>
      <c r="E29" s="2651"/>
      <c r="F29" s="2651"/>
      <c r="G29" s="2663"/>
      <c r="H29" s="2663"/>
      <c r="I29" s="2663"/>
      <c r="J29" s="2663"/>
      <c r="K29" s="2662"/>
      <c r="L29" s="2662"/>
      <c r="M29" s="2661"/>
      <c r="N29" s="2661"/>
      <c r="O29" s="2661"/>
      <c r="P29" s="2661"/>
      <c r="Q29" s="2661"/>
      <c r="R29" s="2661"/>
      <c r="S29" s="2661"/>
      <c r="T29" s="2661"/>
      <c r="U29" s="2661" t="s">
        <v>3687</v>
      </c>
      <c r="V29" s="2661">
        <v>43</v>
      </c>
      <c r="W29" s="2661">
        <v>42.5</v>
      </c>
      <c r="X29" s="2661">
        <v>5000</v>
      </c>
      <c r="Y29" s="3472">
        <f>ROUND(Z6*W29*30,0)</f>
        <v>4845</v>
      </c>
      <c r="Z29" s="2661"/>
      <c r="AA29" s="2661"/>
      <c r="AB29" s="2661"/>
      <c r="AC29" s="2661"/>
      <c r="AD29" s="2661"/>
      <c r="AE29" s="2661"/>
      <c r="AF29" s="2661"/>
      <c r="AG29" s="2661"/>
      <c r="AH29" s="2661"/>
      <c r="AI29" s="2661"/>
      <c r="AJ29" s="2661"/>
      <c r="AK29" s="2661"/>
      <c r="AL29" s="2661"/>
      <c r="AM29" s="2661"/>
      <c r="AN29" s="2661"/>
      <c r="AO29" s="2661"/>
      <c r="AP29" s="2661"/>
      <c r="AQ29" s="2661"/>
      <c r="AR29" s="2661"/>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1">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2">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3">
        <v>0.05</v>
      </c>
      <c r="C33" s="2793" t="s">
        <v>2286</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793" t="s">
        <v>2287</v>
      </c>
      <c r="D34" s="2674" t="s">
        <v>2295</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f>B30</f>
        <v>200</v>
      </c>
      <c r="C35" s="2793" t="s">
        <v>2288</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3" t="s">
        <v>2289</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9" t="s">
        <v>1230</v>
      </c>
      <c r="B37" s="115">
        <v>0.03</v>
      </c>
      <c r="C37" s="2793" t="s">
        <v>2290</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7" t="s">
        <v>1231</v>
      </c>
      <c r="B38" s="113">
        <v>0.03</v>
      </c>
      <c r="C38" s="2793" t="s">
        <v>2290</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30" t="s">
        <v>1232</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2305</v>
      </c>
      <c r="B40" s="1077">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5" t="s">
        <v>1233</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1" t="s">
        <v>1234</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1" t="s">
        <v>1235</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2" t="s">
        <v>1236</v>
      </c>
      <c r="B44" s="119">
        <v>0.05</v>
      </c>
      <c r="C44" s="2793" t="s">
        <v>2299</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2" t="s">
        <v>1237</v>
      </c>
      <c r="B45" s="117">
        <v>0.03</v>
      </c>
      <c r="C45" s="2792" t="s">
        <v>2291</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2" t="s">
        <v>1238</v>
      </c>
      <c r="B46" s="117">
        <v>0.02</v>
      </c>
      <c r="C46" s="2792" t="s">
        <v>2292</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3" t="s">
        <v>1239</v>
      </c>
      <c r="B47" s="120">
        <v>0</v>
      </c>
      <c r="C47" s="2795" t="s">
        <v>2300</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4" t="s">
        <v>1240</v>
      </c>
      <c r="B48" s="121">
        <v>0.03</v>
      </c>
      <c r="C48" s="2792" t="s">
        <v>2291</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30" t="s">
        <v>1241</v>
      </c>
      <c r="B49" s="117">
        <v>5.0000000000000001E-4</v>
      </c>
      <c r="C49" s="2792" t="s">
        <v>2293</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5" t="s">
        <v>1242</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8" t="s">
        <v>1243</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5" t="s">
        <v>1244</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7" t="s">
        <v>1245</v>
      </c>
      <c r="B53" s="1736" t="s">
        <v>29</v>
      </c>
      <c r="C53" s="2651" t="s">
        <v>1246</v>
      </c>
      <c r="D53" s="2794" t="s">
        <v>2297</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7" t="s">
        <v>1247</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7" t="s">
        <v>1248</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7" t="s">
        <v>1249</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7" t="s">
        <v>1250</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7" t="s">
        <v>1251</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7" t="s">
        <v>1252</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7"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7"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7"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8" t="s">
        <v>1256</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2"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2"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2"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2"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2"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1" customWidth="1"/>
    <col min="4" max="4" width="2.625" style="2501" customWidth="1"/>
    <col min="5" max="5" width="5.875" style="2501" customWidth="1"/>
    <col min="6" max="6" width="27" style="1570"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8"/>
    <col min="30" max="16384" width="9" style="1684"/>
  </cols>
  <sheetData>
    <row r="1" spans="1:29" s="2453" customFormat="1" ht="18.75" thickBot="1">
      <c r="A1" s="3669" t="s">
        <v>2277</v>
      </c>
      <c r="B1" s="3670"/>
      <c r="C1" s="3670"/>
      <c r="D1" s="3670"/>
      <c r="E1" s="3670"/>
      <c r="F1" s="3670"/>
      <c r="G1" s="367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8"/>
      <c r="I2" s="798"/>
      <c r="J2" s="798"/>
      <c r="K2" s="798"/>
      <c r="L2" s="798"/>
      <c r="M2" s="798"/>
      <c r="N2" s="798"/>
      <c r="O2" s="798"/>
      <c r="P2" s="798"/>
      <c r="Q2" s="798"/>
      <c r="R2" s="798"/>
    </row>
    <row r="3" spans="1:29" ht="24">
      <c r="A3" s="2437" t="s">
        <v>2276</v>
      </c>
      <c r="B3" s="2459" t="s">
        <v>2252</v>
      </c>
      <c r="C3" s="3440" t="s">
        <v>3391</v>
      </c>
      <c r="D3" s="2460"/>
      <c r="E3" s="2438" t="s">
        <v>2276</v>
      </c>
      <c r="F3" s="2461" t="s">
        <v>2253</v>
      </c>
      <c r="G3" s="3443" t="s">
        <v>3391</v>
      </c>
      <c r="H3" s="798"/>
      <c r="I3" s="798"/>
      <c r="J3" s="798"/>
      <c r="K3" s="798"/>
      <c r="L3" s="798"/>
      <c r="M3" s="798"/>
      <c r="N3" s="798"/>
      <c r="O3" s="798"/>
      <c r="P3" s="798"/>
      <c r="Q3" s="798"/>
      <c r="R3" s="798"/>
    </row>
    <row r="4" spans="1:29">
      <c r="A4" s="2438"/>
      <c r="B4" s="323" t="s">
        <v>2254</v>
      </c>
      <c r="C4" s="3441" t="s">
        <v>3466</v>
      </c>
      <c r="D4" s="2460"/>
      <c r="E4" s="2462"/>
      <c r="F4" s="1371" t="s">
        <v>2255</v>
      </c>
      <c r="G4" s="3442" t="s">
        <v>3392</v>
      </c>
      <c r="H4" s="798"/>
      <c r="I4" s="798"/>
      <c r="J4" s="798"/>
      <c r="K4" s="798"/>
      <c r="L4" s="798"/>
      <c r="M4" s="798"/>
      <c r="N4" s="798"/>
      <c r="O4" s="798"/>
      <c r="P4" s="798"/>
      <c r="Q4" s="798"/>
      <c r="R4" s="798"/>
    </row>
    <row r="5" spans="1:29">
      <c r="A5" s="2438"/>
      <c r="B5" s="323" t="s">
        <v>2256</v>
      </c>
      <c r="C5" s="3441" t="s">
        <v>3466</v>
      </c>
      <c r="D5" s="2460"/>
      <c r="E5" s="2462"/>
      <c r="F5" s="323" t="s">
        <v>2257</v>
      </c>
      <c r="G5" s="3442" t="s">
        <v>3392</v>
      </c>
      <c r="H5" s="798"/>
      <c r="I5" s="798"/>
      <c r="J5" s="798"/>
      <c r="K5" s="798"/>
      <c r="L5" s="798"/>
      <c r="M5" s="798"/>
      <c r="N5" s="798"/>
      <c r="O5" s="798"/>
      <c r="P5" s="798"/>
      <c r="Q5" s="798"/>
      <c r="R5" s="798"/>
    </row>
    <row r="6" spans="1:29">
      <c r="A6" s="2438"/>
      <c r="B6" s="323" t="s">
        <v>2258</v>
      </c>
      <c r="C6" s="3442" t="s">
        <v>3467</v>
      </c>
      <c r="D6" s="2460"/>
      <c r="E6" s="2462"/>
      <c r="F6" s="323" t="s">
        <v>2259</v>
      </c>
      <c r="G6" s="3442" t="s">
        <v>3394</v>
      </c>
      <c r="H6" s="798"/>
      <c r="I6" s="798"/>
      <c r="J6" s="798"/>
      <c r="K6" s="798"/>
      <c r="L6" s="798"/>
      <c r="M6" s="798"/>
      <c r="N6" s="798"/>
      <c r="O6" s="798"/>
      <c r="P6" s="798"/>
      <c r="Q6" s="798"/>
      <c r="R6" s="798"/>
    </row>
    <row r="7" spans="1:29" ht="15" thickBot="1">
      <c r="A7" s="2438"/>
      <c r="B7" s="323" t="s">
        <v>2257</v>
      </c>
      <c r="C7" s="3442" t="s">
        <v>3467</v>
      </c>
      <c r="D7" s="2463"/>
      <c r="E7" s="2464"/>
      <c r="F7" s="2465" t="s">
        <v>2260</v>
      </c>
      <c r="G7" s="3444" t="s">
        <v>3392</v>
      </c>
      <c r="H7" s="798"/>
      <c r="I7" s="798"/>
      <c r="J7" s="798"/>
      <c r="K7" s="798"/>
      <c r="L7" s="798"/>
      <c r="M7" s="798"/>
      <c r="N7" s="798"/>
      <c r="O7" s="798"/>
      <c r="P7" s="798"/>
      <c r="Q7" s="798"/>
      <c r="R7" s="798"/>
    </row>
    <row r="8" spans="1:29">
      <c r="A8" s="2438"/>
      <c r="B8" s="323" t="s">
        <v>2259</v>
      </c>
      <c r="C8" s="3442" t="s">
        <v>3394</v>
      </c>
      <c r="D8" s="2463"/>
      <c r="E8" s="2463"/>
      <c r="F8" s="2466"/>
      <c r="G8" s="2466"/>
      <c r="H8" s="798"/>
      <c r="I8" s="798"/>
      <c r="J8" s="798"/>
      <c r="K8" s="798"/>
      <c r="L8" s="798"/>
      <c r="M8" s="798"/>
      <c r="N8" s="798"/>
      <c r="O8" s="798"/>
      <c r="P8" s="798"/>
      <c r="Q8" s="798"/>
      <c r="R8" s="798"/>
    </row>
    <row r="9" spans="1:29">
      <c r="A9" s="2438"/>
      <c r="B9" s="323" t="s">
        <v>2261</v>
      </c>
      <c r="C9" s="3442" t="s">
        <v>3467</v>
      </c>
      <c r="D9" s="2460"/>
      <c r="E9" s="2463"/>
      <c r="F9" s="2466"/>
      <c r="G9" s="2466"/>
      <c r="H9" s="798"/>
      <c r="I9" s="798"/>
      <c r="J9" s="798"/>
      <c r="K9" s="798"/>
      <c r="L9" s="798"/>
      <c r="M9" s="798"/>
      <c r="N9" s="798"/>
      <c r="O9" s="798"/>
      <c r="P9" s="798"/>
      <c r="Q9" s="798"/>
      <c r="R9" s="798"/>
    </row>
    <row r="10" spans="1:29" s="2472" customFormat="1" ht="15" thickBot="1">
      <c r="A10" s="2439"/>
      <c r="B10" s="2467" t="s">
        <v>2262</v>
      </c>
      <c r="C10" s="2468"/>
      <c r="D10" s="2460"/>
      <c r="E10" s="2460"/>
      <c r="F10" s="2466"/>
      <c r="G10" s="2466"/>
      <c r="H10" s="2469"/>
      <c r="I10" s="2470"/>
      <c r="J10" s="2471"/>
      <c r="K10" s="2469"/>
      <c r="L10" s="2470"/>
      <c r="M10" s="2471"/>
      <c r="N10" s="2469"/>
      <c r="O10" s="2470"/>
      <c r="P10" s="2471"/>
      <c r="Q10" s="2469"/>
      <c r="R10" s="2470"/>
      <c r="S10" s="798"/>
      <c r="T10" s="798"/>
      <c r="U10" s="798"/>
      <c r="V10" s="798"/>
      <c r="W10" s="798"/>
      <c r="X10" s="798"/>
      <c r="Y10" s="798"/>
      <c r="Z10" s="798"/>
      <c r="AA10" s="798"/>
      <c r="AB10" s="798"/>
      <c r="AC10" s="798"/>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8"/>
      <c r="T11" s="798"/>
      <c r="U11" s="798"/>
      <c r="V11" s="798"/>
      <c r="W11" s="798"/>
      <c r="X11" s="798"/>
      <c r="Y11" s="798"/>
      <c r="Z11" s="798"/>
      <c r="AA11" s="798"/>
      <c r="AB11" s="798"/>
      <c r="AC11" s="798"/>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2278</v>
      </c>
      <c r="B13" s="2475"/>
      <c r="C13" s="2475"/>
      <c r="D13" s="2473"/>
      <c r="E13" s="2475"/>
      <c r="F13" s="2475"/>
      <c r="G13" s="2475"/>
    </row>
    <row r="14" spans="1:29" ht="15" thickBot="1">
      <c r="A14" s="2485"/>
      <c r="B14" s="2485"/>
      <c r="C14" s="2486" t="s">
        <v>2263</v>
      </c>
      <c r="D14" s="2460"/>
      <c r="E14" s="2487"/>
      <c r="F14" s="2487"/>
      <c r="G14" s="2456" t="s">
        <v>2264</v>
      </c>
    </row>
    <row r="15" spans="1:29" ht="24">
      <c r="A15" s="2440" t="s">
        <v>2265</v>
      </c>
      <c r="B15" s="2488" t="s">
        <v>2252</v>
      </c>
      <c r="C15" s="2489" t="str">
        <f>C3</f>
        <v>较好</v>
      </c>
      <c r="D15" s="2460"/>
      <c r="E15" s="2441" t="s">
        <v>2266</v>
      </c>
      <c r="F15" s="2488" t="s">
        <v>2267</v>
      </c>
      <c r="G15" s="2490" t="str">
        <f>G3</f>
        <v>较好</v>
      </c>
    </row>
    <row r="16" spans="1:29">
      <c r="A16" s="2442"/>
      <c r="B16" s="2491" t="s">
        <v>2254</v>
      </c>
      <c r="C16" s="2492" t="str">
        <f>C4</f>
        <v>一般</v>
      </c>
      <c r="D16" s="2460"/>
      <c r="E16" s="2443"/>
      <c r="F16" s="2493" t="s">
        <v>2255</v>
      </c>
      <c r="G16" s="2494" t="str">
        <f>G4</f>
        <v>较好</v>
      </c>
    </row>
    <row r="17" spans="1:18">
      <c r="A17" s="2442"/>
      <c r="B17" s="2491" t="s">
        <v>2256</v>
      </c>
      <c r="C17" s="2492" t="str">
        <f>C5</f>
        <v>一般</v>
      </c>
      <c r="D17" s="2463"/>
      <c r="E17" s="2443"/>
      <c r="F17" s="2493" t="s">
        <v>2268</v>
      </c>
      <c r="G17" s="3445" t="s">
        <v>3395</v>
      </c>
    </row>
    <row r="18" spans="1:18">
      <c r="A18" s="2442"/>
      <c r="B18" s="2493" t="s">
        <v>2258</v>
      </c>
      <c r="C18" s="2494" t="str">
        <f>C6</f>
        <v>一般</v>
      </c>
      <c r="D18" s="2463"/>
      <c r="E18" s="2443"/>
      <c r="F18" s="2493" t="s">
        <v>2260</v>
      </c>
      <c r="G18" s="2494" t="str">
        <f>G7</f>
        <v>较好</v>
      </c>
    </row>
    <row r="19" spans="1:18">
      <c r="A19" s="2442"/>
      <c r="B19" s="2493" t="s">
        <v>2269</v>
      </c>
      <c r="C19" s="3445" t="s">
        <v>3395</v>
      </c>
      <c r="D19" s="2460"/>
      <c r="E19" s="2443"/>
      <c r="F19" s="323" t="s">
        <v>2257</v>
      </c>
      <c r="G19" s="2494" t="str">
        <f>G5</f>
        <v>较好</v>
      </c>
    </row>
    <row r="20" spans="1:18">
      <c r="A20" s="2442"/>
      <c r="B20" s="2493" t="s">
        <v>2270</v>
      </c>
      <c r="C20" s="2492" t="str">
        <f>C9</f>
        <v>一般</v>
      </c>
      <c r="D20" s="2463"/>
      <c r="E20" s="2443"/>
      <c r="F20" s="323" t="s">
        <v>2259</v>
      </c>
      <c r="G20" s="2494" t="str">
        <f>G6</f>
        <v>七通</v>
      </c>
    </row>
    <row r="21" spans="1:18">
      <c r="A21" s="2442"/>
      <c r="B21" s="323" t="s">
        <v>2257</v>
      </c>
      <c r="C21" s="2494" t="str">
        <f>C7</f>
        <v>一般</v>
      </c>
      <c r="D21" s="2460"/>
      <c r="E21" s="2443"/>
      <c r="F21" s="2493" t="s">
        <v>2271</v>
      </c>
      <c r="G21" s="2496"/>
    </row>
    <row r="22" spans="1:18" ht="13.5" customHeight="1">
      <c r="A22" s="2442"/>
      <c r="B22" s="323" t="s">
        <v>2259</v>
      </c>
      <c r="C22" s="2494" t="str">
        <f>C8</f>
        <v>七通</v>
      </c>
      <c r="D22" s="2460"/>
      <c r="E22" s="2443"/>
      <c r="F22" s="2493" t="s">
        <v>2262</v>
      </c>
      <c r="G22" s="2495"/>
    </row>
    <row r="23" spans="1:18" s="798" customFormat="1" ht="15" thickBot="1">
      <c r="A23" s="2442"/>
      <c r="B23" s="2493" t="s">
        <v>2271</v>
      </c>
      <c r="C23" s="2496"/>
      <c r="D23" s="1739"/>
      <c r="E23" s="2444"/>
      <c r="F23" s="2497" t="s">
        <v>2272</v>
      </c>
      <c r="G23" s="2498"/>
      <c r="H23" s="2482"/>
      <c r="I23" s="2483"/>
      <c r="J23" s="2482"/>
      <c r="K23" s="2482"/>
      <c r="L23" s="2483"/>
      <c r="M23" s="2482"/>
      <c r="N23" s="2482"/>
      <c r="O23" s="2483"/>
      <c r="P23" s="2482"/>
      <c r="Q23" s="2482"/>
      <c r="R23" s="2484"/>
    </row>
    <row r="24" spans="1:18" s="798" customFormat="1" ht="15" thickBot="1">
      <c r="A24" s="2445"/>
      <c r="B24" s="2497" t="s">
        <v>2273</v>
      </c>
      <c r="C24" s="2499">
        <f>C10</f>
        <v>0</v>
      </c>
      <c r="D24" s="1739"/>
      <c r="E24" s="2435"/>
      <c r="F24" s="2435"/>
      <c r="G24" s="2500"/>
      <c r="H24" s="2482"/>
      <c r="I24" s="2483"/>
      <c r="J24" s="2482"/>
      <c r="K24" s="2482"/>
      <c r="L24" s="2483"/>
      <c r="M24" s="2482"/>
      <c r="N24" s="2482"/>
      <c r="O24" s="2483"/>
      <c r="P24" s="2482"/>
      <c r="Q24" s="2482"/>
      <c r="R24" s="2484"/>
    </row>
    <row r="25" spans="1:18" s="798" customFormat="1">
      <c r="B25" s="2482"/>
      <c r="C25" s="2482"/>
      <c r="D25" s="2482"/>
      <c r="H25" s="2482"/>
      <c r="I25" s="2483"/>
      <c r="J25" s="2482"/>
      <c r="K25" s="2482"/>
      <c r="L25" s="2483"/>
      <c r="M25" s="2482"/>
      <c r="N25" s="2482"/>
      <c r="O25" s="2483"/>
      <c r="P25" s="2482"/>
      <c r="Q25" s="2482"/>
      <c r="R25" s="2484"/>
    </row>
    <row r="26" spans="1:18" s="798" customFormat="1">
      <c r="B26" s="2482"/>
      <c r="C26" s="2482"/>
      <c r="D26" s="2482"/>
      <c r="H26" s="2482"/>
      <c r="I26" s="2483"/>
      <c r="J26" s="2482"/>
      <c r="K26" s="2482"/>
      <c r="L26" s="2483"/>
      <c r="M26" s="2482"/>
      <c r="N26" s="2482"/>
      <c r="O26" s="2483"/>
      <c r="P26" s="2482"/>
      <c r="Q26" s="2482"/>
      <c r="R26" s="2484"/>
    </row>
    <row r="27" spans="1:18" s="798" customFormat="1">
      <c r="B27" s="2482"/>
      <c r="C27" s="2482"/>
      <c r="D27" s="2482"/>
      <c r="H27" s="2482"/>
      <c r="I27" s="2483"/>
      <c r="J27" s="2482"/>
      <c r="K27" s="2482"/>
      <c r="L27" s="2483"/>
      <c r="M27" s="2482"/>
      <c r="N27" s="2482"/>
      <c r="O27" s="2483"/>
      <c r="P27" s="2482"/>
      <c r="Q27" s="2482"/>
      <c r="R27" s="2484"/>
    </row>
    <row r="28" spans="1:18" s="798" customFormat="1">
      <c r="B28" s="2482"/>
      <c r="C28" s="2482"/>
      <c r="D28" s="2482"/>
      <c r="H28" s="2482"/>
      <c r="I28" s="2483"/>
      <c r="J28" s="2482"/>
      <c r="K28" s="2482"/>
      <c r="L28" s="2483"/>
      <c r="M28" s="2482"/>
      <c r="N28" s="2482"/>
      <c r="O28" s="2483"/>
      <c r="P28" s="2482"/>
      <c r="Q28" s="2482"/>
      <c r="R28" s="2484"/>
    </row>
    <row r="29" spans="1:18" s="798" customFormat="1">
      <c r="B29" s="2482"/>
      <c r="C29" s="2482"/>
      <c r="D29" s="2482"/>
      <c r="H29" s="2482"/>
      <c r="I29" s="2483"/>
      <c r="J29" s="2482"/>
      <c r="K29" s="2482"/>
      <c r="L29" s="2483"/>
      <c r="M29" s="2482"/>
      <c r="N29" s="2482"/>
      <c r="O29" s="2483"/>
      <c r="P29" s="2482"/>
      <c r="Q29" s="2482"/>
      <c r="R29" s="2484"/>
    </row>
    <row r="30" spans="1:18" s="798" customFormat="1">
      <c r="B30" s="2482"/>
      <c r="C30" s="2482"/>
      <c r="D30" s="2482"/>
      <c r="H30" s="2482"/>
      <c r="I30" s="2483"/>
      <c r="J30" s="2482"/>
      <c r="K30" s="2482"/>
      <c r="L30" s="2483"/>
      <c r="M30" s="2482"/>
      <c r="N30" s="2482"/>
      <c r="O30" s="2483"/>
      <c r="P30" s="2482"/>
      <c r="Q30" s="2482"/>
      <c r="R30" s="2484"/>
    </row>
    <row r="31" spans="1:18" s="798" customFormat="1">
      <c r="B31" s="2482"/>
      <c r="C31" s="2482"/>
      <c r="D31" s="2482"/>
      <c r="H31" s="2482"/>
      <c r="I31" s="2483"/>
      <c r="J31" s="2482"/>
      <c r="K31" s="2482"/>
      <c r="L31" s="2483"/>
      <c r="M31" s="2482"/>
      <c r="N31" s="2482"/>
      <c r="O31" s="2483"/>
      <c r="P31" s="2482"/>
      <c r="Q31" s="2482"/>
      <c r="R31" s="2484"/>
    </row>
    <row r="32" spans="1:18" s="798" customFormat="1">
      <c r="B32" s="2482"/>
      <c r="C32" s="2482"/>
      <c r="D32" s="2482"/>
      <c r="H32" s="2482"/>
      <c r="I32" s="2483"/>
      <c r="J32" s="2482"/>
      <c r="K32" s="2482"/>
      <c r="L32" s="2483"/>
      <c r="M32" s="2482"/>
      <c r="N32" s="2482"/>
      <c r="O32" s="2483"/>
      <c r="P32" s="2482"/>
      <c r="Q32" s="2482"/>
      <c r="R32" s="2484"/>
    </row>
    <row r="33" spans="2:18" s="798" customFormat="1">
      <c r="B33" s="2482"/>
      <c r="C33" s="2482"/>
      <c r="D33" s="2482"/>
      <c r="H33" s="2482"/>
      <c r="I33" s="2483"/>
      <c r="J33" s="2482"/>
      <c r="K33" s="2482"/>
      <c r="L33" s="2483"/>
      <c r="M33" s="2482"/>
      <c r="N33" s="2482"/>
      <c r="O33" s="2483"/>
      <c r="P33" s="2482"/>
      <c r="Q33" s="2482"/>
      <c r="R33" s="2484"/>
    </row>
    <row r="34" spans="2:18" s="798" customFormat="1">
      <c r="B34" s="2482"/>
      <c r="C34" s="2482"/>
      <c r="D34" s="2482"/>
      <c r="H34" s="2482"/>
      <c r="I34" s="2483"/>
      <c r="J34" s="2482"/>
      <c r="K34" s="2482"/>
      <c r="L34" s="2483"/>
      <c r="M34" s="2482"/>
      <c r="N34" s="2482"/>
      <c r="O34" s="2483"/>
      <c r="P34" s="2482"/>
      <c r="Q34" s="2482"/>
      <c r="R34" s="2484"/>
    </row>
    <row r="35" spans="2:18" s="798" customFormat="1">
      <c r="B35" s="2482"/>
      <c r="C35" s="2482"/>
      <c r="D35" s="2482"/>
      <c r="H35" s="2482"/>
      <c r="I35" s="2483"/>
      <c r="J35" s="2482"/>
      <c r="K35" s="2482"/>
      <c r="L35" s="2483"/>
      <c r="M35" s="2482"/>
      <c r="N35" s="2482"/>
      <c r="O35" s="2483"/>
      <c r="P35" s="2482"/>
      <c r="Q35" s="2482"/>
      <c r="R35" s="2484"/>
    </row>
    <row r="36" spans="2:18" s="798" customFormat="1">
      <c r="B36" s="2482"/>
      <c r="C36" s="2482"/>
      <c r="D36" s="2482"/>
      <c r="H36" s="2482"/>
      <c r="I36" s="2483"/>
      <c r="J36" s="2482"/>
      <c r="K36" s="2482"/>
      <c r="L36" s="2483"/>
      <c r="M36" s="2482"/>
      <c r="N36" s="2482"/>
      <c r="O36" s="2483"/>
      <c r="P36" s="2482"/>
      <c r="Q36" s="2482"/>
      <c r="R36" s="2484"/>
    </row>
    <row r="37" spans="2:18" s="798" customFormat="1">
      <c r="B37" s="2482"/>
      <c r="C37" s="2482"/>
      <c r="D37" s="2482"/>
      <c r="H37" s="2482"/>
      <c r="I37" s="2483"/>
      <c r="J37" s="2482"/>
      <c r="K37" s="2482"/>
      <c r="L37" s="2483"/>
      <c r="M37" s="2482"/>
      <c r="N37" s="2482"/>
      <c r="O37" s="2483"/>
      <c r="P37" s="2482"/>
      <c r="Q37" s="2482"/>
      <c r="R37" s="2484"/>
    </row>
    <row r="38" spans="2:18" s="798" customFormat="1">
      <c r="B38" s="2482"/>
      <c r="C38" s="2482"/>
      <c r="D38" s="2482"/>
      <c r="E38" s="2482"/>
      <c r="F38" s="2482"/>
      <c r="G38" s="2483"/>
      <c r="H38" s="2482"/>
      <c r="I38" s="2483"/>
      <c r="J38" s="2482"/>
      <c r="K38" s="2482"/>
      <c r="L38" s="2483"/>
      <c r="M38" s="2482"/>
      <c r="N38" s="2482"/>
      <c r="O38" s="2483"/>
      <c r="P38" s="2482"/>
      <c r="Q38" s="2482"/>
      <c r="R38" s="2484"/>
    </row>
    <row r="39" spans="2:18" s="798" customFormat="1">
      <c r="B39" s="2482"/>
      <c r="C39" s="2482"/>
      <c r="D39" s="2482"/>
      <c r="E39" s="2482"/>
      <c r="F39" s="2482"/>
      <c r="G39" s="2483"/>
      <c r="H39" s="2482"/>
      <c r="I39" s="2483"/>
      <c r="J39" s="2482"/>
      <c r="K39" s="2482"/>
      <c r="L39" s="2483"/>
      <c r="M39" s="2482"/>
      <c r="N39" s="2482"/>
      <c r="O39" s="2483"/>
      <c r="P39" s="2482"/>
      <c r="Q39" s="2482"/>
      <c r="R39" s="2484"/>
    </row>
    <row r="40" spans="2:18" s="798" customFormat="1">
      <c r="B40" s="2482"/>
      <c r="C40" s="2482"/>
      <c r="D40" s="2482"/>
      <c r="E40" s="2482"/>
      <c r="F40" s="2482"/>
      <c r="G40" s="2483"/>
      <c r="H40" s="2482"/>
      <c r="I40" s="2483"/>
      <c r="J40" s="2482"/>
      <c r="K40" s="2482"/>
      <c r="L40" s="2483"/>
      <c r="M40" s="2482"/>
      <c r="N40" s="2482"/>
      <c r="O40" s="2483"/>
      <c r="P40" s="2482"/>
      <c r="Q40" s="2482"/>
      <c r="R40" s="2484"/>
    </row>
    <row r="41" spans="2:18" s="798" customFormat="1">
      <c r="B41" s="2482"/>
      <c r="C41" s="2482"/>
      <c r="D41" s="2482"/>
      <c r="E41" s="2482"/>
      <c r="F41" s="2482"/>
      <c r="G41" s="2483"/>
      <c r="H41" s="2482"/>
      <c r="I41" s="2483"/>
      <c r="J41" s="2482"/>
      <c r="K41" s="2482"/>
      <c r="L41" s="2483"/>
      <c r="M41" s="2482"/>
      <c r="N41" s="2482"/>
      <c r="O41" s="2483"/>
      <c r="P41" s="2482"/>
      <c r="Q41" s="2482"/>
      <c r="R41" s="2484"/>
    </row>
    <row r="42" spans="2:18" s="798" customFormat="1">
      <c r="B42" s="2482"/>
      <c r="C42" s="2482"/>
      <c r="D42" s="2482"/>
      <c r="E42" s="2482"/>
      <c r="F42" s="2482"/>
      <c r="G42" s="2483"/>
      <c r="H42" s="2482"/>
      <c r="I42" s="2483"/>
      <c r="J42" s="2482"/>
      <c r="K42" s="2482"/>
      <c r="L42" s="2483"/>
      <c r="M42" s="2482"/>
      <c r="N42" s="2482"/>
      <c r="O42" s="2483"/>
      <c r="P42" s="2482"/>
      <c r="Q42" s="2482"/>
      <c r="R42" s="2484"/>
    </row>
    <row r="43" spans="2:18" s="798" customFormat="1">
      <c r="B43" s="2482"/>
      <c r="C43" s="2482"/>
      <c r="D43" s="2482"/>
      <c r="E43" s="2482"/>
      <c r="F43" s="2482"/>
      <c r="G43" s="2483"/>
      <c r="H43" s="2482"/>
      <c r="I43" s="2483"/>
      <c r="J43" s="2482"/>
      <c r="K43" s="2482"/>
      <c r="L43" s="2483"/>
      <c r="M43" s="2482"/>
      <c r="N43" s="2482"/>
      <c r="O43" s="2483"/>
      <c r="P43" s="2482"/>
      <c r="Q43" s="2482"/>
      <c r="R43" s="2484"/>
    </row>
    <row r="44" spans="2:18" s="798" customFormat="1">
      <c r="B44" s="2482"/>
      <c r="C44" s="2482"/>
      <c r="D44" s="2482"/>
      <c r="E44" s="2482"/>
      <c r="F44" s="2482"/>
      <c r="G44" s="2483"/>
      <c r="H44" s="2482"/>
      <c r="I44" s="2483"/>
      <c r="J44" s="2482"/>
      <c r="K44" s="2482"/>
      <c r="L44" s="2483"/>
      <c r="M44" s="2482"/>
      <c r="N44" s="2482"/>
      <c r="O44" s="2483"/>
      <c r="P44" s="2482"/>
      <c r="Q44" s="2482"/>
      <c r="R44" s="2484"/>
    </row>
    <row r="45" spans="2:18" s="798" customFormat="1">
      <c r="B45" s="2482"/>
      <c r="C45" s="2482"/>
      <c r="D45" s="2482"/>
      <c r="E45" s="2482"/>
      <c r="F45" s="2482"/>
      <c r="G45" s="2483"/>
      <c r="H45" s="2482"/>
      <c r="I45" s="2483"/>
      <c r="J45" s="2482"/>
      <c r="K45" s="2482"/>
      <c r="L45" s="2483"/>
      <c r="M45" s="2482"/>
      <c r="N45" s="2482"/>
      <c r="O45" s="2483"/>
      <c r="P45" s="2482"/>
      <c r="Q45" s="2482"/>
      <c r="R45" s="2484"/>
    </row>
    <row r="46" spans="2:18" s="798" customFormat="1">
      <c r="B46" s="2482"/>
      <c r="C46" s="2482"/>
      <c r="D46" s="2482"/>
      <c r="E46" s="2482"/>
      <c r="F46" s="2482"/>
      <c r="G46" s="2483"/>
      <c r="H46" s="2482"/>
      <c r="I46" s="2483"/>
      <c r="J46" s="2482"/>
      <c r="K46" s="2482"/>
      <c r="L46" s="2483"/>
      <c r="M46" s="2482"/>
      <c r="N46" s="2482"/>
      <c r="O46" s="2483"/>
      <c r="P46" s="2482"/>
      <c r="Q46" s="2482"/>
      <c r="R46" s="2484"/>
    </row>
    <row r="47" spans="2:18" s="798" customFormat="1">
      <c r="B47" s="2482"/>
      <c r="C47" s="2482"/>
      <c r="D47" s="2482"/>
      <c r="E47" s="2482"/>
      <c r="F47" s="2482"/>
      <c r="G47" s="2483"/>
      <c r="H47" s="2482"/>
      <c r="I47" s="2483"/>
      <c r="J47" s="2482"/>
      <c r="K47" s="2482"/>
      <c r="L47" s="2483"/>
      <c r="M47" s="2482"/>
      <c r="N47" s="2482"/>
      <c r="O47" s="2483"/>
      <c r="P47" s="2482"/>
      <c r="Q47" s="2482"/>
      <c r="R47" s="2484"/>
    </row>
    <row r="48" spans="2:18" s="798" customFormat="1">
      <c r="B48" s="2482"/>
      <c r="C48" s="2482"/>
      <c r="D48" s="2482"/>
      <c r="E48" s="2482"/>
      <c r="F48" s="2482"/>
      <c r="G48" s="2483"/>
      <c r="H48" s="2482"/>
      <c r="I48" s="2483"/>
      <c r="J48" s="2482"/>
      <c r="K48" s="2482"/>
      <c r="L48" s="2483"/>
      <c r="M48" s="2482"/>
      <c r="N48" s="2482"/>
      <c r="O48" s="2483"/>
      <c r="P48" s="2482"/>
      <c r="Q48" s="2482"/>
      <c r="R48" s="2484"/>
    </row>
    <row r="49" spans="2:18" s="798" customFormat="1">
      <c r="B49" s="2482"/>
      <c r="C49" s="2482"/>
      <c r="D49" s="2482"/>
      <c r="E49" s="2482"/>
      <c r="F49" s="2482"/>
      <c r="G49" s="2483"/>
      <c r="H49" s="2482"/>
      <c r="I49" s="2483"/>
      <c r="J49" s="2482"/>
      <c r="K49" s="2482"/>
      <c r="L49" s="2483"/>
      <c r="M49" s="2482"/>
      <c r="N49" s="2482"/>
      <c r="O49" s="2483"/>
      <c r="P49" s="2482"/>
      <c r="Q49" s="2482"/>
      <c r="R49" s="2484"/>
    </row>
    <row r="50" spans="2:18" s="798" customFormat="1">
      <c r="B50" s="2482"/>
      <c r="C50" s="2482"/>
      <c r="D50" s="2482"/>
      <c r="E50" s="2482"/>
      <c r="F50" s="2482"/>
      <c r="G50" s="2483"/>
      <c r="H50" s="2482"/>
      <c r="I50" s="2483"/>
      <c r="J50" s="2482"/>
      <c r="K50" s="2482"/>
      <c r="L50" s="2483"/>
      <c r="M50" s="2482"/>
      <c r="N50" s="2482"/>
      <c r="O50" s="2483"/>
      <c r="P50" s="2482"/>
      <c r="Q50" s="2482"/>
      <c r="R50" s="2484"/>
    </row>
    <row r="51" spans="2:18" s="798" customFormat="1">
      <c r="B51" s="2482"/>
      <c r="C51" s="2482"/>
      <c r="D51" s="2482"/>
      <c r="E51" s="2482"/>
      <c r="F51" s="2482"/>
      <c r="G51" s="2483"/>
      <c r="H51" s="2482"/>
      <c r="I51" s="2483"/>
      <c r="J51" s="2482"/>
      <c r="K51" s="2482"/>
      <c r="L51" s="2483"/>
      <c r="M51" s="2482"/>
      <c r="N51" s="2482"/>
      <c r="O51" s="2483"/>
      <c r="P51" s="2482"/>
      <c r="Q51" s="2482"/>
      <c r="R51" s="2484"/>
    </row>
    <row r="52" spans="2:18" s="798" customFormat="1">
      <c r="B52" s="2482"/>
      <c r="C52" s="2482"/>
      <c r="D52" s="2482"/>
      <c r="E52" s="2482"/>
      <c r="F52" s="2482"/>
      <c r="G52" s="2483"/>
      <c r="H52" s="2482"/>
      <c r="I52" s="2483"/>
      <c r="J52" s="2482"/>
      <c r="K52" s="2482"/>
      <c r="L52" s="2483"/>
      <c r="M52" s="2482"/>
      <c r="N52" s="2482"/>
      <c r="O52" s="2483"/>
      <c r="P52" s="2482"/>
      <c r="Q52" s="2482"/>
      <c r="R52" s="2484"/>
    </row>
    <row r="53" spans="2:18" s="798" customFormat="1">
      <c r="B53" s="2482"/>
      <c r="C53" s="2482"/>
      <c r="D53" s="2482"/>
      <c r="E53" s="2482"/>
      <c r="F53" s="2482"/>
      <c r="G53" s="2483"/>
      <c r="H53" s="2482"/>
      <c r="I53" s="2483"/>
      <c r="J53" s="2482"/>
      <c r="K53" s="2482"/>
      <c r="L53" s="2483"/>
      <c r="M53" s="2482"/>
      <c r="N53" s="2482"/>
      <c r="O53" s="2483"/>
      <c r="P53" s="2482"/>
      <c r="Q53" s="2482"/>
      <c r="R53" s="2484"/>
    </row>
    <row r="54" spans="2:18" s="798" customFormat="1">
      <c r="B54" s="2482"/>
      <c r="C54" s="2482"/>
      <c r="D54" s="2482"/>
      <c r="E54" s="2482"/>
      <c r="F54" s="2482"/>
      <c r="G54" s="2483"/>
      <c r="H54" s="2482"/>
      <c r="I54" s="2483"/>
      <c r="J54" s="2482"/>
      <c r="K54" s="2482"/>
      <c r="L54" s="2483"/>
      <c r="M54" s="2482"/>
      <c r="N54" s="2482"/>
      <c r="O54" s="2483"/>
      <c r="P54" s="2482"/>
      <c r="Q54" s="2482"/>
      <c r="R54" s="2484"/>
    </row>
    <row r="55" spans="2:18" s="798" customFormat="1">
      <c r="B55" s="2482"/>
      <c r="C55" s="2482"/>
      <c r="D55" s="2482"/>
      <c r="E55" s="2482"/>
      <c r="F55" s="2482"/>
      <c r="G55" s="2483"/>
      <c r="H55" s="2482"/>
      <c r="I55" s="2483"/>
      <c r="J55" s="2482"/>
      <c r="K55" s="2482"/>
      <c r="L55" s="2483"/>
      <c r="M55" s="2482"/>
      <c r="N55" s="2482"/>
      <c r="O55" s="2483"/>
      <c r="P55" s="2482"/>
      <c r="Q55" s="2482"/>
      <c r="R55" s="2484"/>
    </row>
    <row r="56" spans="2:18" s="798" customFormat="1">
      <c r="B56" s="2482"/>
      <c r="C56" s="2482"/>
      <c r="D56" s="2482"/>
      <c r="E56" s="2482"/>
      <c r="F56" s="2482"/>
      <c r="G56" s="2483"/>
      <c r="H56" s="2482"/>
      <c r="I56" s="2483"/>
      <c r="J56" s="2482"/>
      <c r="K56" s="2482"/>
      <c r="L56" s="2483"/>
      <c r="M56" s="2482"/>
      <c r="N56" s="2482"/>
      <c r="O56" s="2483"/>
      <c r="P56" s="2482"/>
      <c r="Q56" s="2482"/>
      <c r="R56" s="2484"/>
    </row>
    <row r="57" spans="2:18" s="798" customFormat="1">
      <c r="B57" s="2482"/>
      <c r="C57" s="2482"/>
      <c r="D57" s="2482"/>
      <c r="E57" s="2482"/>
      <c r="F57" s="2482"/>
      <c r="G57" s="2483"/>
      <c r="H57" s="2482"/>
      <c r="I57" s="2483"/>
      <c r="J57" s="2482"/>
      <c r="K57" s="2482"/>
      <c r="L57" s="2483"/>
      <c r="M57" s="2482"/>
      <c r="N57" s="2482"/>
      <c r="O57" s="2483"/>
      <c r="P57" s="2482"/>
      <c r="Q57" s="2482"/>
      <c r="R57" s="2484"/>
    </row>
    <row r="58" spans="2:18" s="798" customFormat="1">
      <c r="B58" s="2482"/>
      <c r="C58" s="2482"/>
      <c r="D58" s="2482"/>
      <c r="E58" s="2482"/>
      <c r="F58" s="2482"/>
      <c r="G58" s="2483"/>
      <c r="H58" s="2482"/>
      <c r="I58" s="2483"/>
      <c r="J58" s="2482"/>
      <c r="K58" s="2482"/>
      <c r="L58" s="2483"/>
      <c r="M58" s="2482"/>
      <c r="N58" s="2482"/>
      <c r="O58" s="2483"/>
      <c r="P58" s="2482"/>
      <c r="Q58" s="2482"/>
      <c r="R58" s="2484"/>
    </row>
    <row r="59" spans="2:18" s="798" customFormat="1">
      <c r="B59" s="2482"/>
      <c r="C59" s="2482"/>
      <c r="D59" s="2482"/>
      <c r="E59" s="2482"/>
      <c r="F59" s="2482"/>
      <c r="G59" s="2483"/>
      <c r="H59" s="2482"/>
      <c r="I59" s="2483"/>
      <c r="J59" s="2482"/>
      <c r="K59" s="2482"/>
      <c r="L59" s="2483"/>
      <c r="M59" s="2482"/>
      <c r="N59" s="2482"/>
      <c r="O59" s="2483"/>
      <c r="P59" s="2482"/>
      <c r="Q59" s="2482"/>
      <c r="R59" s="2484"/>
    </row>
    <row r="60" spans="2:18" s="798" customFormat="1">
      <c r="B60" s="2482"/>
      <c r="C60" s="2482"/>
      <c r="D60" s="2482"/>
      <c r="E60" s="2482"/>
      <c r="F60" s="2482"/>
      <c r="G60" s="2483"/>
      <c r="H60" s="2482"/>
      <c r="I60" s="2483"/>
      <c r="J60" s="2482"/>
      <c r="K60" s="2482"/>
      <c r="L60" s="2483"/>
      <c r="M60" s="2482"/>
      <c r="N60" s="2482"/>
      <c r="O60" s="2483"/>
      <c r="P60" s="2482"/>
      <c r="Q60" s="2482"/>
      <c r="R60" s="2484"/>
    </row>
    <row r="61" spans="2:18" s="798" customFormat="1">
      <c r="B61" s="2482"/>
      <c r="C61" s="2482"/>
      <c r="D61" s="2482"/>
      <c r="E61" s="2482"/>
      <c r="F61" s="2482"/>
      <c r="G61" s="2483"/>
      <c r="H61" s="2482"/>
      <c r="I61" s="2483"/>
      <c r="J61" s="2482"/>
      <c r="K61" s="2482"/>
      <c r="L61" s="2483"/>
      <c r="M61" s="2482"/>
      <c r="N61" s="2482"/>
      <c r="O61" s="2483"/>
      <c r="P61" s="2482"/>
      <c r="Q61" s="2482"/>
      <c r="R61" s="2484"/>
    </row>
    <row r="62" spans="2:18" s="798" customFormat="1">
      <c r="B62" s="2482"/>
      <c r="C62" s="2482"/>
      <c r="D62" s="2482"/>
      <c r="E62" s="2482"/>
      <c r="F62" s="2482"/>
      <c r="G62" s="2483"/>
      <c r="H62" s="2482"/>
      <c r="I62" s="2483"/>
      <c r="J62" s="2482"/>
      <c r="K62" s="2482"/>
      <c r="L62" s="2483"/>
      <c r="M62" s="2482"/>
      <c r="N62" s="2482"/>
      <c r="O62" s="2483"/>
      <c r="P62" s="2482"/>
      <c r="Q62" s="2482"/>
      <c r="R62" s="2484"/>
    </row>
    <row r="63" spans="2:18" s="798" customFormat="1">
      <c r="B63" s="2482"/>
      <c r="C63" s="2482"/>
      <c r="D63" s="2482"/>
      <c r="E63" s="2482"/>
      <c r="F63" s="2482"/>
      <c r="G63" s="2483"/>
      <c r="H63" s="2482"/>
      <c r="I63" s="2483"/>
      <c r="J63" s="2482"/>
      <c r="K63" s="2482"/>
      <c r="L63" s="2483"/>
      <c r="M63" s="2482"/>
      <c r="N63" s="2482"/>
      <c r="O63" s="2483"/>
      <c r="P63" s="2482"/>
      <c r="Q63" s="2482"/>
      <c r="R63" s="2484"/>
    </row>
    <row r="64" spans="2:18" s="798" customFormat="1">
      <c r="B64" s="2482"/>
      <c r="C64" s="2482"/>
      <c r="D64" s="2482"/>
      <c r="E64" s="2482"/>
      <c r="F64" s="2482"/>
      <c r="G64" s="2483"/>
      <c r="H64" s="2482"/>
      <c r="I64" s="2483"/>
      <c r="J64" s="2482"/>
      <c r="K64" s="2482"/>
      <c r="L64" s="2483"/>
      <c r="M64" s="2482"/>
      <c r="N64" s="2482"/>
      <c r="O64" s="2483"/>
      <c r="P64" s="2482"/>
      <c r="Q64" s="2482"/>
      <c r="R64" s="2484"/>
    </row>
    <row r="65" spans="2:18" s="798" customFormat="1">
      <c r="B65" s="2482"/>
      <c r="C65" s="2482"/>
      <c r="D65" s="2482"/>
      <c r="E65" s="2482"/>
      <c r="F65" s="2482"/>
      <c r="G65" s="2483"/>
      <c r="H65" s="2482"/>
      <c r="I65" s="2483"/>
      <c r="J65" s="2482"/>
      <c r="K65" s="2482"/>
      <c r="L65" s="2483"/>
      <c r="M65" s="2482"/>
      <c r="N65" s="2482"/>
      <c r="O65" s="2483"/>
      <c r="P65" s="2482"/>
      <c r="Q65" s="2482"/>
      <c r="R65" s="2484"/>
    </row>
    <row r="66" spans="2:18" s="798" customFormat="1">
      <c r="B66" s="2482"/>
      <c r="C66" s="2482"/>
      <c r="D66" s="2482"/>
      <c r="E66" s="2482"/>
      <c r="F66" s="2482"/>
      <c r="G66" s="2483"/>
      <c r="H66" s="2482"/>
      <c r="I66" s="2483"/>
      <c r="J66" s="2482"/>
      <c r="K66" s="2482"/>
      <c r="L66" s="2483"/>
      <c r="M66" s="2482"/>
      <c r="N66" s="2482"/>
      <c r="O66" s="2483"/>
      <c r="P66" s="2482"/>
      <c r="Q66" s="2482"/>
      <c r="R66" s="2484"/>
    </row>
    <row r="67" spans="2:18" s="798" customFormat="1">
      <c r="B67" s="2482"/>
      <c r="C67" s="2482"/>
      <c r="D67" s="2482"/>
      <c r="E67" s="2482"/>
      <c r="F67" s="2482"/>
      <c r="G67" s="2483"/>
      <c r="H67" s="2482"/>
      <c r="I67" s="2483"/>
      <c r="J67" s="2482"/>
      <c r="K67" s="2482"/>
      <c r="L67" s="2483"/>
      <c r="M67" s="2482"/>
      <c r="N67" s="2482"/>
      <c r="O67" s="2483"/>
      <c r="P67" s="2482"/>
      <c r="Q67" s="2482"/>
      <c r="R67" s="2484"/>
    </row>
    <row r="68" spans="2:18" s="798" customFormat="1">
      <c r="B68" s="2482"/>
      <c r="C68" s="2482"/>
      <c r="D68" s="2482"/>
      <c r="E68" s="2482"/>
      <c r="F68" s="2482"/>
      <c r="G68" s="2483"/>
      <c r="H68" s="2482"/>
      <c r="I68" s="2483"/>
      <c r="J68" s="2482"/>
      <c r="K68" s="2482"/>
      <c r="L68" s="2483"/>
      <c r="M68" s="2482"/>
      <c r="N68" s="2482"/>
      <c r="O68" s="2483"/>
      <c r="P68" s="2482"/>
      <c r="Q68" s="2482"/>
      <c r="R68" s="2484"/>
    </row>
    <row r="69" spans="2:18" s="798" customFormat="1">
      <c r="B69" s="2482"/>
      <c r="C69" s="2482"/>
      <c r="D69" s="2482"/>
      <c r="E69" s="2482"/>
      <c r="F69" s="2482"/>
      <c r="G69" s="2483"/>
      <c r="H69" s="2482"/>
      <c r="I69" s="2483"/>
      <c r="J69" s="2482"/>
      <c r="K69" s="2482"/>
      <c r="L69" s="2483"/>
      <c r="M69" s="2482"/>
      <c r="N69" s="2482"/>
      <c r="O69" s="2483"/>
      <c r="P69" s="2482"/>
      <c r="Q69" s="2482"/>
      <c r="R69" s="2484"/>
    </row>
    <row r="70" spans="2:18" s="798" customFormat="1">
      <c r="B70" s="2482"/>
      <c r="C70" s="2482"/>
      <c r="D70" s="2482"/>
      <c r="E70" s="2482"/>
      <c r="F70" s="2482"/>
      <c r="G70" s="2483"/>
      <c r="H70" s="2482"/>
      <c r="I70" s="2483"/>
      <c r="J70" s="2482"/>
      <c r="K70" s="2482"/>
      <c r="L70" s="2483"/>
      <c r="M70" s="2482"/>
      <c r="N70" s="2482"/>
      <c r="O70" s="2483"/>
      <c r="P70" s="2482"/>
      <c r="Q70" s="2482"/>
      <c r="R70" s="2484"/>
    </row>
    <row r="71" spans="2:18" s="798" customFormat="1">
      <c r="B71" s="2482"/>
      <c r="C71" s="2482"/>
      <c r="D71" s="2482"/>
      <c r="E71" s="2482"/>
      <c r="F71" s="2482"/>
      <c r="G71" s="2483"/>
      <c r="H71" s="2482"/>
      <c r="I71" s="2483"/>
      <c r="J71" s="2482"/>
      <c r="K71" s="2482"/>
      <c r="L71" s="2483"/>
      <c r="M71" s="2482"/>
      <c r="N71" s="2482"/>
      <c r="O71" s="2483"/>
      <c r="P71" s="2482"/>
      <c r="Q71" s="2482"/>
      <c r="R71" s="2484"/>
    </row>
    <row r="72" spans="2:18" s="798" customFormat="1">
      <c r="B72" s="2482"/>
      <c r="C72" s="2482"/>
      <c r="D72" s="2482"/>
      <c r="E72" s="2482"/>
      <c r="F72" s="2482"/>
      <c r="G72" s="2483"/>
      <c r="H72" s="2482"/>
      <c r="I72" s="2483"/>
      <c r="J72" s="2482"/>
      <c r="K72" s="2482"/>
      <c r="L72" s="2483"/>
      <c r="M72" s="2482"/>
      <c r="N72" s="2482"/>
      <c r="O72" s="2483"/>
      <c r="P72" s="2482"/>
      <c r="Q72" s="2482"/>
      <c r="R72" s="2484"/>
    </row>
    <row r="73" spans="2:18" s="798" customFormat="1">
      <c r="B73" s="2482"/>
      <c r="C73" s="2482"/>
      <c r="D73" s="2482"/>
      <c r="E73" s="2482"/>
      <c r="F73" s="2482"/>
      <c r="G73" s="2483"/>
      <c r="H73" s="2482"/>
      <c r="I73" s="2483"/>
      <c r="J73" s="2482"/>
      <c r="K73" s="2482"/>
      <c r="L73" s="2483"/>
      <c r="M73" s="2482"/>
      <c r="N73" s="2482"/>
      <c r="O73" s="2483"/>
      <c r="P73" s="2482"/>
      <c r="Q73" s="2482"/>
      <c r="R73" s="2484"/>
    </row>
    <row r="74" spans="2:18" s="798" customFormat="1">
      <c r="B74" s="2482"/>
      <c r="C74" s="2482"/>
      <c r="D74" s="2482"/>
      <c r="E74" s="2482"/>
      <c r="F74" s="2482"/>
      <c r="G74" s="2483"/>
      <c r="H74" s="2482"/>
      <c r="I74" s="2483"/>
      <c r="J74" s="2482"/>
      <c r="K74" s="2482"/>
      <c r="L74" s="2483"/>
      <c r="M74" s="2482"/>
      <c r="N74" s="2482"/>
      <c r="O74" s="2483"/>
      <c r="P74" s="2482"/>
      <c r="Q74" s="2482"/>
      <c r="R74" s="2484"/>
    </row>
    <row r="75" spans="2:18" s="798" customFormat="1">
      <c r="B75" s="2482"/>
      <c r="C75" s="2482"/>
      <c r="D75" s="2482"/>
      <c r="E75" s="2482"/>
      <c r="F75" s="2482"/>
      <c r="G75" s="2483"/>
      <c r="H75" s="2482"/>
      <c r="I75" s="2483"/>
      <c r="J75" s="2482"/>
      <c r="K75" s="2482"/>
      <c r="L75" s="2483"/>
      <c r="M75" s="2482"/>
      <c r="N75" s="2482"/>
      <c r="O75" s="2483"/>
      <c r="P75" s="2482"/>
      <c r="Q75" s="2482"/>
      <c r="R75" s="2484"/>
    </row>
    <row r="76" spans="2:18" s="798" customFormat="1">
      <c r="B76" s="2482"/>
      <c r="C76" s="2482"/>
      <c r="D76" s="2482"/>
      <c r="E76" s="2482"/>
      <c r="F76" s="2482"/>
      <c r="G76" s="2483"/>
      <c r="H76" s="2482"/>
      <c r="I76" s="2483"/>
      <c r="J76" s="2482"/>
      <c r="K76" s="2482"/>
      <c r="L76" s="2483"/>
      <c r="M76" s="2482"/>
      <c r="N76" s="2482"/>
      <c r="O76" s="2483"/>
      <c r="P76" s="2482"/>
      <c r="Q76" s="2482"/>
      <c r="R76" s="2484"/>
    </row>
    <row r="77" spans="2:18" s="798" customFormat="1">
      <c r="B77" s="2482"/>
      <c r="C77" s="2482"/>
      <c r="D77" s="2482"/>
      <c r="E77" s="2482"/>
      <c r="F77" s="2482"/>
      <c r="G77" s="2483"/>
      <c r="H77" s="2482"/>
      <c r="I77" s="2483"/>
      <c r="J77" s="2482"/>
      <c r="K77" s="2482"/>
      <c r="L77" s="2483"/>
      <c r="M77" s="2482"/>
      <c r="N77" s="2482"/>
      <c r="O77" s="2483"/>
      <c r="P77" s="2482"/>
      <c r="Q77" s="2482"/>
      <c r="R77" s="2484"/>
    </row>
    <row r="78" spans="2:18" s="798" customFormat="1">
      <c r="B78" s="2482"/>
      <c r="C78" s="2482"/>
      <c r="D78" s="2482"/>
      <c r="E78" s="2482"/>
      <c r="F78" s="2482"/>
      <c r="G78" s="2483"/>
      <c r="H78" s="2482"/>
      <c r="I78" s="2483"/>
      <c r="J78" s="2482"/>
      <c r="K78" s="2482"/>
      <c r="L78" s="2483"/>
      <c r="M78" s="2482"/>
      <c r="N78" s="2482"/>
      <c r="O78" s="2483"/>
      <c r="P78" s="2482"/>
      <c r="Q78" s="2482"/>
      <c r="R78" s="2484"/>
    </row>
    <row r="79" spans="2:18" s="798" customFormat="1">
      <c r="B79" s="2482"/>
      <c r="C79" s="2482"/>
      <c r="D79" s="2482"/>
      <c r="E79" s="2482"/>
      <c r="F79" s="2482"/>
      <c r="G79" s="2483"/>
      <c r="H79" s="2482"/>
      <c r="I79" s="2483"/>
      <c r="J79" s="2482"/>
      <c r="K79" s="2482"/>
      <c r="L79" s="2483"/>
      <c r="M79" s="2482"/>
      <c r="N79" s="2482"/>
      <c r="O79" s="2483"/>
      <c r="P79" s="2482"/>
      <c r="Q79" s="2482"/>
      <c r="R79" s="2484"/>
    </row>
    <row r="80" spans="2:18" s="798" customFormat="1">
      <c r="B80" s="2482"/>
      <c r="C80" s="2482"/>
      <c r="D80" s="2482"/>
      <c r="E80" s="2482"/>
      <c r="F80" s="2482"/>
      <c r="G80" s="2483"/>
      <c r="H80" s="2482"/>
      <c r="I80" s="2483"/>
      <c r="J80" s="2482"/>
      <c r="K80" s="2482"/>
      <c r="L80" s="2483"/>
      <c r="M80" s="2482"/>
      <c r="N80" s="2482"/>
      <c r="O80" s="2483"/>
      <c r="P80" s="2482"/>
      <c r="Q80" s="2482"/>
      <c r="R80" s="2484"/>
    </row>
    <row r="81" spans="2:18" s="798" customFormat="1">
      <c r="B81" s="2482"/>
      <c r="C81" s="2482"/>
      <c r="D81" s="2482"/>
      <c r="E81" s="2482"/>
      <c r="F81" s="2482"/>
      <c r="G81" s="2483"/>
      <c r="H81" s="2482"/>
      <c r="I81" s="2483"/>
      <c r="J81" s="2482"/>
      <c r="K81" s="2482"/>
      <c r="L81" s="2483"/>
      <c r="M81" s="2482"/>
      <c r="N81" s="2482"/>
      <c r="O81" s="2483"/>
      <c r="P81" s="2482"/>
      <c r="Q81" s="2482"/>
      <c r="R81" s="2484"/>
    </row>
    <row r="82" spans="2:18" s="798" customFormat="1">
      <c r="B82" s="2482"/>
      <c r="C82" s="2482"/>
      <c r="D82" s="2482"/>
      <c r="E82" s="2482"/>
      <c r="F82" s="2482"/>
      <c r="G82" s="2483"/>
      <c r="H82" s="2482"/>
      <c r="I82" s="2483"/>
      <c r="J82" s="2482"/>
      <c r="K82" s="2482"/>
      <c r="L82" s="2483"/>
      <c r="M82" s="2482"/>
      <c r="N82" s="2482"/>
      <c r="O82" s="2483"/>
      <c r="P82" s="2482"/>
      <c r="Q82" s="2482"/>
      <c r="R82" s="2484"/>
    </row>
    <row r="83" spans="2:18" s="798" customFormat="1">
      <c r="B83" s="2482"/>
      <c r="C83" s="2482"/>
      <c r="D83" s="2482"/>
      <c r="E83" s="2482"/>
      <c r="F83" s="2482"/>
      <c r="G83" s="2483"/>
      <c r="H83" s="2482"/>
      <c r="I83" s="2483"/>
      <c r="J83" s="2482"/>
      <c r="K83" s="2482"/>
      <c r="L83" s="2483"/>
      <c r="M83" s="2482"/>
      <c r="N83" s="2482"/>
      <c r="O83" s="2483"/>
      <c r="P83" s="2482"/>
      <c r="Q83" s="2482"/>
      <c r="R83" s="2484"/>
    </row>
    <row r="84" spans="2:18" s="798" customFormat="1">
      <c r="B84" s="2482"/>
      <c r="C84" s="2482"/>
      <c r="D84" s="2482"/>
      <c r="E84" s="2482"/>
      <c r="F84" s="2482"/>
      <c r="G84" s="2483"/>
      <c r="H84" s="2482"/>
      <c r="I84" s="2483"/>
      <c r="J84" s="2482"/>
      <c r="K84" s="2482"/>
      <c r="L84" s="2483"/>
      <c r="M84" s="2482"/>
      <c r="N84" s="2482"/>
      <c r="O84" s="2483"/>
      <c r="P84" s="2482"/>
      <c r="Q84" s="2482"/>
      <c r="R84" s="2484"/>
    </row>
    <row r="85" spans="2:18" s="798" customFormat="1">
      <c r="B85" s="2482"/>
      <c r="C85" s="2482"/>
      <c r="D85" s="2482"/>
      <c r="E85" s="2482"/>
      <c r="F85" s="2482"/>
      <c r="G85" s="2483"/>
      <c r="H85" s="2482"/>
      <c r="I85" s="2483"/>
      <c r="J85" s="2482"/>
      <c r="K85" s="2482"/>
      <c r="L85" s="2483"/>
      <c r="M85" s="2482"/>
      <c r="N85" s="2482"/>
      <c r="O85" s="2483"/>
      <c r="P85" s="2482"/>
      <c r="Q85" s="2482"/>
      <c r="R85" s="2484"/>
    </row>
    <row r="86" spans="2:18" s="798" customFormat="1">
      <c r="B86" s="2482"/>
      <c r="C86" s="2482"/>
      <c r="D86" s="2482"/>
      <c r="E86" s="2482"/>
      <c r="F86" s="2482"/>
      <c r="G86" s="2483"/>
      <c r="H86" s="2482"/>
      <c r="I86" s="2483"/>
      <c r="J86" s="2482"/>
      <c r="K86" s="2482"/>
      <c r="L86" s="2483"/>
      <c r="M86" s="2482"/>
      <c r="N86" s="2482"/>
      <c r="O86" s="2483"/>
      <c r="P86" s="2482"/>
      <c r="Q86" s="2482"/>
      <c r="R86" s="2484"/>
    </row>
    <row r="87" spans="2:18" s="798" customFormat="1">
      <c r="B87" s="2482"/>
      <c r="C87" s="2482"/>
      <c r="D87" s="2482"/>
      <c r="E87" s="2482"/>
      <c r="F87" s="2482"/>
      <c r="G87" s="2483"/>
      <c r="H87" s="2482"/>
      <c r="I87" s="2483"/>
      <c r="J87" s="2482"/>
      <c r="K87" s="2482"/>
      <c r="L87" s="2483"/>
      <c r="M87" s="2482"/>
      <c r="N87" s="2482"/>
      <c r="O87" s="2483"/>
      <c r="P87" s="2482"/>
      <c r="Q87" s="2482"/>
      <c r="R87" s="2484"/>
    </row>
    <row r="88" spans="2:18" s="798" customFormat="1">
      <c r="B88" s="2482"/>
      <c r="C88" s="2482"/>
      <c r="D88" s="2482"/>
      <c r="E88" s="2482"/>
      <c r="F88" s="2482"/>
      <c r="G88" s="2483"/>
      <c r="H88" s="2482"/>
      <c r="I88" s="2483"/>
      <c r="J88" s="2482"/>
      <c r="K88" s="2482"/>
      <c r="L88" s="2483"/>
      <c r="M88" s="2482"/>
      <c r="N88" s="2482"/>
      <c r="O88" s="2483"/>
      <c r="P88" s="2482"/>
      <c r="Q88" s="2482"/>
      <c r="R88" s="2484"/>
    </row>
    <row r="89" spans="2:18" s="798" customFormat="1">
      <c r="B89" s="2482"/>
      <c r="C89" s="2482"/>
      <c r="D89" s="2482"/>
      <c r="E89" s="2482"/>
      <c r="F89" s="2482"/>
      <c r="G89" s="2483"/>
      <c r="H89" s="2482"/>
      <c r="I89" s="2483"/>
      <c r="J89" s="2482"/>
      <c r="K89" s="2482"/>
      <c r="L89" s="2483"/>
      <c r="M89" s="2482"/>
      <c r="N89" s="2482"/>
      <c r="O89" s="2483"/>
      <c r="P89" s="2482"/>
      <c r="Q89" s="2482"/>
      <c r="R89" s="2484"/>
    </row>
    <row r="90" spans="2:18" s="798" customFormat="1">
      <c r="B90" s="2482"/>
      <c r="C90" s="2482"/>
      <c r="D90" s="2482"/>
      <c r="E90" s="2482"/>
      <c r="F90" s="2482"/>
      <c r="G90" s="2483"/>
      <c r="H90" s="2482"/>
      <c r="I90" s="2483"/>
      <c r="J90" s="2482"/>
      <c r="K90" s="2482"/>
      <c r="L90" s="2483"/>
      <c r="M90" s="2482"/>
      <c r="N90" s="2482"/>
      <c r="O90" s="2483"/>
      <c r="P90" s="2482"/>
      <c r="Q90" s="2482"/>
      <c r="R90" s="2484"/>
    </row>
    <row r="91" spans="2:18" s="798" customFormat="1">
      <c r="B91" s="2482"/>
      <c r="C91" s="2482"/>
      <c r="D91" s="2482"/>
      <c r="E91" s="2482"/>
      <c r="F91" s="2482"/>
      <c r="G91" s="2483"/>
      <c r="H91" s="2482"/>
      <c r="I91" s="2483"/>
      <c r="J91" s="2482"/>
      <c r="K91" s="2482"/>
      <c r="L91" s="2483"/>
      <c r="M91" s="2482"/>
      <c r="N91" s="2482"/>
      <c r="O91" s="2483"/>
      <c r="P91" s="2482"/>
      <c r="Q91" s="2482"/>
      <c r="R91" s="2484"/>
    </row>
    <row r="92" spans="2:18" s="798" customFormat="1">
      <c r="B92" s="2482"/>
      <c r="C92" s="2482"/>
      <c r="D92" s="2482"/>
      <c r="E92" s="2482"/>
      <c r="F92" s="2482"/>
      <c r="G92" s="2483"/>
      <c r="H92" s="2482"/>
      <c r="I92" s="2483"/>
      <c r="J92" s="2482"/>
      <c r="K92" s="2482"/>
      <c r="L92" s="2483"/>
      <c r="M92" s="2482"/>
      <c r="N92" s="2482"/>
      <c r="O92" s="2483"/>
      <c r="P92" s="2482"/>
      <c r="Q92" s="2482"/>
      <c r="R92" s="2484"/>
    </row>
    <row r="93" spans="2:18" s="798" customFormat="1">
      <c r="B93" s="2482"/>
      <c r="C93" s="2482"/>
      <c r="D93" s="2482"/>
      <c r="E93" s="2482"/>
      <c r="F93" s="2482"/>
      <c r="G93" s="2483"/>
      <c r="H93" s="2482"/>
      <c r="I93" s="2483"/>
      <c r="J93" s="2482"/>
      <c r="K93" s="2482"/>
      <c r="L93" s="2483"/>
      <c r="M93" s="2482"/>
      <c r="N93" s="2482"/>
      <c r="O93" s="2483"/>
      <c r="P93" s="2482"/>
      <c r="Q93" s="2482"/>
      <c r="R93" s="2484"/>
    </row>
    <row r="94" spans="2:18" s="798" customFormat="1">
      <c r="B94" s="2482"/>
      <c r="C94" s="2482"/>
      <c r="D94" s="2482"/>
      <c r="E94" s="2482"/>
      <c r="F94" s="2482"/>
      <c r="G94" s="2483"/>
      <c r="H94" s="2482"/>
      <c r="I94" s="2483"/>
      <c r="J94" s="2482"/>
      <c r="K94" s="2482"/>
      <c r="L94" s="2483"/>
      <c r="M94" s="2482"/>
      <c r="N94" s="2482"/>
      <c r="O94" s="2483"/>
      <c r="P94" s="2482"/>
      <c r="Q94" s="2482"/>
      <c r="R94" s="2484"/>
    </row>
    <row r="95" spans="2:18" s="798" customFormat="1">
      <c r="B95" s="2482"/>
      <c r="C95" s="2482"/>
      <c r="D95" s="2482"/>
      <c r="E95" s="2482"/>
      <c r="F95" s="2482"/>
      <c r="G95" s="2483"/>
      <c r="H95" s="2482"/>
      <c r="I95" s="2483"/>
      <c r="J95" s="2482"/>
      <c r="K95" s="2482"/>
      <c r="L95" s="2483"/>
      <c r="M95" s="2482"/>
      <c r="N95" s="2482"/>
      <c r="O95" s="2483"/>
      <c r="P95" s="2482"/>
      <c r="Q95" s="2482"/>
      <c r="R95" s="2484"/>
    </row>
    <row r="96" spans="2:18" s="798" customFormat="1">
      <c r="B96" s="2482"/>
      <c r="C96" s="2482"/>
      <c r="D96" s="2482"/>
      <c r="E96" s="2482"/>
      <c r="F96" s="2482"/>
      <c r="G96" s="2483"/>
      <c r="H96" s="2482"/>
      <c r="I96" s="2483"/>
      <c r="J96" s="2482"/>
      <c r="K96" s="2482"/>
      <c r="L96" s="2483"/>
      <c r="M96" s="2482"/>
      <c r="N96" s="2482"/>
      <c r="O96" s="2483"/>
      <c r="P96" s="2482"/>
      <c r="Q96" s="2482"/>
      <c r="R96" s="2484"/>
    </row>
    <row r="97" spans="2:18" s="798" customFormat="1">
      <c r="B97" s="2482"/>
      <c r="C97" s="2482"/>
      <c r="D97" s="2482"/>
      <c r="E97" s="2482"/>
      <c r="F97" s="2482"/>
      <c r="G97" s="2483"/>
      <c r="H97" s="2482"/>
      <c r="I97" s="2483"/>
      <c r="J97" s="2482"/>
      <c r="K97" s="2482"/>
      <c r="L97" s="2483"/>
      <c r="M97" s="2482"/>
      <c r="N97" s="2482"/>
      <c r="O97" s="2483"/>
      <c r="P97" s="2482"/>
      <c r="Q97" s="2482"/>
      <c r="R97" s="2484"/>
    </row>
    <row r="98" spans="2:18" s="798" customFormat="1">
      <c r="B98" s="2482"/>
      <c r="C98" s="2482"/>
      <c r="D98" s="2482"/>
      <c r="E98" s="2482"/>
      <c r="F98" s="2482"/>
      <c r="G98" s="2483"/>
      <c r="H98" s="2482"/>
      <c r="I98" s="2483"/>
      <c r="J98" s="2482"/>
      <c r="K98" s="2482"/>
      <c r="L98" s="2483"/>
      <c r="M98" s="2482"/>
      <c r="N98" s="2482"/>
      <c r="O98" s="2483"/>
      <c r="P98" s="2482"/>
      <c r="Q98" s="2482"/>
      <c r="R98" s="2484"/>
    </row>
    <row r="99" spans="2:18" s="798" customFormat="1">
      <c r="B99" s="2482"/>
      <c r="C99" s="2482"/>
      <c r="D99" s="2482"/>
      <c r="E99" s="2482"/>
      <c r="F99" s="2482"/>
      <c r="G99" s="2483"/>
      <c r="H99" s="2482"/>
      <c r="I99" s="2483"/>
      <c r="J99" s="2482"/>
      <c r="K99" s="2482"/>
      <c r="L99" s="2483"/>
      <c r="M99" s="2482"/>
      <c r="N99" s="2482"/>
      <c r="O99" s="2483"/>
      <c r="P99" s="2482"/>
      <c r="Q99" s="2482"/>
      <c r="R99" s="2484"/>
    </row>
    <row r="100" spans="2:18" s="798" customFormat="1">
      <c r="B100" s="2482"/>
      <c r="C100" s="2482"/>
      <c r="D100" s="2482"/>
      <c r="E100" s="2482"/>
      <c r="F100" s="2482"/>
      <c r="G100" s="2483"/>
      <c r="H100" s="2482"/>
      <c r="I100" s="2483"/>
      <c r="J100" s="2482"/>
      <c r="K100" s="2482"/>
      <c r="L100" s="2483"/>
      <c r="M100" s="2482"/>
      <c r="N100" s="2482"/>
      <c r="O100" s="2483"/>
      <c r="P100" s="2482"/>
      <c r="Q100" s="2482"/>
      <c r="R100" s="2484"/>
    </row>
    <row r="101" spans="2:18" s="798" customFormat="1">
      <c r="B101" s="2482"/>
      <c r="C101" s="2482"/>
      <c r="D101" s="2482"/>
      <c r="E101" s="2482"/>
      <c r="F101" s="2482"/>
      <c r="G101" s="2483"/>
      <c r="H101" s="2482"/>
      <c r="I101" s="2483"/>
      <c r="J101" s="2482"/>
      <c r="K101" s="2482"/>
      <c r="L101" s="2483"/>
      <c r="M101" s="2482"/>
      <c r="N101" s="2482"/>
      <c r="O101" s="2483"/>
      <c r="P101" s="2482"/>
      <c r="Q101" s="2482"/>
      <c r="R101" s="2484"/>
    </row>
    <row r="102" spans="2:18" s="798" customFormat="1">
      <c r="B102" s="2482"/>
      <c r="C102" s="2482"/>
      <c r="D102" s="2482"/>
      <c r="E102" s="2482"/>
      <c r="F102" s="2482"/>
      <c r="G102" s="2483"/>
      <c r="H102" s="2482"/>
      <c r="I102" s="2483"/>
      <c r="J102" s="2482"/>
      <c r="K102" s="2482"/>
      <c r="L102" s="2483"/>
      <c r="M102" s="2482"/>
      <c r="N102" s="2482"/>
      <c r="O102" s="2483"/>
      <c r="P102" s="2482"/>
      <c r="Q102" s="2482"/>
      <c r="R102" s="2484"/>
    </row>
    <row r="103" spans="2:18" s="798" customFormat="1">
      <c r="B103" s="2482"/>
      <c r="C103" s="2482"/>
      <c r="D103" s="2482"/>
      <c r="E103" s="2482"/>
      <c r="F103" s="2482"/>
      <c r="G103" s="2483"/>
      <c r="H103" s="2482"/>
      <c r="I103" s="2483"/>
      <c r="J103" s="2482"/>
      <c r="K103" s="2482"/>
      <c r="L103" s="2483"/>
      <c r="M103" s="2482"/>
      <c r="N103" s="2482"/>
      <c r="O103" s="2483"/>
      <c r="P103" s="2482"/>
      <c r="Q103" s="2482"/>
      <c r="R103" s="2484"/>
    </row>
    <row r="104" spans="2:18" s="798" customFormat="1">
      <c r="B104" s="2482"/>
      <c r="C104" s="2482"/>
      <c r="D104" s="2482"/>
      <c r="E104" s="2482"/>
      <c r="F104" s="2482"/>
      <c r="G104" s="2483"/>
      <c r="H104" s="2482"/>
      <c r="I104" s="2483"/>
      <c r="J104" s="2482"/>
      <c r="K104" s="2482"/>
      <c r="L104" s="2483"/>
      <c r="M104" s="2482"/>
      <c r="N104" s="2482"/>
      <c r="O104" s="2483"/>
      <c r="P104" s="2482"/>
      <c r="Q104" s="2482"/>
      <c r="R104" s="2484"/>
    </row>
    <row r="105" spans="2:18" s="798" customFormat="1">
      <c r="B105" s="2482"/>
      <c r="C105" s="2482"/>
      <c r="D105" s="2482"/>
      <c r="E105" s="2482"/>
      <c r="F105" s="2482"/>
      <c r="G105" s="2483"/>
      <c r="H105" s="2482"/>
      <c r="I105" s="2483"/>
      <c r="J105" s="2482"/>
      <c r="K105" s="2482"/>
      <c r="L105" s="2483"/>
      <c r="M105" s="2482"/>
      <c r="N105" s="2482"/>
      <c r="O105" s="2483"/>
      <c r="P105" s="2482"/>
      <c r="Q105" s="2482"/>
      <c r="R105" s="2484"/>
    </row>
    <row r="106" spans="2:18" s="798" customFormat="1">
      <c r="B106" s="2482"/>
      <c r="C106" s="2482"/>
      <c r="D106" s="2482"/>
      <c r="E106" s="2482"/>
      <c r="F106" s="2482"/>
      <c r="G106" s="2483"/>
      <c r="H106" s="2482"/>
      <c r="I106" s="2483"/>
      <c r="J106" s="2482"/>
      <c r="K106" s="2482"/>
      <c r="L106" s="2483"/>
      <c r="M106" s="2482"/>
      <c r="N106" s="2482"/>
      <c r="O106" s="2483"/>
      <c r="P106" s="2482"/>
      <c r="Q106" s="2482"/>
      <c r="R106" s="2484"/>
    </row>
    <row r="107" spans="2:18" s="798" customFormat="1">
      <c r="B107" s="2482"/>
      <c r="C107" s="2482"/>
      <c r="D107" s="2482"/>
      <c r="E107" s="2482"/>
      <c r="F107" s="2482"/>
      <c r="G107" s="2483"/>
      <c r="H107" s="2482"/>
      <c r="I107" s="2483"/>
      <c r="J107" s="2482"/>
      <c r="K107" s="2482"/>
      <c r="L107" s="2483"/>
      <c r="M107" s="2482"/>
      <c r="N107" s="2482"/>
      <c r="O107" s="2483"/>
      <c r="P107" s="2482"/>
      <c r="Q107" s="2482"/>
      <c r="R107" s="2484"/>
    </row>
    <row r="108" spans="2:18" s="798" customFormat="1">
      <c r="B108" s="2482"/>
      <c r="C108" s="2482"/>
      <c r="D108" s="2482"/>
      <c r="E108" s="2482"/>
      <c r="F108" s="2482"/>
      <c r="G108" s="2483"/>
      <c r="H108" s="2482"/>
      <c r="I108" s="2483"/>
      <c r="J108" s="2482"/>
      <c r="K108" s="2482"/>
      <c r="L108" s="2483"/>
      <c r="M108" s="2482"/>
      <c r="N108" s="2482"/>
      <c r="O108" s="2483"/>
      <c r="P108" s="2482"/>
      <c r="Q108" s="2482"/>
      <c r="R108" s="2484"/>
    </row>
    <row r="109" spans="2:18" s="798" customFormat="1">
      <c r="B109" s="2482"/>
      <c r="C109" s="2482"/>
      <c r="D109" s="2482"/>
      <c r="E109" s="2482"/>
      <c r="F109" s="2482"/>
      <c r="G109" s="2483"/>
      <c r="H109" s="2482"/>
      <c r="I109" s="2483"/>
      <c r="J109" s="2482"/>
      <c r="K109" s="2482"/>
      <c r="L109" s="2483"/>
      <c r="M109" s="2482"/>
      <c r="N109" s="2482"/>
      <c r="O109" s="2483"/>
      <c r="P109" s="2482"/>
      <c r="Q109" s="2482"/>
      <c r="R109" s="2484"/>
    </row>
    <row r="110" spans="2:18" s="798" customFormat="1">
      <c r="B110" s="2482"/>
      <c r="C110" s="2482"/>
      <c r="D110" s="2482"/>
      <c r="E110" s="2482"/>
      <c r="F110" s="2482"/>
      <c r="G110" s="2483"/>
      <c r="H110" s="2482"/>
      <c r="I110" s="2483"/>
      <c r="J110" s="2482"/>
      <c r="K110" s="2482"/>
      <c r="L110" s="2483"/>
      <c r="M110" s="2482"/>
      <c r="N110" s="2482"/>
      <c r="O110" s="2483"/>
      <c r="P110" s="2482"/>
      <c r="Q110" s="2482"/>
      <c r="R110" s="2484"/>
    </row>
    <row r="111" spans="2:18" s="798" customFormat="1">
      <c r="B111" s="2482"/>
      <c r="C111" s="2482"/>
      <c r="D111" s="2482"/>
      <c r="E111" s="2482"/>
      <c r="F111" s="2482"/>
      <c r="G111" s="2483"/>
      <c r="H111" s="2482"/>
      <c r="I111" s="2483"/>
      <c r="J111" s="2482"/>
      <c r="K111" s="2482"/>
      <c r="L111" s="2483"/>
      <c r="M111" s="2482"/>
      <c r="N111" s="2482"/>
      <c r="O111" s="2483"/>
      <c r="P111" s="2482"/>
      <c r="Q111" s="2482"/>
      <c r="R111" s="2484"/>
    </row>
    <row r="112" spans="2:18" s="798" customFormat="1">
      <c r="B112" s="2482"/>
      <c r="C112" s="2482"/>
      <c r="D112" s="2482"/>
      <c r="E112" s="2482"/>
      <c r="F112" s="2482"/>
      <c r="G112" s="2483"/>
      <c r="H112" s="2482"/>
      <c r="I112" s="2483"/>
      <c r="J112" s="2482"/>
      <c r="K112" s="2482"/>
      <c r="L112" s="2483"/>
      <c r="M112" s="2482"/>
      <c r="N112" s="2482"/>
      <c r="O112" s="2483"/>
      <c r="P112" s="2482"/>
      <c r="Q112" s="2482"/>
      <c r="R112" s="2484"/>
    </row>
    <row r="113" spans="2:18" s="798" customFormat="1">
      <c r="B113" s="2482"/>
      <c r="C113" s="2482"/>
      <c r="D113" s="2482"/>
      <c r="E113" s="2482"/>
      <c r="F113" s="2482"/>
      <c r="G113" s="2483"/>
      <c r="H113" s="2482"/>
      <c r="I113" s="2483"/>
      <c r="J113" s="2482"/>
      <c r="K113" s="2482"/>
      <c r="L113" s="2483"/>
      <c r="M113" s="2482"/>
      <c r="N113" s="2482"/>
      <c r="O113" s="2483"/>
      <c r="P113" s="2482"/>
      <c r="Q113" s="2482"/>
      <c r="R113" s="2484"/>
    </row>
    <row r="114" spans="2:18" s="798" customFormat="1">
      <c r="B114" s="2482"/>
      <c r="C114" s="2482"/>
      <c r="D114" s="2482"/>
      <c r="E114" s="2482"/>
      <c r="F114" s="2482"/>
      <c r="G114" s="2483"/>
      <c r="H114" s="2482"/>
      <c r="I114" s="2483"/>
      <c r="J114" s="2482"/>
      <c r="K114" s="2482"/>
      <c r="L114" s="2483"/>
      <c r="M114" s="2482"/>
      <c r="N114" s="2482"/>
      <c r="O114" s="2483"/>
      <c r="P114" s="2482"/>
      <c r="Q114" s="2482"/>
      <c r="R114" s="2484"/>
    </row>
    <row r="115" spans="2:18" s="798" customFormat="1">
      <c r="B115" s="2482"/>
      <c r="C115" s="2482"/>
      <c r="D115" s="2482"/>
      <c r="E115" s="2482"/>
      <c r="F115" s="2482"/>
      <c r="G115" s="2483"/>
      <c r="H115" s="2482"/>
      <c r="I115" s="2483"/>
      <c r="J115" s="2482"/>
      <c r="K115" s="2482"/>
      <c r="L115" s="2483"/>
      <c r="M115" s="2482"/>
      <c r="N115" s="2482"/>
      <c r="O115" s="2483"/>
      <c r="P115" s="2482"/>
      <c r="Q115" s="2482"/>
      <c r="R115" s="2484"/>
    </row>
    <row r="116" spans="2:18" s="798" customFormat="1">
      <c r="B116" s="2482"/>
      <c r="C116" s="2482"/>
      <c r="D116" s="2482"/>
      <c r="E116" s="2482"/>
      <c r="F116" s="2482"/>
      <c r="G116" s="2483"/>
      <c r="H116" s="2482"/>
      <c r="I116" s="2483"/>
      <c r="J116" s="2482"/>
      <c r="K116" s="2482"/>
      <c r="L116" s="2483"/>
      <c r="M116" s="2482"/>
      <c r="N116" s="2482"/>
      <c r="O116" s="2483"/>
      <c r="P116" s="2482"/>
      <c r="Q116" s="2482"/>
      <c r="R116" s="2484"/>
    </row>
    <row r="117" spans="2:18" s="798" customFormat="1">
      <c r="B117" s="2482"/>
      <c r="C117" s="2482"/>
      <c r="D117" s="2482"/>
      <c r="E117" s="2482"/>
      <c r="F117" s="2482"/>
      <c r="G117" s="2483"/>
      <c r="H117" s="2482"/>
      <c r="I117" s="2483"/>
      <c r="J117" s="2482"/>
      <c r="K117" s="2482"/>
      <c r="L117" s="2483"/>
      <c r="M117" s="2482"/>
      <c r="N117" s="2482"/>
      <c r="O117" s="2483"/>
      <c r="P117" s="2482"/>
      <c r="Q117" s="2482"/>
      <c r="R117" s="2484"/>
    </row>
    <row r="118" spans="2:18" s="798" customFormat="1">
      <c r="B118" s="2482"/>
      <c r="C118" s="2482"/>
      <c r="D118" s="2482"/>
      <c r="E118" s="2482"/>
      <c r="F118" s="2482"/>
      <c r="G118" s="2483"/>
      <c r="H118" s="2482"/>
      <c r="I118" s="2483"/>
      <c r="J118" s="2482"/>
      <c r="K118" s="2482"/>
      <c r="L118" s="2483"/>
      <c r="M118" s="2482"/>
      <c r="N118" s="2482"/>
      <c r="O118" s="2483"/>
      <c r="P118" s="2482"/>
      <c r="Q118" s="2482"/>
      <c r="R118" s="2484"/>
    </row>
    <row r="119" spans="2:18" s="798" customFormat="1">
      <c r="B119" s="2482"/>
      <c r="C119" s="2482"/>
      <c r="D119" s="2482"/>
      <c r="E119" s="2482"/>
      <c r="F119" s="2482"/>
      <c r="G119" s="2483"/>
      <c r="H119" s="2482"/>
      <c r="I119" s="2483"/>
      <c r="J119" s="2482"/>
      <c r="K119" s="2482"/>
      <c r="L119" s="2483"/>
      <c r="M119" s="2482"/>
      <c r="N119" s="2482"/>
      <c r="O119" s="2483"/>
      <c r="P119" s="2482"/>
      <c r="Q119" s="2482"/>
      <c r="R119" s="2484"/>
    </row>
    <row r="120" spans="2:18" s="798" customFormat="1">
      <c r="B120" s="2482"/>
      <c r="C120" s="2482"/>
      <c r="D120" s="2482"/>
      <c r="E120" s="2482"/>
      <c r="F120" s="2482"/>
      <c r="G120" s="2483"/>
      <c r="H120" s="2482"/>
      <c r="I120" s="2483"/>
      <c r="J120" s="2482"/>
      <c r="K120" s="2482"/>
      <c r="L120" s="2483"/>
      <c r="M120" s="2482"/>
      <c r="N120" s="2482"/>
      <c r="O120" s="2483"/>
      <c r="P120" s="2482"/>
      <c r="Q120" s="2482"/>
      <c r="R120" s="2484"/>
    </row>
    <row r="121" spans="2:18" s="798" customFormat="1">
      <c r="B121" s="2482"/>
      <c r="C121" s="2482"/>
      <c r="D121" s="2482"/>
      <c r="E121" s="2482"/>
      <c r="F121" s="2482"/>
      <c r="G121" s="2483"/>
      <c r="H121" s="2482"/>
      <c r="I121" s="2483"/>
      <c r="J121" s="2482"/>
      <c r="K121" s="2482"/>
      <c r="L121" s="2483"/>
      <c r="M121" s="2482"/>
      <c r="N121" s="2482"/>
      <c r="O121" s="2483"/>
      <c r="P121" s="2482"/>
      <c r="Q121" s="2482"/>
      <c r="R121" s="2484"/>
    </row>
    <row r="122" spans="2:18" s="798" customFormat="1">
      <c r="B122" s="2482"/>
      <c r="C122" s="2482"/>
      <c r="D122" s="2482"/>
      <c r="E122" s="2482"/>
      <c r="F122" s="2482"/>
      <c r="G122" s="2483"/>
      <c r="H122" s="2482"/>
      <c r="I122" s="2483"/>
      <c r="J122" s="2482"/>
      <c r="K122" s="2482"/>
      <c r="L122" s="2483"/>
      <c r="M122" s="2482"/>
      <c r="N122" s="2482"/>
      <c r="O122" s="2483"/>
      <c r="P122" s="2482"/>
      <c r="Q122" s="2482"/>
      <c r="R122" s="2484"/>
    </row>
    <row r="123" spans="2:18" s="798" customFormat="1">
      <c r="B123" s="2482"/>
      <c r="C123" s="2482"/>
      <c r="D123" s="2482"/>
      <c r="E123" s="2482"/>
      <c r="F123" s="2482"/>
      <c r="G123" s="2483"/>
      <c r="H123" s="2482"/>
      <c r="I123" s="2483"/>
      <c r="J123" s="2482"/>
      <c r="K123" s="2482"/>
      <c r="L123" s="2483"/>
      <c r="M123" s="2482"/>
      <c r="N123" s="2482"/>
      <c r="O123" s="2483"/>
      <c r="P123" s="2482"/>
      <c r="Q123" s="2482"/>
      <c r="R123" s="2484"/>
    </row>
    <row r="124" spans="2:18" s="798" customFormat="1">
      <c r="B124" s="2482"/>
      <c r="C124" s="2482"/>
      <c r="D124" s="2482"/>
      <c r="E124" s="2482"/>
      <c r="F124" s="2482"/>
      <c r="G124" s="2483"/>
      <c r="H124" s="2482"/>
      <c r="I124" s="2483"/>
      <c r="J124" s="2482"/>
      <c r="K124" s="2482"/>
      <c r="L124" s="2483"/>
      <c r="M124" s="2482"/>
      <c r="N124" s="2482"/>
      <c r="O124" s="2483"/>
      <c r="P124" s="2482"/>
      <c r="Q124" s="2482"/>
      <c r="R124" s="2484"/>
    </row>
    <row r="125" spans="2:18" s="798" customFormat="1">
      <c r="B125" s="2482"/>
      <c r="C125" s="2482"/>
      <c r="D125" s="2482"/>
      <c r="E125" s="2482"/>
      <c r="F125" s="2482"/>
      <c r="G125" s="2483"/>
      <c r="H125" s="2482"/>
      <c r="I125" s="2483"/>
      <c r="J125" s="2482"/>
      <c r="K125" s="2482"/>
      <c r="L125" s="2483"/>
      <c r="M125" s="2482"/>
      <c r="N125" s="2482"/>
      <c r="O125" s="2483"/>
      <c r="P125" s="2482"/>
      <c r="Q125" s="2482"/>
      <c r="R125" s="2484"/>
    </row>
    <row r="126" spans="2:18" s="798" customFormat="1">
      <c r="B126" s="2482"/>
      <c r="C126" s="2482"/>
      <c r="D126" s="2482"/>
      <c r="E126" s="2482"/>
      <c r="F126" s="2482"/>
      <c r="G126" s="2483"/>
      <c r="H126" s="2482"/>
      <c r="I126" s="2483"/>
      <c r="J126" s="2482"/>
      <c r="K126" s="2482"/>
      <c r="L126" s="2483"/>
      <c r="M126" s="2482"/>
      <c r="N126" s="2482"/>
      <c r="O126" s="2483"/>
      <c r="P126" s="2482"/>
      <c r="Q126" s="2482"/>
      <c r="R126" s="2484"/>
    </row>
    <row r="127" spans="2:18" s="798" customFormat="1">
      <c r="B127" s="2482"/>
      <c r="C127" s="2482"/>
      <c r="D127" s="2482"/>
      <c r="E127" s="2482"/>
      <c r="F127" s="2482"/>
      <c r="G127" s="2483"/>
      <c r="H127" s="2482"/>
      <c r="I127" s="2483"/>
      <c r="J127" s="2482"/>
      <c r="K127" s="2482"/>
      <c r="L127" s="2483"/>
      <c r="M127" s="2482"/>
      <c r="N127" s="2482"/>
      <c r="O127" s="2483"/>
      <c r="P127" s="2482"/>
      <c r="Q127" s="2482"/>
      <c r="R127" s="2484"/>
    </row>
    <row r="128" spans="2:18" s="798" customFormat="1">
      <c r="B128" s="2482"/>
      <c r="C128" s="2482"/>
      <c r="D128" s="2482"/>
      <c r="E128" s="2482"/>
      <c r="F128" s="2482"/>
      <c r="G128" s="2483"/>
      <c r="H128" s="2482"/>
      <c r="I128" s="2483"/>
      <c r="J128" s="2482"/>
      <c r="K128" s="2482"/>
      <c r="L128" s="2483"/>
      <c r="M128" s="2482"/>
      <c r="N128" s="2482"/>
      <c r="O128" s="2483"/>
      <c r="P128" s="2482"/>
      <c r="Q128" s="2482"/>
      <c r="R128" s="2484"/>
    </row>
    <row r="129" spans="2:18" s="798" customFormat="1">
      <c r="B129" s="2482"/>
      <c r="C129" s="2482"/>
      <c r="D129" s="2482"/>
      <c r="E129" s="2482"/>
      <c r="F129" s="2482"/>
      <c r="G129" s="2483"/>
      <c r="H129" s="2482"/>
      <c r="I129" s="2483"/>
      <c r="J129" s="2482"/>
      <c r="K129" s="2482"/>
      <c r="L129" s="2483"/>
      <c r="M129" s="2482"/>
      <c r="N129" s="2482"/>
      <c r="O129" s="2483"/>
      <c r="P129" s="2482"/>
      <c r="Q129" s="2482"/>
      <c r="R129" s="2484"/>
    </row>
    <row r="130" spans="2:18" s="798" customFormat="1">
      <c r="B130" s="2482"/>
      <c r="C130" s="2482"/>
      <c r="D130" s="2482"/>
      <c r="E130" s="2482"/>
      <c r="F130" s="2482"/>
      <c r="G130" s="2483"/>
      <c r="H130" s="2482"/>
      <c r="I130" s="2483"/>
      <c r="J130" s="2482"/>
      <c r="K130" s="2482"/>
      <c r="L130" s="2483"/>
      <c r="M130" s="2482"/>
      <c r="N130" s="2482"/>
      <c r="O130" s="2483"/>
      <c r="P130" s="2482"/>
      <c r="Q130" s="2482"/>
      <c r="R130" s="2484"/>
    </row>
    <row r="131" spans="2:18" s="798" customFormat="1">
      <c r="B131" s="2482"/>
      <c r="C131" s="2482"/>
      <c r="D131" s="2482"/>
      <c r="E131" s="2482"/>
      <c r="F131" s="2482"/>
      <c r="G131" s="2483"/>
      <c r="H131" s="2482"/>
      <c r="I131" s="2483"/>
      <c r="J131" s="2482"/>
      <c r="K131" s="2482"/>
      <c r="L131" s="2483"/>
      <c r="M131" s="2482"/>
      <c r="N131" s="2482"/>
      <c r="O131" s="2483"/>
      <c r="P131" s="2482"/>
      <c r="Q131" s="2482"/>
      <c r="R131" s="2484"/>
    </row>
    <row r="132" spans="2:18" s="798" customFormat="1">
      <c r="B132" s="2482"/>
      <c r="C132" s="2482"/>
      <c r="D132" s="2482"/>
      <c r="E132" s="2482"/>
      <c r="F132" s="2482"/>
      <c r="G132" s="2483"/>
      <c r="H132" s="2482"/>
      <c r="I132" s="2483"/>
      <c r="J132" s="2482"/>
      <c r="K132" s="2482"/>
      <c r="L132" s="2483"/>
      <c r="M132" s="2482"/>
      <c r="N132" s="2482"/>
      <c r="O132" s="2483"/>
      <c r="P132" s="2482"/>
      <c r="Q132" s="2482"/>
      <c r="R132" s="2484"/>
    </row>
    <row r="133" spans="2:18" s="798" customFormat="1">
      <c r="B133" s="2482"/>
      <c r="C133" s="2482"/>
      <c r="D133" s="2482"/>
      <c r="E133" s="2482"/>
      <c r="F133" s="2482"/>
      <c r="G133" s="2483"/>
      <c r="H133" s="2482"/>
      <c r="I133" s="2483"/>
      <c r="J133" s="2482"/>
      <c r="K133" s="2482"/>
      <c r="L133" s="2483"/>
      <c r="M133" s="2482"/>
      <c r="N133" s="2482"/>
      <c r="O133" s="2483"/>
      <c r="P133" s="2482"/>
      <c r="Q133" s="2482"/>
      <c r="R133" s="2484"/>
    </row>
    <row r="134" spans="2:18" s="798" customFormat="1">
      <c r="B134" s="2482"/>
      <c r="C134" s="2482"/>
      <c r="D134" s="2482"/>
      <c r="E134" s="2482"/>
      <c r="F134" s="2482"/>
      <c r="G134" s="2483"/>
      <c r="H134" s="2482"/>
      <c r="I134" s="2483"/>
      <c r="J134" s="2482"/>
      <c r="K134" s="2482"/>
      <c r="L134" s="2483"/>
      <c r="M134" s="2482"/>
      <c r="N134" s="2482"/>
      <c r="O134" s="2483"/>
      <c r="P134" s="2482"/>
      <c r="Q134" s="2482"/>
      <c r="R134" s="2484"/>
    </row>
    <row r="135" spans="2:18" s="798" customFormat="1">
      <c r="B135" s="2482"/>
      <c r="C135" s="2482"/>
      <c r="D135" s="2482"/>
      <c r="E135" s="2482"/>
      <c r="F135" s="2482"/>
      <c r="G135" s="2483"/>
      <c r="H135" s="2482"/>
      <c r="I135" s="2483"/>
      <c r="J135" s="2482"/>
      <c r="K135" s="2482"/>
      <c r="L135" s="2483"/>
      <c r="M135" s="2482"/>
      <c r="N135" s="2482"/>
      <c r="O135" s="2483"/>
      <c r="P135" s="2482"/>
      <c r="Q135" s="2482"/>
      <c r="R135" s="2484"/>
    </row>
    <row r="136" spans="2:18" s="798" customFormat="1">
      <c r="B136" s="2482"/>
      <c r="C136" s="2482"/>
      <c r="D136" s="2482"/>
      <c r="E136" s="2482"/>
      <c r="F136" s="2482"/>
      <c r="G136" s="2483"/>
      <c r="H136" s="2482"/>
      <c r="I136" s="2483"/>
      <c r="J136" s="2482"/>
      <c r="K136" s="2482"/>
      <c r="L136" s="2483"/>
      <c r="M136" s="2482"/>
      <c r="N136" s="2482"/>
      <c r="O136" s="2483"/>
      <c r="P136" s="2482"/>
      <c r="Q136" s="2482"/>
      <c r="R136" s="2484"/>
    </row>
    <row r="137" spans="2:18" s="798" customFormat="1">
      <c r="B137" s="2482"/>
      <c r="C137" s="2482"/>
      <c r="D137" s="2482"/>
      <c r="E137" s="2482"/>
      <c r="F137" s="2482"/>
      <c r="G137" s="2483"/>
      <c r="H137" s="2482"/>
      <c r="I137" s="2483"/>
      <c r="J137" s="2482"/>
      <c r="K137" s="2482"/>
      <c r="L137" s="2483"/>
      <c r="M137" s="2482"/>
      <c r="N137" s="2482"/>
      <c r="O137" s="2483"/>
      <c r="P137" s="2482"/>
      <c r="Q137" s="2482"/>
      <c r="R137" s="2484"/>
    </row>
    <row r="138" spans="2:18" s="798" customFormat="1">
      <c r="B138" s="2482"/>
      <c r="C138" s="2482"/>
      <c r="D138" s="2482"/>
      <c r="E138" s="2482"/>
      <c r="F138" s="2482"/>
      <c r="G138" s="2483"/>
      <c r="H138" s="2482"/>
      <c r="I138" s="2483"/>
      <c r="J138" s="2482"/>
      <c r="K138" s="2482"/>
      <c r="L138" s="2483"/>
      <c r="M138" s="2482"/>
      <c r="N138" s="2482"/>
      <c r="O138" s="2483"/>
      <c r="P138" s="2482"/>
      <c r="Q138" s="2482"/>
      <c r="R138" s="2484"/>
    </row>
    <row r="139" spans="2:18" s="798" customFormat="1">
      <c r="B139" s="2482"/>
      <c r="C139" s="2482"/>
      <c r="D139" s="2482"/>
      <c r="E139" s="2482"/>
      <c r="F139" s="2482"/>
      <c r="G139" s="2483"/>
      <c r="H139" s="2482"/>
      <c r="I139" s="2483"/>
      <c r="J139" s="2482"/>
      <c r="K139" s="2482"/>
      <c r="L139" s="2483"/>
      <c r="M139" s="2482"/>
      <c r="N139" s="2482"/>
      <c r="O139" s="2483"/>
      <c r="P139" s="2482"/>
      <c r="Q139" s="2482"/>
      <c r="R139" s="2484"/>
    </row>
    <row r="140" spans="2:18" s="798" customFormat="1">
      <c r="B140" s="2482"/>
      <c r="C140" s="2482"/>
      <c r="D140" s="2482"/>
      <c r="E140" s="2482"/>
      <c r="F140" s="2482"/>
      <c r="G140" s="2483"/>
      <c r="H140" s="2482"/>
      <c r="I140" s="2483"/>
      <c r="J140" s="2482"/>
      <c r="K140" s="2482"/>
      <c r="L140" s="2483"/>
      <c r="M140" s="2482"/>
      <c r="N140" s="2482"/>
      <c r="O140" s="2483"/>
      <c r="P140" s="2482"/>
      <c r="Q140" s="2482"/>
      <c r="R140" s="2484"/>
    </row>
    <row r="141" spans="2:18" s="798" customFormat="1">
      <c r="B141" s="2482"/>
      <c r="C141" s="2482"/>
      <c r="D141" s="2482"/>
      <c r="E141" s="2482"/>
      <c r="F141" s="2482"/>
      <c r="G141" s="2483"/>
      <c r="H141" s="2482"/>
      <c r="I141" s="2483"/>
      <c r="J141" s="2482"/>
      <c r="K141" s="2482"/>
      <c r="L141" s="2483"/>
      <c r="M141" s="2482"/>
      <c r="N141" s="2482"/>
      <c r="O141" s="2483"/>
      <c r="P141" s="2482"/>
      <c r="Q141" s="2482"/>
      <c r="R141" s="2484"/>
    </row>
    <row r="142" spans="2:18" s="798" customFormat="1">
      <c r="B142" s="2482"/>
      <c r="C142" s="2482"/>
      <c r="D142" s="2482"/>
      <c r="E142" s="2482"/>
      <c r="F142" s="2482"/>
      <c r="G142" s="2483"/>
      <c r="H142" s="2482"/>
      <c r="I142" s="2483"/>
      <c r="J142" s="2482"/>
      <c r="K142" s="2482"/>
      <c r="L142" s="2483"/>
      <c r="M142" s="2482"/>
      <c r="N142" s="2482"/>
      <c r="O142" s="2483"/>
      <c r="P142" s="2482"/>
      <c r="Q142" s="2482"/>
      <c r="R142" s="2484"/>
    </row>
    <row r="143" spans="2:18" s="798" customFormat="1">
      <c r="B143" s="2482"/>
      <c r="C143" s="2482"/>
      <c r="D143" s="2482"/>
      <c r="E143" s="2482"/>
      <c r="F143" s="2482"/>
      <c r="G143" s="2483"/>
      <c r="H143" s="2482"/>
      <c r="I143" s="2483"/>
      <c r="J143" s="2482"/>
      <c r="K143" s="2482"/>
      <c r="L143" s="2483"/>
      <c r="M143" s="2482"/>
      <c r="N143" s="2482"/>
      <c r="O143" s="2483"/>
      <c r="P143" s="2482"/>
      <c r="Q143" s="2482"/>
      <c r="R143" s="2484"/>
    </row>
    <row r="144" spans="2:18" s="798" customFormat="1">
      <c r="B144" s="2482"/>
      <c r="C144" s="2482"/>
      <c r="D144" s="2482"/>
      <c r="E144" s="2482"/>
      <c r="F144" s="2482"/>
      <c r="G144" s="2483"/>
      <c r="H144" s="2482"/>
      <c r="I144" s="2483"/>
      <c r="J144" s="2482"/>
      <c r="K144" s="2482"/>
      <c r="L144" s="2483"/>
      <c r="M144" s="2482"/>
      <c r="N144" s="2482"/>
      <c r="O144" s="2483"/>
      <c r="P144" s="2482"/>
      <c r="Q144" s="2482"/>
      <c r="R144" s="2484"/>
    </row>
    <row r="145" spans="2:18" s="798" customFormat="1">
      <c r="B145" s="2482"/>
      <c r="C145" s="2482"/>
      <c r="D145" s="2482"/>
      <c r="E145" s="2482"/>
      <c r="F145" s="2482"/>
      <c r="G145" s="2483"/>
      <c r="H145" s="2482"/>
      <c r="I145" s="2483"/>
      <c r="J145" s="2482"/>
      <c r="K145" s="2482"/>
      <c r="L145" s="2483"/>
      <c r="M145" s="2482"/>
      <c r="N145" s="2482"/>
      <c r="O145" s="2483"/>
      <c r="P145" s="2482"/>
      <c r="Q145" s="2482"/>
      <c r="R145" s="2484"/>
    </row>
    <row r="146" spans="2:18" s="798" customFormat="1">
      <c r="B146" s="2482"/>
      <c r="C146" s="2482"/>
      <c r="D146" s="2482"/>
      <c r="E146" s="2482"/>
      <c r="F146" s="2482"/>
      <c r="G146" s="2483"/>
      <c r="H146" s="2482"/>
      <c r="I146" s="2483"/>
      <c r="J146" s="2482"/>
      <c r="K146" s="2482"/>
      <c r="L146" s="2483"/>
      <c r="M146" s="2482"/>
      <c r="N146" s="2482"/>
      <c r="O146" s="2483"/>
      <c r="P146" s="2482"/>
      <c r="Q146" s="2482"/>
      <c r="R146" s="2484"/>
    </row>
    <row r="147" spans="2:18" s="798" customFormat="1">
      <c r="B147" s="2482"/>
      <c r="C147" s="2482"/>
      <c r="D147" s="2482"/>
      <c r="E147" s="2482"/>
      <c r="F147" s="2482"/>
      <c r="G147" s="2483"/>
      <c r="H147" s="2482"/>
      <c r="I147" s="2483"/>
      <c r="J147" s="2482"/>
      <c r="K147" s="2482"/>
      <c r="L147" s="2483"/>
      <c r="M147" s="2482"/>
      <c r="N147" s="2482"/>
      <c r="O147" s="2483"/>
      <c r="P147" s="2482"/>
      <c r="Q147" s="2482"/>
      <c r="R147" s="2484"/>
    </row>
    <row r="148" spans="2:18" s="798" customFormat="1">
      <c r="B148" s="2482"/>
      <c r="C148" s="2482"/>
      <c r="D148" s="2482"/>
      <c r="E148" s="2482"/>
      <c r="F148" s="2482"/>
      <c r="G148" s="2483"/>
      <c r="H148" s="2482"/>
      <c r="I148" s="2483"/>
      <c r="J148" s="2482"/>
      <c r="K148" s="2482"/>
      <c r="L148" s="2483"/>
      <c r="M148" s="2482"/>
      <c r="N148" s="2482"/>
      <c r="O148" s="2483"/>
      <c r="P148" s="2482"/>
      <c r="Q148" s="2482"/>
      <c r="R148" s="2484"/>
    </row>
    <row r="149" spans="2:18" s="798" customFormat="1">
      <c r="B149" s="2482"/>
      <c r="C149" s="2482"/>
      <c r="D149" s="2482"/>
      <c r="E149" s="2482"/>
      <c r="F149" s="2482"/>
      <c r="G149" s="2483"/>
      <c r="H149" s="2482"/>
      <c r="I149" s="2483"/>
      <c r="J149" s="2482"/>
      <c r="K149" s="2482"/>
      <c r="L149" s="2483"/>
      <c r="M149" s="2482"/>
      <c r="N149" s="2482"/>
      <c r="O149" s="2483"/>
      <c r="P149" s="2482"/>
      <c r="Q149" s="2482"/>
      <c r="R149" s="2484"/>
    </row>
    <row r="150" spans="2:18" s="798" customFormat="1">
      <c r="B150" s="2482"/>
      <c r="C150" s="2482"/>
      <c r="D150" s="2482"/>
      <c r="E150" s="2482"/>
      <c r="F150" s="2482"/>
      <c r="G150" s="2483"/>
      <c r="H150" s="2482"/>
      <c r="I150" s="2483"/>
      <c r="J150" s="2482"/>
      <c r="K150" s="2482"/>
      <c r="L150" s="2483"/>
      <c r="M150" s="2482"/>
      <c r="N150" s="2482"/>
      <c r="O150" s="2483"/>
      <c r="P150" s="2482"/>
      <c r="Q150" s="2482"/>
      <c r="R150" s="2484"/>
    </row>
    <row r="151" spans="2:18" s="798" customFormat="1">
      <c r="B151" s="2482"/>
      <c r="C151" s="2482"/>
      <c r="D151" s="2482"/>
      <c r="E151" s="2482"/>
      <c r="F151" s="2482"/>
      <c r="G151" s="2483"/>
      <c r="H151" s="2482"/>
      <c r="I151" s="2483"/>
      <c r="J151" s="2482"/>
      <c r="K151" s="2482"/>
      <c r="L151" s="2483"/>
      <c r="M151" s="2482"/>
      <c r="N151" s="2482"/>
      <c r="O151" s="2483"/>
      <c r="P151" s="2482"/>
      <c r="Q151" s="2482"/>
      <c r="R151" s="2484"/>
    </row>
    <row r="152" spans="2:18" s="798" customFormat="1">
      <c r="B152" s="2482"/>
      <c r="C152" s="2482"/>
      <c r="D152" s="2482"/>
      <c r="E152" s="2482"/>
      <c r="F152" s="2482"/>
      <c r="G152" s="2483"/>
      <c r="H152" s="2482"/>
      <c r="I152" s="2483"/>
      <c r="J152" s="2482"/>
      <c r="K152" s="2482"/>
      <c r="L152" s="2483"/>
      <c r="M152" s="2482"/>
      <c r="N152" s="2482"/>
      <c r="O152" s="2483"/>
      <c r="P152" s="2482"/>
      <c r="Q152" s="2482"/>
      <c r="R152" s="2484"/>
    </row>
    <row r="153" spans="2:18" s="798" customFormat="1">
      <c r="B153" s="2482"/>
      <c r="C153" s="2482"/>
      <c r="D153" s="2482"/>
      <c r="E153" s="2482"/>
      <c r="F153" s="2482"/>
      <c r="G153" s="2483"/>
      <c r="H153" s="2482"/>
      <c r="I153" s="2483"/>
      <c r="J153" s="2482"/>
      <c r="K153" s="2482"/>
      <c r="L153" s="2483"/>
      <c r="M153" s="2482"/>
      <c r="N153" s="2482"/>
      <c r="O153" s="2483"/>
      <c r="P153" s="2482"/>
      <c r="Q153" s="2482"/>
      <c r="R153" s="2484"/>
    </row>
    <row r="154" spans="2:18" s="798" customFormat="1">
      <c r="B154" s="2482"/>
      <c r="C154" s="2482"/>
      <c r="D154" s="2482"/>
      <c r="E154" s="2482"/>
      <c r="F154" s="2482"/>
      <c r="G154" s="2483"/>
      <c r="H154" s="2482"/>
      <c r="I154" s="2483"/>
      <c r="J154" s="2482"/>
      <c r="K154" s="2482"/>
      <c r="L154" s="2483"/>
      <c r="M154" s="2482"/>
      <c r="N154" s="2482"/>
      <c r="O154" s="2483"/>
      <c r="P154" s="2482"/>
      <c r="Q154" s="2482"/>
      <c r="R154" s="2484"/>
    </row>
    <row r="155" spans="2:18" s="798" customFormat="1">
      <c r="B155" s="2482"/>
      <c r="C155" s="2482"/>
      <c r="D155" s="2482"/>
      <c r="E155" s="2482"/>
      <c r="F155" s="2482"/>
      <c r="G155" s="2483"/>
      <c r="H155" s="2482"/>
      <c r="I155" s="2483"/>
      <c r="J155" s="2482"/>
      <c r="K155" s="2482"/>
      <c r="L155" s="2483"/>
      <c r="M155" s="2482"/>
      <c r="N155" s="2482"/>
      <c r="O155" s="2483"/>
      <c r="P155" s="2482"/>
      <c r="Q155" s="2482"/>
      <c r="R155" s="2484"/>
    </row>
    <row r="156" spans="2:18" s="798" customFormat="1">
      <c r="B156" s="2482"/>
      <c r="C156" s="2482"/>
      <c r="D156" s="2482"/>
      <c r="E156" s="2482"/>
      <c r="F156" s="2482"/>
      <c r="G156" s="2483"/>
      <c r="H156" s="2482"/>
      <c r="I156" s="2483"/>
      <c r="J156" s="2482"/>
      <c r="K156" s="2482"/>
      <c r="L156" s="2483"/>
      <c r="M156" s="2482"/>
      <c r="N156" s="2482"/>
      <c r="O156" s="2483"/>
      <c r="P156" s="2482"/>
      <c r="Q156" s="2482"/>
      <c r="R156" s="2484"/>
    </row>
    <row r="157" spans="2:18" s="798" customFormat="1">
      <c r="B157" s="2482"/>
      <c r="C157" s="2482"/>
      <c r="D157" s="2482"/>
      <c r="E157" s="2482"/>
      <c r="F157" s="2482"/>
      <c r="G157" s="2483"/>
      <c r="H157" s="2482"/>
      <c r="I157" s="2483"/>
      <c r="J157" s="2482"/>
      <c r="K157" s="2482"/>
      <c r="L157" s="2483"/>
      <c r="M157" s="2482"/>
      <c r="N157" s="2482"/>
      <c r="O157" s="2483"/>
      <c r="P157" s="2482"/>
      <c r="Q157" s="2482"/>
      <c r="R157" s="2484"/>
    </row>
    <row r="158" spans="2:18" s="798" customFormat="1">
      <c r="B158" s="2482"/>
      <c r="C158" s="2482"/>
      <c r="D158" s="2482"/>
      <c r="E158" s="2482"/>
      <c r="F158" s="2482"/>
      <c r="G158" s="2483"/>
      <c r="H158" s="2482"/>
      <c r="I158" s="2483"/>
      <c r="J158" s="2482"/>
      <c r="K158" s="2482"/>
      <c r="L158" s="2483"/>
      <c r="M158" s="2482"/>
      <c r="N158" s="2482"/>
      <c r="O158" s="2483"/>
      <c r="P158" s="2482"/>
      <c r="Q158" s="2482"/>
      <c r="R158" s="2484"/>
    </row>
    <row r="159" spans="2:18" s="798" customFormat="1">
      <c r="B159" s="2482"/>
      <c r="C159" s="2482"/>
      <c r="D159" s="2482"/>
      <c r="E159" s="2482"/>
      <c r="F159" s="2482"/>
      <c r="G159" s="2483"/>
      <c r="H159" s="2482"/>
      <c r="I159" s="2483"/>
      <c r="J159" s="2482"/>
      <c r="K159" s="2482"/>
      <c r="L159" s="2483"/>
      <c r="M159" s="2482"/>
      <c r="N159" s="2482"/>
      <c r="O159" s="2483"/>
      <c r="P159" s="2482"/>
      <c r="Q159" s="2482"/>
      <c r="R159" s="2484"/>
    </row>
    <row r="160" spans="2:18" s="798" customFormat="1">
      <c r="B160" s="2482"/>
      <c r="C160" s="2482"/>
      <c r="D160" s="2482"/>
      <c r="E160" s="2482"/>
      <c r="F160" s="2482"/>
      <c r="G160" s="2483"/>
      <c r="H160" s="2482"/>
      <c r="I160" s="2483"/>
      <c r="J160" s="2482"/>
      <c r="K160" s="2482"/>
      <c r="L160" s="2483"/>
      <c r="M160" s="2482"/>
      <c r="N160" s="2482"/>
      <c r="O160" s="2483"/>
      <c r="P160" s="2482"/>
      <c r="Q160" s="2482"/>
      <c r="R160" s="2484"/>
    </row>
    <row r="161" spans="2:18" s="798" customFormat="1">
      <c r="B161" s="2482"/>
      <c r="C161" s="2482"/>
      <c r="D161" s="2482"/>
      <c r="E161" s="2482"/>
      <c r="F161" s="2482"/>
      <c r="G161" s="2483"/>
      <c r="H161" s="2482"/>
      <c r="I161" s="2483"/>
      <c r="J161" s="2482"/>
      <c r="K161" s="2482"/>
      <c r="L161" s="2483"/>
      <c r="M161" s="2482"/>
      <c r="N161" s="2482"/>
      <c r="O161" s="2483"/>
      <c r="P161" s="2482"/>
      <c r="Q161" s="2482"/>
      <c r="R161" s="2484"/>
    </row>
    <row r="162" spans="2:18" s="798" customFormat="1">
      <c r="B162" s="2482"/>
      <c r="C162" s="2482"/>
      <c r="D162" s="2482"/>
      <c r="E162" s="2482"/>
      <c r="F162" s="2482"/>
      <c r="G162" s="2483"/>
      <c r="H162" s="2482"/>
      <c r="I162" s="2483"/>
      <c r="J162" s="2482"/>
      <c r="K162" s="2482"/>
      <c r="L162" s="2483"/>
      <c r="M162" s="2482"/>
      <c r="N162" s="2482"/>
      <c r="O162" s="2483"/>
      <c r="P162" s="2482"/>
      <c r="Q162" s="2482"/>
      <c r="R162" s="2484"/>
    </row>
    <row r="163" spans="2:18" s="798" customFormat="1">
      <c r="B163" s="2482"/>
      <c r="C163" s="2482"/>
      <c r="D163" s="2482"/>
      <c r="E163" s="2482"/>
      <c r="F163" s="2482"/>
      <c r="G163" s="2483"/>
      <c r="H163" s="2482"/>
      <c r="I163" s="2483"/>
      <c r="J163" s="2482"/>
      <c r="K163" s="2482"/>
      <c r="L163" s="2483"/>
      <c r="M163" s="2482"/>
      <c r="N163" s="2482"/>
      <c r="O163" s="2483"/>
      <c r="P163" s="2482"/>
      <c r="Q163" s="2482"/>
      <c r="R163" s="2484"/>
    </row>
    <row r="164" spans="2:18" s="798" customFormat="1">
      <c r="B164" s="2482"/>
      <c r="C164" s="2482"/>
      <c r="D164" s="2482"/>
      <c r="E164" s="2482"/>
      <c r="F164" s="2482"/>
      <c r="G164" s="2483"/>
      <c r="H164" s="2482"/>
      <c r="I164" s="2483"/>
      <c r="J164" s="2482"/>
      <c r="K164" s="2482"/>
      <c r="L164" s="2483"/>
      <c r="M164" s="2482"/>
      <c r="N164" s="2482"/>
      <c r="O164" s="2483"/>
      <c r="P164" s="2482"/>
      <c r="Q164" s="2482"/>
      <c r="R164" s="2484"/>
    </row>
    <row r="165" spans="2:18" s="798" customFormat="1">
      <c r="B165" s="2482"/>
      <c r="C165" s="2482"/>
      <c r="D165" s="2482"/>
      <c r="E165" s="2482"/>
      <c r="F165" s="2482"/>
      <c r="G165" s="2483"/>
      <c r="H165" s="2482"/>
      <c r="I165" s="2483"/>
      <c r="J165" s="2482"/>
      <c r="K165" s="2482"/>
      <c r="L165" s="2483"/>
      <c r="M165" s="2482"/>
      <c r="N165" s="2482"/>
      <c r="O165" s="2483"/>
      <c r="P165" s="2482"/>
      <c r="Q165" s="2482"/>
      <c r="R165" s="2484"/>
    </row>
    <row r="166" spans="2:18" s="798" customFormat="1">
      <c r="B166" s="2482"/>
      <c r="C166" s="2482"/>
      <c r="D166" s="2482"/>
      <c r="E166" s="2482"/>
      <c r="F166" s="2482"/>
      <c r="G166" s="2483"/>
      <c r="H166" s="2482"/>
      <c r="I166" s="2483"/>
      <c r="J166" s="2482"/>
      <c r="K166" s="2482"/>
      <c r="L166" s="2483"/>
      <c r="M166" s="2482"/>
      <c r="N166" s="2482"/>
      <c r="O166" s="2483"/>
      <c r="P166" s="2482"/>
      <c r="Q166" s="2482"/>
      <c r="R166" s="2484"/>
    </row>
    <row r="167" spans="2:18" s="798" customFormat="1">
      <c r="B167" s="2482"/>
      <c r="C167" s="2482"/>
      <c r="D167" s="2482"/>
      <c r="E167" s="2482"/>
      <c r="F167" s="2482"/>
      <c r="G167" s="2483"/>
      <c r="H167" s="2482"/>
      <c r="I167" s="2483"/>
      <c r="J167" s="2482"/>
      <c r="K167" s="2482"/>
      <c r="L167" s="2483"/>
      <c r="M167" s="2482"/>
      <c r="N167" s="2482"/>
      <c r="O167" s="2483"/>
      <c r="P167" s="2482"/>
      <c r="Q167" s="2482"/>
      <c r="R167" s="2484"/>
    </row>
    <row r="168" spans="2:18" s="798" customFormat="1">
      <c r="B168" s="2482"/>
      <c r="C168" s="2482"/>
      <c r="D168" s="2482"/>
      <c r="E168" s="2482"/>
      <c r="F168" s="2482"/>
      <c r="G168" s="2483"/>
      <c r="H168" s="2482"/>
      <c r="I168" s="2483"/>
      <c r="J168" s="2482"/>
      <c r="K168" s="2482"/>
      <c r="L168" s="2483"/>
      <c r="M168" s="2482"/>
      <c r="N168" s="2482"/>
      <c r="O168" s="2483"/>
      <c r="P168" s="2482"/>
      <c r="Q168" s="2482"/>
      <c r="R168" s="2484"/>
    </row>
    <row r="169" spans="2:18" s="798" customFormat="1">
      <c r="B169" s="2482"/>
      <c r="C169" s="2482"/>
      <c r="D169" s="2482"/>
      <c r="E169" s="2482"/>
      <c r="F169" s="2482"/>
      <c r="G169" s="2483"/>
      <c r="H169" s="2482"/>
      <c r="I169" s="2483"/>
      <c r="J169" s="2482"/>
      <c r="K169" s="2482"/>
      <c r="L169" s="2483"/>
      <c r="M169" s="2482"/>
      <c r="N169" s="2482"/>
      <c r="O169" s="2483"/>
      <c r="P169" s="2482"/>
      <c r="Q169" s="2482"/>
      <c r="R169" s="2484"/>
    </row>
    <row r="170" spans="2:18" s="798" customFormat="1">
      <c r="B170" s="2482"/>
      <c r="C170" s="2482"/>
      <c r="D170" s="2482"/>
      <c r="E170" s="2482"/>
      <c r="F170" s="2482"/>
      <c r="G170" s="2483"/>
      <c r="H170" s="2482"/>
      <c r="I170" s="2483"/>
      <c r="J170" s="2482"/>
      <c r="K170" s="2482"/>
      <c r="L170" s="2483"/>
      <c r="M170" s="2482"/>
      <c r="N170" s="2482"/>
      <c r="O170" s="2483"/>
      <c r="P170" s="2482"/>
      <c r="Q170" s="2482"/>
      <c r="R170" s="2484"/>
    </row>
    <row r="171" spans="2:18" s="798" customFormat="1">
      <c r="B171" s="2482"/>
      <c r="C171" s="2482"/>
      <c r="D171" s="2482"/>
      <c r="E171" s="2482"/>
      <c r="F171" s="2482"/>
      <c r="G171" s="2483"/>
      <c r="H171" s="2482"/>
      <c r="I171" s="2483"/>
      <c r="J171" s="2482"/>
      <c r="K171" s="2482"/>
      <c r="L171" s="2483"/>
      <c r="M171" s="2482"/>
      <c r="N171" s="2482"/>
      <c r="O171" s="2483"/>
      <c r="P171" s="2482"/>
      <c r="Q171" s="2482"/>
      <c r="R171" s="2484"/>
    </row>
    <row r="172" spans="2:18" s="798" customFormat="1">
      <c r="B172" s="2482"/>
      <c r="C172" s="2482"/>
      <c r="D172" s="2482"/>
      <c r="E172" s="2482"/>
      <c r="F172" s="2482"/>
      <c r="G172" s="2483"/>
      <c r="H172" s="2482"/>
      <c r="I172" s="2483"/>
      <c r="J172" s="2482"/>
      <c r="K172" s="2482"/>
      <c r="L172" s="2483"/>
      <c r="M172" s="2482"/>
      <c r="N172" s="2482"/>
      <c r="O172" s="2483"/>
      <c r="P172" s="2482"/>
      <c r="Q172" s="2482"/>
      <c r="R172" s="2484"/>
    </row>
    <row r="173" spans="2:18" s="798" customFormat="1">
      <c r="B173" s="2482"/>
      <c r="C173" s="2482"/>
      <c r="D173" s="2482"/>
      <c r="E173" s="2482"/>
      <c r="F173" s="2482"/>
      <c r="G173" s="2483"/>
      <c r="H173" s="2482"/>
      <c r="I173" s="2483"/>
      <c r="J173" s="2482"/>
      <c r="K173" s="2482"/>
      <c r="L173" s="2483"/>
      <c r="M173" s="2482"/>
      <c r="N173" s="2482"/>
      <c r="O173" s="2483"/>
      <c r="P173" s="2482"/>
      <c r="Q173" s="2482"/>
      <c r="R173" s="2484"/>
    </row>
    <row r="174" spans="2:18" s="798" customFormat="1">
      <c r="B174" s="2482"/>
      <c r="C174" s="2482"/>
      <c r="D174" s="2482"/>
      <c r="E174" s="2482"/>
      <c r="F174" s="2482"/>
      <c r="G174" s="2483"/>
      <c r="H174" s="2482"/>
      <c r="I174" s="2483"/>
      <c r="J174" s="2482"/>
      <c r="K174" s="2482"/>
      <c r="L174" s="2483"/>
      <c r="M174" s="2482"/>
      <c r="N174" s="2482"/>
      <c r="O174" s="2483"/>
      <c r="P174" s="2482"/>
      <c r="Q174" s="2482"/>
      <c r="R174" s="2484"/>
    </row>
    <row r="175" spans="2:18" s="798" customFormat="1">
      <c r="B175" s="2482"/>
      <c r="C175" s="2482"/>
      <c r="D175" s="2482"/>
      <c r="E175" s="2482"/>
      <c r="F175" s="2482"/>
      <c r="G175" s="2483"/>
      <c r="H175" s="2482"/>
      <c r="I175" s="2483"/>
      <c r="J175" s="2482"/>
      <c r="K175" s="2482"/>
      <c r="L175" s="2483"/>
      <c r="M175" s="2482"/>
      <c r="N175" s="2482"/>
      <c r="O175" s="2483"/>
      <c r="P175" s="2482"/>
      <c r="Q175" s="2482"/>
      <c r="R175" s="2484"/>
    </row>
    <row r="176" spans="2:18" s="798" customFormat="1">
      <c r="B176" s="2482"/>
      <c r="C176" s="2482"/>
      <c r="D176" s="2482"/>
      <c r="E176" s="2482"/>
      <c r="F176" s="2482"/>
      <c r="G176" s="2483"/>
      <c r="H176" s="2482"/>
      <c r="I176" s="2483"/>
      <c r="J176" s="2482"/>
      <c r="K176" s="2482"/>
      <c r="L176" s="2483"/>
      <c r="M176" s="2482"/>
      <c r="N176" s="2482"/>
      <c r="O176" s="2483"/>
      <c r="P176" s="2482"/>
      <c r="Q176" s="2482"/>
      <c r="R176" s="2484"/>
    </row>
    <row r="177" spans="1:18" s="798" customFormat="1">
      <c r="B177" s="2482"/>
      <c r="C177" s="2482"/>
      <c r="D177" s="2482"/>
      <c r="E177" s="2482"/>
      <c r="F177" s="2482"/>
      <c r="G177" s="2483"/>
      <c r="H177" s="2482"/>
      <c r="I177" s="2483"/>
      <c r="J177" s="2482"/>
      <c r="K177" s="2482"/>
      <c r="L177" s="2483"/>
      <c r="M177" s="2482"/>
      <c r="N177" s="2482"/>
      <c r="O177" s="2483"/>
      <c r="P177" s="2482"/>
      <c r="Q177" s="2482"/>
      <c r="R177" s="2484"/>
    </row>
    <row r="178" spans="1:18" s="798" customFormat="1">
      <c r="B178" s="2482"/>
      <c r="C178" s="2482"/>
      <c r="D178" s="2482"/>
      <c r="E178" s="2482"/>
      <c r="F178" s="2482"/>
      <c r="G178" s="2483"/>
      <c r="H178" s="2482"/>
      <c r="I178" s="2483"/>
      <c r="J178" s="2482"/>
      <c r="K178" s="2482"/>
      <c r="L178" s="2483"/>
      <c r="M178" s="2482"/>
      <c r="N178" s="2482"/>
      <c r="O178" s="2483"/>
      <c r="P178" s="2482"/>
      <c r="Q178" s="2482"/>
      <c r="R178" s="2484"/>
    </row>
    <row r="179" spans="1:18" s="798" customFormat="1">
      <c r="B179" s="2482"/>
      <c r="C179" s="2482"/>
      <c r="D179" s="2482"/>
      <c r="E179" s="2482"/>
      <c r="F179" s="2482"/>
      <c r="G179" s="2483"/>
      <c r="H179" s="2482"/>
      <c r="I179" s="2483"/>
      <c r="J179" s="2482"/>
      <c r="K179" s="2482"/>
      <c r="L179" s="2483"/>
      <c r="M179" s="2482"/>
      <c r="N179" s="2482"/>
      <c r="O179" s="2483"/>
      <c r="P179" s="2482"/>
      <c r="Q179" s="2482"/>
      <c r="R179" s="2484"/>
    </row>
    <row r="180" spans="1:18" s="798" customFormat="1">
      <c r="B180" s="2482"/>
      <c r="C180" s="2482"/>
      <c r="D180" s="2482"/>
      <c r="E180" s="2482"/>
      <c r="F180" s="2482"/>
      <c r="G180" s="2483"/>
      <c r="H180" s="2482"/>
      <c r="I180" s="2483"/>
      <c r="J180" s="2482"/>
      <c r="K180" s="2482"/>
      <c r="L180" s="2483"/>
      <c r="M180" s="2482"/>
      <c r="N180" s="2482"/>
      <c r="O180" s="2483"/>
      <c r="P180" s="2482"/>
      <c r="Q180" s="2482"/>
      <c r="R180" s="2484"/>
    </row>
    <row r="181" spans="1:18" s="798" customFormat="1">
      <c r="B181" s="2482"/>
      <c r="C181" s="2482"/>
      <c r="D181" s="2482"/>
      <c r="E181" s="2482"/>
      <c r="F181" s="2482"/>
      <c r="G181" s="2483"/>
      <c r="H181" s="2482"/>
      <c r="I181" s="2483"/>
      <c r="J181" s="2482"/>
      <c r="K181" s="2482"/>
      <c r="L181" s="2483"/>
      <c r="M181" s="2482"/>
      <c r="N181" s="2482"/>
      <c r="O181" s="2483"/>
      <c r="P181" s="2482"/>
      <c r="Q181" s="2482"/>
      <c r="R181" s="2484"/>
    </row>
    <row r="182" spans="1:18" s="798" customFormat="1">
      <c r="B182" s="2482"/>
      <c r="C182" s="2482"/>
      <c r="D182" s="2482"/>
      <c r="E182" s="2482"/>
      <c r="F182" s="2482"/>
      <c r="G182" s="2483"/>
      <c r="H182" s="2482"/>
      <c r="I182" s="2483"/>
      <c r="J182" s="2482"/>
      <c r="K182" s="2482"/>
      <c r="L182" s="2483"/>
      <c r="M182" s="2482"/>
      <c r="N182" s="2482"/>
      <c r="O182" s="2483"/>
      <c r="P182" s="2482"/>
      <c r="Q182" s="2482"/>
      <c r="R182" s="2484"/>
    </row>
    <row r="183" spans="1:18" s="798" customFormat="1">
      <c r="B183" s="2482"/>
      <c r="C183" s="2482"/>
      <c r="D183" s="2482"/>
      <c r="E183" s="2482"/>
      <c r="F183" s="2482"/>
      <c r="G183" s="2483"/>
      <c r="H183" s="2482"/>
      <c r="I183" s="2483"/>
      <c r="J183" s="2482"/>
      <c r="K183" s="2482"/>
      <c r="L183" s="2483"/>
      <c r="M183" s="2482"/>
      <c r="N183" s="2482"/>
      <c r="O183" s="2483"/>
      <c r="P183" s="2482"/>
      <c r="Q183" s="2482"/>
      <c r="R183" s="2484"/>
    </row>
    <row r="184" spans="1:18" s="798" customFormat="1">
      <c r="B184" s="2482"/>
      <c r="C184" s="2482"/>
      <c r="D184" s="2482"/>
      <c r="E184" s="2482"/>
      <c r="F184" s="2482"/>
      <c r="G184" s="2483"/>
      <c r="H184" s="2482"/>
      <c r="I184" s="2483"/>
      <c r="J184" s="2482"/>
      <c r="K184" s="2482"/>
      <c r="L184" s="2483"/>
      <c r="M184" s="2482"/>
      <c r="N184" s="2482"/>
      <c r="O184" s="2483"/>
      <c r="P184" s="2482"/>
      <c r="Q184" s="2482"/>
      <c r="R184" s="2484"/>
    </row>
    <row r="185" spans="1:18" s="798"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8"/>
      <c r="B186" s="2482"/>
      <c r="C186" s="2482"/>
      <c r="E186" s="2482"/>
      <c r="F186" s="2482"/>
      <c r="G186" s="2483"/>
    </row>
    <row r="187" spans="1:18">
      <c r="A187" s="798"/>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9" sqref="H3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108134.41</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45160</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240022</v>
      </c>
      <c r="C5" s="2503">
        <f ca="1">IF(B5=D14,结果表!H102,ROUND(B5*10000/$B$1,0))</f>
        <v>22197</v>
      </c>
      <c r="D5" s="2503" t="e">
        <f ca="1">ROUND(B5*10000/$B$2,0)</f>
        <v>#DIV/0!</v>
      </c>
      <c r="E5" s="2676"/>
      <c r="F5" s="2677"/>
      <c r="G5" s="2677"/>
      <c r="H5" s="2678"/>
      <c r="I5" s="2678"/>
      <c r="J5" s="2678"/>
      <c r="K5" s="2678"/>
    </row>
    <row r="6" spans="1:11" ht="16.5">
      <c r="A6" s="2503" t="s">
        <v>656</v>
      </c>
      <c r="B6" s="2503">
        <f ca="1">SUM(G14:G23)</f>
        <v>240022</v>
      </c>
      <c r="C6" s="2503">
        <f ca="1">IF(B6=G14,结果表!H108,ROUND(B6*10000/$B$1,0))</f>
        <v>22197</v>
      </c>
      <c r="D6" s="2503" t="e">
        <f ca="1">ROUND(B6*10000/$B$2,0)</f>
        <v>#DIV/0!</v>
      </c>
      <c r="E6" s="2676"/>
      <c r="F6" s="2677"/>
      <c r="G6" s="2677"/>
      <c r="H6" s="2678"/>
      <c r="I6" s="2678"/>
      <c r="J6" s="2678"/>
      <c r="K6" s="2678"/>
    </row>
    <row r="7" spans="1:11" ht="16.5">
      <c r="A7" s="2503" t="s">
        <v>664</v>
      </c>
      <c r="B7" s="2503">
        <f>SUM(H14:H23)</f>
        <v>0</v>
      </c>
      <c r="C7" s="2503" t="str">
        <f>IF(B7=H14,结果表!H110,ROUND(B7*10000/$B$1,0))</f>
        <v>——</v>
      </c>
      <c r="D7" s="2503" t="e">
        <f>ROUND(B7*10000/$B$2,0)</f>
        <v>#DIV/0!</v>
      </c>
      <c r="E7" s="2676"/>
      <c r="F7" s="2677"/>
      <c r="G7" s="2677"/>
      <c r="H7" s="2678"/>
      <c r="I7" s="2678"/>
      <c r="J7" s="2678"/>
      <c r="K7" s="2678"/>
    </row>
    <row r="8" spans="1:11" ht="16.5">
      <c r="A8" s="2503" t="s">
        <v>587</v>
      </c>
      <c r="B8" s="2503">
        <f>SUM(I14:I23)</f>
        <v>0</v>
      </c>
      <c r="C8" s="2503" t="str">
        <f>IF(B8=I14,结果表!H112,ROUND(B8*10000/$B$1,0))</f>
        <v>——</v>
      </c>
      <c r="D8" s="2503" t="e">
        <f>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3352</v>
      </c>
      <c r="D10" s="2503" t="s">
        <v>3353</v>
      </c>
      <c r="E10" s="3430"/>
      <c r="F10" s="3434" t="s">
        <v>3354</v>
      </c>
      <c r="G10" s="3431"/>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35356.130000000005</v>
      </c>
      <c r="C14" s="2509">
        <f>结果表!C118</f>
        <v>0</v>
      </c>
      <c r="D14" s="2509">
        <f ca="1">结果表!H118</f>
        <v>85470</v>
      </c>
      <c r="E14" s="2509">
        <f ca="1">ROUND(D14*10000/B14,0)</f>
        <v>24174</v>
      </c>
      <c r="F14" s="2509" t="e">
        <f ca="1">ROUND(D14*10000/C14,0)</f>
        <v>#DIV/0!</v>
      </c>
      <c r="G14" s="2509">
        <f ca="1">D14</f>
        <v>85470</v>
      </c>
      <c r="H14" s="2509"/>
      <c r="I14" s="2509"/>
      <c r="J14" s="2677"/>
      <c r="K14" s="2678"/>
    </row>
    <row r="15" spans="1:11" ht="16.5">
      <c r="A15" s="2508" t="s">
        <v>649</v>
      </c>
      <c r="B15" s="2510">
        <f>[3]系统读取表!B14</f>
        <v>72778.28</v>
      </c>
      <c r="C15" s="2510">
        <f>[3]系统读取表!C14</f>
        <v>0</v>
      </c>
      <c r="D15" s="2510">
        <f ca="1">[3]系统读取表!D14</f>
        <v>154552</v>
      </c>
      <c r="E15" s="2509">
        <f t="shared" ref="E15:E23" ca="1" si="0">ROUND(D15*10000/B15,0)</f>
        <v>21236</v>
      </c>
      <c r="F15" s="2509" t="e">
        <f t="shared" ref="F15:F23" ca="1" si="1">ROUND(D15*10000/C15,0)</f>
        <v>#DIV/0!</v>
      </c>
      <c r="G15" s="2510">
        <f ca="1">[3]系统读取表!G14</f>
        <v>154552</v>
      </c>
      <c r="H15" s="1329"/>
      <c r="I15" s="2510"/>
      <c r="J15" s="2677"/>
      <c r="K15" s="2678"/>
    </row>
    <row r="16" spans="1:11" ht="16.5">
      <c r="A16" s="2508" t="s">
        <v>648</v>
      </c>
      <c r="B16" s="2510"/>
      <c r="C16" s="2510"/>
      <c r="D16" s="2510"/>
      <c r="E16" s="2509" t="e">
        <f t="shared" si="0"/>
        <v>#DIV/0!</v>
      </c>
      <c r="F16" s="2509" t="e">
        <f t="shared" si="1"/>
        <v>#DIV/0!</v>
      </c>
      <c r="G16" s="1329"/>
      <c r="H16" s="1329"/>
      <c r="I16" s="2510"/>
      <c r="J16" s="2678"/>
      <c r="K16" s="2678"/>
    </row>
    <row r="17" spans="1:11" ht="16.5">
      <c r="A17" s="2508" t="s">
        <v>647</v>
      </c>
      <c r="B17" s="2510"/>
      <c r="C17" s="2510"/>
      <c r="D17" s="2510"/>
      <c r="E17" s="2509" t="e">
        <f t="shared" si="0"/>
        <v>#DIV/0!</v>
      </c>
      <c r="F17" s="2509" t="e">
        <f t="shared" si="1"/>
        <v>#DIV/0!</v>
      </c>
      <c r="G17" s="1329"/>
      <c r="H17" s="1329"/>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90" zoomScaleNormal="100" zoomScaleSheetLayoutView="90" zoomScalePageLayoutView="80" workbookViewId="0">
      <selection activeCell="L34" sqref="L34"/>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738" t="str">
        <f>项目基本情况!S2</f>
        <v>北京市房地产</v>
      </c>
      <c r="B2" s="3739"/>
      <c r="C2" s="3739"/>
      <c r="D2" s="3739"/>
      <c r="E2" s="3739"/>
      <c r="F2" s="3739"/>
      <c r="G2" s="3739"/>
      <c r="H2" s="3739"/>
      <c r="I2" s="3740"/>
    </row>
    <row r="3" spans="1:12" ht="12.75">
      <c r="A3" s="3742" t="s">
        <v>1264</v>
      </c>
      <c r="B3" s="3743"/>
      <c r="C3" s="3743"/>
      <c r="D3" s="3743"/>
      <c r="E3" s="3743"/>
      <c r="F3" s="3743"/>
      <c r="G3" s="3743"/>
      <c r="H3" s="3743"/>
      <c r="I3" s="3743"/>
    </row>
    <row r="4" spans="1:12" ht="14.25">
      <c r="A4" s="1752" t="s">
        <v>1265</v>
      </c>
      <c r="B4" s="1753" t="s">
        <v>1266</v>
      </c>
      <c r="C4" s="1754" t="s">
        <v>3399</v>
      </c>
      <c r="D4" s="1754" t="s">
        <v>3470</v>
      </c>
      <c r="E4" s="3747" t="s">
        <v>1267</v>
      </c>
      <c r="F4" s="3748"/>
      <c r="G4" s="3748"/>
      <c r="H4" s="3748"/>
      <c r="I4" s="37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6" t="s">
        <v>1268</v>
      </c>
      <c r="B5" s="3741">
        <v>25</v>
      </c>
      <c r="C5" s="3744"/>
      <c r="D5" s="3732"/>
      <c r="E5" s="131" t="s">
        <v>1269</v>
      </c>
      <c r="F5" s="1755"/>
      <c r="G5" s="1755"/>
      <c r="H5" s="1755"/>
      <c r="I5" s="1371"/>
    </row>
    <row r="6" spans="1:12" ht="12.75">
      <c r="A6" s="3686"/>
      <c r="B6" s="3741"/>
      <c r="C6" s="3746"/>
      <c r="D6" s="3732"/>
      <c r="E6" s="131" t="s">
        <v>1270</v>
      </c>
      <c r="F6" s="1755"/>
      <c r="G6" s="1755"/>
      <c r="H6" s="1755"/>
      <c r="I6" s="1371"/>
    </row>
    <row r="7" spans="1:12" ht="12.75">
      <c r="A7" s="3686"/>
      <c r="B7" s="3741"/>
      <c r="C7" s="3745"/>
      <c r="D7" s="3732"/>
      <c r="E7" s="131" t="s">
        <v>1271</v>
      </c>
      <c r="F7" s="1755"/>
      <c r="G7" s="1755"/>
      <c r="H7" s="1755"/>
      <c r="I7" s="1371"/>
    </row>
    <row r="8" spans="1:12" ht="12.75">
      <c r="A8" s="3686" t="s">
        <v>1272</v>
      </c>
      <c r="B8" s="3741">
        <v>15</v>
      </c>
      <c r="C8" s="3744"/>
      <c r="D8" s="3732"/>
      <c r="E8" s="131" t="s">
        <v>1273</v>
      </c>
      <c r="F8" s="1755"/>
      <c r="G8" s="1755"/>
      <c r="H8" s="1755"/>
      <c r="I8" s="1371"/>
    </row>
    <row r="9" spans="1:12" ht="12.75">
      <c r="A9" s="3686"/>
      <c r="B9" s="3741"/>
      <c r="C9" s="3745"/>
      <c r="D9" s="3732"/>
      <c r="E9" s="131" t="s">
        <v>1274</v>
      </c>
      <c r="F9" s="1755"/>
      <c r="G9" s="1755"/>
      <c r="H9" s="1755"/>
      <c r="I9" s="1371"/>
    </row>
    <row r="10" spans="1:12" ht="12.75">
      <c r="A10" s="3686" t="s">
        <v>1275</v>
      </c>
      <c r="B10" s="3741">
        <v>15</v>
      </c>
      <c r="C10" s="3744"/>
      <c r="D10" s="3732"/>
      <c r="E10" s="131" t="s">
        <v>1276</v>
      </c>
      <c r="F10" s="1755"/>
      <c r="G10" s="1755"/>
      <c r="H10" s="1755"/>
      <c r="I10" s="1371"/>
    </row>
    <row r="11" spans="1:12" ht="12.75">
      <c r="A11" s="3686"/>
      <c r="B11" s="3741"/>
      <c r="C11" s="3745"/>
      <c r="D11" s="3732"/>
      <c r="E11" s="131" t="s">
        <v>1277</v>
      </c>
      <c r="F11" s="1755"/>
      <c r="G11" s="1755"/>
      <c r="H11" s="1755"/>
      <c r="I11" s="1371"/>
    </row>
    <row r="12" spans="1:12" ht="12.75">
      <c r="A12" s="3686" t="s">
        <v>1278</v>
      </c>
      <c r="B12" s="3741">
        <v>15</v>
      </c>
      <c r="C12" s="3744"/>
      <c r="D12" s="3732"/>
      <c r="E12" s="131" t="s">
        <v>1279</v>
      </c>
      <c r="F12" s="1755"/>
      <c r="G12" s="1755"/>
      <c r="H12" s="1755"/>
      <c r="I12" s="1371"/>
    </row>
    <row r="13" spans="1:12" ht="12.75">
      <c r="A13" s="3686"/>
      <c r="B13" s="3741"/>
      <c r="C13" s="3745"/>
      <c r="D13" s="3732"/>
      <c r="E13" s="131" t="s">
        <v>1280</v>
      </c>
      <c r="F13" s="1755"/>
      <c r="G13" s="1755"/>
      <c r="H13" s="1755"/>
      <c r="I13" s="1371"/>
    </row>
    <row r="14" spans="1:12" ht="12.75">
      <c r="A14" s="3686" t="s">
        <v>1281</v>
      </c>
      <c r="B14" s="3741">
        <v>30</v>
      </c>
      <c r="C14" s="3744">
        <v>5</v>
      </c>
      <c r="D14" s="3732">
        <f>10-C14</f>
        <v>5</v>
      </c>
      <c r="E14" s="131" t="s">
        <v>1282</v>
      </c>
      <c r="F14" s="1755"/>
      <c r="G14" s="1755"/>
      <c r="H14" s="1755"/>
      <c r="I14" s="1371"/>
    </row>
    <row r="15" spans="1:12" ht="12.75">
      <c r="A15" s="3686"/>
      <c r="B15" s="3741"/>
      <c r="C15" s="3746"/>
      <c r="D15" s="3732"/>
      <c r="E15" s="131" t="s">
        <v>1283</v>
      </c>
      <c r="F15" s="1755"/>
      <c r="G15" s="1755"/>
      <c r="H15" s="1755"/>
      <c r="I15" s="1371"/>
    </row>
    <row r="16" spans="1:12" ht="12.75">
      <c r="A16" s="3686"/>
      <c r="B16" s="3741"/>
      <c r="C16" s="3745"/>
      <c r="D16" s="3732"/>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763" t="s">
        <v>2131</v>
      </c>
      <c r="F18" s="3764"/>
      <c r="G18" s="3764"/>
      <c r="H18" s="3764"/>
      <c r="I18" s="3764"/>
      <c r="K18" s="302" t="s">
        <v>1289</v>
      </c>
      <c r="L18" s="302">
        <f>IF(C1="",'数据-汇总表'!E3,SUMIF(项目类型,C1,'数据-汇总表'!E17:E26)+SUMIF(项目类型,C1,'数据-汇总表'!I17:I26))</f>
        <v>35356.130000000005</v>
      </c>
      <c r="M18" s="302">
        <f>IF(C1="",'数据-汇总表'!E3,SUMIF(项目类型,C1,'数据-汇总表'!E17:E26))</f>
        <v>35356.130000000005</v>
      </c>
    </row>
    <row r="19" spans="1:36" ht="15">
      <c r="A19" s="1759" t="s">
        <v>1290</v>
      </c>
      <c r="B19" s="1760" t="s">
        <v>1291</v>
      </c>
      <c r="C19" s="134">
        <f ca="1">SUMIF(INDIRECT("'"&amp;C4&amp;"'"&amp;"!A:A"),结果表!B19,INDIRECT("'"&amp;C4&amp;"'"&amp;"!B:B"))</f>
        <v>84312</v>
      </c>
      <c r="D19" s="135">
        <f ca="1">SUMIF(INDIRECT("'"&amp;D4&amp;"'"&amp;"!A:A"),结果表!B19,INDIRECT("'"&amp;D4&amp;"'"&amp;"!B:B"))</f>
        <v>86627</v>
      </c>
      <c r="E19" s="1759" t="s">
        <v>1292</v>
      </c>
      <c r="F19" s="1760" t="s">
        <v>1291</v>
      </c>
      <c r="G19" s="136">
        <f ca="1">ROUND(C19*$C$18+D19*$D$18,0)</f>
        <v>85470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23847</v>
      </c>
      <c r="D20" s="138">
        <f ca="1">SUMIF(INDIRECT("'"&amp;D4&amp;"'"&amp;"!A:A"),结果表!B20,INDIRECT("'"&amp;D4&amp;"'"&amp;"!B:B"))</f>
        <v>24501</v>
      </c>
      <c r="E20" s="1762"/>
      <c r="F20" s="1025" t="s">
        <v>1295</v>
      </c>
      <c r="G20" s="139">
        <f ca="1">ROUND(C20*$C$18+D20*$D$18,0)</f>
        <v>24174</v>
      </c>
      <c r="H20" s="807" t="s">
        <v>1296</v>
      </c>
      <c r="I20" s="129"/>
    </row>
    <row r="21" spans="1:36" ht="15" customHeight="1" thickBot="1">
      <c r="A21" s="827"/>
      <c r="B21" s="1763" t="s">
        <v>1297</v>
      </c>
      <c r="C21" s="719" t="e">
        <f ca="1">ROUND(C19*10000/L19,0)</f>
        <v>#DIV/0!</v>
      </c>
      <c r="D21" s="720" t="e">
        <f ca="1">ROUND(D19*10000/L19,0)</f>
        <v>#DIV/0!</v>
      </c>
      <c r="E21" s="827"/>
      <c r="F21" s="1763" t="s">
        <v>1297</v>
      </c>
      <c r="G21" s="140" t="e">
        <f ca="1">ROUND(G19*10000/L19,0)</f>
        <v>#DIV/0!</v>
      </c>
      <c r="H21" s="1764" t="s">
        <v>1296</v>
      </c>
      <c r="I21" s="129"/>
    </row>
    <row r="22" spans="1:36" ht="15" thickBot="1">
      <c r="A22" s="1686" t="s">
        <v>1298</v>
      </c>
      <c r="B22" s="1765"/>
      <c r="C22" s="1766"/>
      <c r="D22" s="721">
        <f ca="1">IF(C19&lt;D19,D19/C19-1,C19/D19-1)</f>
        <v>2.7457538665907499E-2</v>
      </c>
      <c r="E22" s="129"/>
      <c r="F22" s="129"/>
      <c r="G22" s="129"/>
      <c r="H22" s="129"/>
      <c r="I22" s="129"/>
      <c r="L22" s="3473" t="s">
        <v>3692</v>
      </c>
      <c r="M22" s="3473" t="s">
        <v>3693</v>
      </c>
      <c r="N22" s="3473" t="s">
        <v>3694</v>
      </c>
    </row>
    <row r="23" spans="1:36" ht="13.5" thickBot="1">
      <c r="A23" s="1745"/>
      <c r="B23" s="1745"/>
      <c r="C23" s="1745"/>
      <c r="D23" s="1745"/>
      <c r="E23" s="129"/>
      <c r="F23" s="129"/>
      <c r="G23" s="129"/>
      <c r="H23" s="129"/>
      <c r="I23" s="129"/>
      <c r="K23" s="3473" t="s">
        <v>3695</v>
      </c>
      <c r="L23" s="725">
        <f ca="1">'收益法（汇总）'!B6</f>
        <v>82104</v>
      </c>
      <c r="M23" s="725">
        <f ca="1">ROUND(L23/$L$26*$G$19,0)</f>
        <v>81007</v>
      </c>
      <c r="N23" s="3474">
        <f ca="1">ROUND(M23*10000/'数据-汇总表'!E19,0)</f>
        <v>24481</v>
      </c>
    </row>
    <row r="24" spans="1:36" ht="14.25">
      <c r="A24" s="3756" t="s">
        <v>1299</v>
      </c>
      <c r="B24" s="1760" t="s">
        <v>1291</v>
      </c>
      <c r="C24" s="136">
        <f>IF(B30=0,0,D30)</f>
        <v>0</v>
      </c>
      <c r="D24" s="1767"/>
      <c r="E24" s="129"/>
      <c r="F24" s="129"/>
      <c r="G24" s="129"/>
      <c r="H24" s="129"/>
      <c r="I24" s="129"/>
      <c r="K24" s="3473" t="s">
        <v>3696</v>
      </c>
      <c r="L24" s="725">
        <f ca="1">'收益法（汇总）'!B7</f>
        <v>4493</v>
      </c>
      <c r="M24" s="725">
        <f ca="1">ROUND(L24/$L$26*$G$19,0)</f>
        <v>4433</v>
      </c>
      <c r="N24" s="725">
        <f ca="1">ROUND(M24*10000/'数据-汇总表'!E20,0)</f>
        <v>27835</v>
      </c>
    </row>
    <row r="25" spans="1:36" ht="14.25">
      <c r="A25" s="3757"/>
      <c r="B25" s="1025" t="s">
        <v>1295</v>
      </c>
      <c r="C25" s="141">
        <f>IF(B30=0,0,C30)</f>
        <v>0</v>
      </c>
      <c r="D25" s="1768"/>
      <c r="E25" s="129"/>
      <c r="F25" s="129"/>
      <c r="G25" s="129"/>
      <c r="H25" s="129"/>
      <c r="I25" s="129"/>
      <c r="K25" s="3473" t="s">
        <v>3697</v>
      </c>
      <c r="L25" s="725">
        <f ca="1">'收益法（汇总）'!B8</f>
        <v>30</v>
      </c>
      <c r="M25" s="725">
        <f ca="1">ROUND(L25/$L$26*$G$19,0)</f>
        <v>30</v>
      </c>
      <c r="N25" s="725">
        <f ca="1">ROUND(M25*10000/'数据-汇总表'!E21,0)</f>
        <v>661</v>
      </c>
    </row>
    <row r="26" spans="1:36" ht="13.5" customHeight="1">
      <c r="A26" s="1769" t="s">
        <v>1300</v>
      </c>
      <c r="B26" s="142" t="s">
        <v>1301</v>
      </c>
      <c r="C26" s="142" t="s">
        <v>1302</v>
      </c>
      <c r="D26" s="143" t="s">
        <v>1303</v>
      </c>
      <c r="E26" s="129"/>
      <c r="F26" s="129"/>
      <c r="G26" s="129"/>
      <c r="H26" s="129"/>
      <c r="I26" s="129"/>
      <c r="L26" s="725">
        <f ca="1">D19</f>
        <v>86627</v>
      </c>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1305</v>
      </c>
      <c r="B32" s="1772"/>
      <c r="C32" s="144">
        <f ca="1">IF(D32="总价",G19-C24,G20-C25)</f>
        <v>85470</v>
      </c>
      <c r="D32" s="1773" t="s">
        <v>3396</v>
      </c>
      <c r="E32" s="129"/>
      <c r="F32" s="129"/>
      <c r="G32" s="129"/>
      <c r="H32" s="129"/>
      <c r="I32" s="129"/>
    </row>
    <row r="33" spans="1:15" ht="15">
      <c r="A33" s="785" t="s">
        <v>1306</v>
      </c>
      <c r="B33" s="1774"/>
      <c r="C33" s="1775" t="s">
        <v>3678</v>
      </c>
      <c r="D33" s="1776" t="s">
        <v>3399</v>
      </c>
      <c r="E33" s="1777" t="s">
        <v>1307</v>
      </c>
      <c r="F33" s="1778" t="str">
        <f>IF(D32="楼面单价","取值（单价）","取值（总价）")</f>
        <v>取值（总价）</v>
      </c>
      <c r="G33" s="129"/>
      <c r="H33" s="129"/>
      <c r="I33" s="129"/>
    </row>
    <row r="34" spans="1:15" ht="15">
      <c r="A34" s="1779"/>
      <c r="B34" s="1780" t="s">
        <v>1308</v>
      </c>
      <c r="C34" s="148">
        <f ca="1">IF(C33="自定义",F34,C32-C35)</f>
        <v>58291</v>
      </c>
      <c r="D34" s="860">
        <f ca="1">IF(C33="自定义",ROUND(C34/C32,3),IF(C33="收益比率",SUMIF(INDIRECT("'"&amp;D33&amp;"'"&amp;"!b:b"),"土地收益比率",INDIRECT("'"&amp;D33&amp;"'"&amp;"!c:c")),SUMIF(INDIRECT("'"&amp;D33&amp;"'"&amp;"!b:b"),"土地成本比率",INDIRECT("'"&amp;D33&amp;"'"&amp;"!c:c"))))</f>
        <v>0.68199999999999994</v>
      </c>
      <c r="E34" s="1781" t="s">
        <v>1309</v>
      </c>
      <c r="F34" s="1328"/>
      <c r="G34" s="129"/>
      <c r="H34" s="129"/>
      <c r="I34" s="129"/>
    </row>
    <row r="35" spans="1:15" ht="15.75" thickBot="1">
      <c r="A35" s="1782"/>
      <c r="B35" s="1783" t="s">
        <v>1310</v>
      </c>
      <c r="C35" s="1169">
        <f ca="1">IF(C33="自定义",F35,ROUND(C32*D35,0))</f>
        <v>27179</v>
      </c>
      <c r="D35" s="1170">
        <f ca="1">IF(C33="自定义",ROUND(C35/C32,3),IF(C33="收益比率",SUMIF(INDIRECT("'"&amp;D33&amp;"'"&amp;"!b:b"),"建筑物收益比率",INDIRECT("'"&amp;D33&amp;"'"&amp;"!c:c")),SUMIF(INDIRECT("'"&amp;D33&amp;"'"&amp;"!b:b"),"建筑物成本比率",INDIRECT("'"&amp;D33&amp;"'"&amp;"!c:c"))))</f>
        <v>0.318</v>
      </c>
      <c r="E35" s="1784" t="s">
        <v>1311</v>
      </c>
      <c r="F35" s="154"/>
      <c r="G35" s="129"/>
      <c r="H35" s="129"/>
      <c r="I35" s="129"/>
    </row>
    <row r="36" spans="1:15" ht="15.75" thickBot="1">
      <c r="A36" s="3733" t="s">
        <v>1312</v>
      </c>
      <c r="B36" s="1785" t="s">
        <v>1313</v>
      </c>
      <c r="C36" s="145"/>
      <c r="D36" s="1786"/>
      <c r="E36" s="1787"/>
      <c r="F36" s="1788"/>
      <c r="G36" s="129"/>
      <c r="H36" s="129"/>
      <c r="I36" s="129"/>
    </row>
    <row r="37" spans="1:15" ht="15.75" thickBot="1">
      <c r="A37" s="3734"/>
      <c r="B37" s="1672" t="s">
        <v>1314</v>
      </c>
      <c r="C37" s="147"/>
      <c r="D37" s="1138"/>
      <c r="E37" s="1138"/>
      <c r="F37" s="1788"/>
      <c r="G37" s="129"/>
      <c r="H37" s="129"/>
      <c r="I37" s="129"/>
    </row>
    <row r="38" spans="1:15" ht="15.75" thickBot="1">
      <c r="A38" s="3735"/>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53" t="s">
        <v>1326</v>
      </c>
      <c r="B45" s="3754"/>
      <c r="C45" s="3755"/>
      <c r="D45" s="3580">
        <f ca="1">ROUND(H101*F45,0)+[3]结果表!$H$101</f>
        <v>240022</v>
      </c>
      <c r="E45" s="156" t="s">
        <v>1327</v>
      </c>
      <c r="F45" s="157">
        <v>1</v>
      </c>
      <c r="G45" s="158" t="s">
        <v>1328</v>
      </c>
      <c r="H45" s="129"/>
      <c r="I45" s="129"/>
      <c r="J45" s="3673" t="s">
        <v>1329</v>
      </c>
      <c r="K45" s="3673"/>
      <c r="L45" s="3673"/>
      <c r="M45" s="3673"/>
      <c r="N45" s="3673"/>
      <c r="O45" s="3673"/>
    </row>
    <row r="46" spans="1:15" ht="14.25" customHeight="1">
      <c r="A46" s="3750" t="s">
        <v>1330</v>
      </c>
      <c r="B46" s="3751"/>
      <c r="C46" s="3751"/>
      <c r="D46" s="3751"/>
      <c r="E46" s="3751"/>
      <c r="F46" s="3751"/>
      <c r="G46" s="3752"/>
      <c r="H46" s="1804"/>
      <c r="I46" s="159"/>
      <c r="J46" s="2514">
        <v>1</v>
      </c>
      <c r="K46" s="3674" t="s">
        <v>1331</v>
      </c>
      <c r="L46" s="3674"/>
      <c r="M46" s="3675"/>
      <c r="N46" s="3675"/>
      <c r="O46" s="3675"/>
    </row>
    <row r="47" spans="1:15" ht="12" customHeight="1">
      <c r="A47" s="160" t="s">
        <v>1332</v>
      </c>
      <c r="B47" s="161"/>
      <c r="C47" s="162"/>
      <c r="D47" s="1086" t="s">
        <v>1333</v>
      </c>
      <c r="E47" s="302" t="s">
        <v>1334</v>
      </c>
      <c r="F47" s="163" t="s">
        <v>1335</v>
      </c>
      <c r="G47" s="2536" t="s">
        <v>1336</v>
      </c>
      <c r="H47" s="2537"/>
      <c r="I47" s="159"/>
      <c r="J47" s="2514">
        <v>2</v>
      </c>
      <c r="K47" s="3674" t="s">
        <v>1337</v>
      </c>
      <c r="L47" s="3674"/>
      <c r="M47" s="3676">
        <f>'数据-取费表'!B2</f>
        <v>45160</v>
      </c>
      <c r="N47" s="3676"/>
      <c r="O47" s="3676"/>
    </row>
    <row r="48" spans="1:15" ht="25.5">
      <c r="A48" s="3736" t="s">
        <v>1338</v>
      </c>
      <c r="B48" s="3737"/>
      <c r="C48" s="3737"/>
      <c r="D48" s="2320">
        <f ca="1">IF(H48="情况1",0,IF(H48="情况2",D52,IF(H48="情况3",D53,IF(H48="情况4",D54))))</f>
        <v>2768</v>
      </c>
      <c r="E48" s="2330" t="str">
        <f>IF(H48="情况4","(销售额-原购置价)×税（费）率","销售额×税（费）率")</f>
        <v>(销售额-原购置价)×税（费）率</v>
      </c>
      <c r="F48" s="2538">
        <f>IF(H48="情况1","免征",'数据-取费表'!B41)</f>
        <v>5.5000000000000007E-2</v>
      </c>
      <c r="G48" s="2539" t="s">
        <v>1339</v>
      </c>
      <c r="H48" s="2540" t="s">
        <v>3942</v>
      </c>
      <c r="I48" s="1804"/>
      <c r="J48" s="2514">
        <v>3</v>
      </c>
      <c r="K48" s="3674" t="s">
        <v>1340</v>
      </c>
      <c r="L48" s="3674"/>
      <c r="M48" s="3677">
        <f ca="1">D45</f>
        <v>240022</v>
      </c>
      <c r="N48" s="3677"/>
      <c r="O48" s="3677"/>
    </row>
    <row r="49" spans="1:35" ht="25.5" customHeight="1">
      <c r="A49" s="2329" t="s">
        <v>1341</v>
      </c>
      <c r="B49" s="3722" t="s">
        <v>1342</v>
      </c>
      <c r="C49" s="3722"/>
      <c r="D49" s="1588">
        <v>0</v>
      </c>
      <c r="E49" s="324" t="s">
        <v>1343</v>
      </c>
      <c r="F49" s="2420" t="s">
        <v>28</v>
      </c>
      <c r="G49" s="3705"/>
      <c r="H49" s="2306" t="s">
        <v>2134</v>
      </c>
      <c r="I49" s="2307"/>
      <c r="J49" s="2514">
        <v>4</v>
      </c>
      <c r="K49" s="3674" t="str">
        <f>IF(项目基本情况!E8="房地产抵押价值","房地产抵押价值","抵押担保权已注销时的房地产抵押价值")</f>
        <v>房地产抵押价值</v>
      </c>
      <c r="L49" s="3674"/>
      <c r="M49" s="3677">
        <f ca="1">M48</f>
        <v>240022</v>
      </c>
      <c r="N49" s="3677"/>
      <c r="O49" s="3677"/>
    </row>
    <row r="50" spans="1:35" ht="25.5" customHeight="1">
      <c r="A50" s="2541"/>
      <c r="B50" s="3722" t="s">
        <v>1344</v>
      </c>
      <c r="C50" s="3722"/>
      <c r="D50" s="2542"/>
      <c r="E50" s="332"/>
      <c r="F50" s="2420"/>
      <c r="G50" s="3706"/>
      <c r="H50" s="2308" t="s">
        <v>2135</v>
      </c>
      <c r="I50" s="2307"/>
      <c r="J50" s="3673" t="s">
        <v>1345</v>
      </c>
      <c r="K50" s="3673"/>
      <c r="L50" s="3673"/>
      <c r="M50" s="3673"/>
      <c r="N50" s="3673"/>
      <c r="O50" s="3673"/>
    </row>
    <row r="51" spans="1:35" ht="20.45" customHeight="1">
      <c r="A51" s="2543"/>
      <c r="B51" s="3722" t="s">
        <v>1346</v>
      </c>
      <c r="C51" s="3722"/>
      <c r="D51" s="1086"/>
      <c r="E51" s="327"/>
      <c r="F51" s="2420"/>
      <c r="G51" s="3707"/>
      <c r="H51" s="2308" t="s">
        <v>2136</v>
      </c>
      <c r="I51" s="2307"/>
      <c r="J51" s="2515" t="s">
        <v>1347</v>
      </c>
      <c r="K51" s="3674" t="s">
        <v>1348</v>
      </c>
      <c r="L51" s="3674"/>
      <c r="M51" s="2515" t="s">
        <v>1349</v>
      </c>
      <c r="N51" s="2515" t="s">
        <v>1350</v>
      </c>
      <c r="O51" s="2515" t="s">
        <v>1351</v>
      </c>
    </row>
    <row r="52" spans="1:35" ht="24" customHeight="1">
      <c r="A52" s="2331" t="s">
        <v>1352</v>
      </c>
      <c r="B52" s="3722" t="s">
        <v>1353</v>
      </c>
      <c r="C52" s="3722"/>
      <c r="D52" s="1086">
        <f ca="1">ROUND(D45*'数据-取费表'!B41/(1+'数据-取费表'!C42),0)</f>
        <v>12573</v>
      </c>
      <c r="E52" s="2330" t="s">
        <v>1354</v>
      </c>
      <c r="F52" s="2544">
        <f>'数据-取费表'!B41</f>
        <v>5.5000000000000007E-2</v>
      </c>
      <c r="G52" s="2545"/>
      <c r="H52" s="2534"/>
      <c r="I52" s="1805"/>
      <c r="J52" s="2514">
        <v>1</v>
      </c>
      <c r="K52" s="3699" t="s">
        <v>1355</v>
      </c>
      <c r="L52" s="3699"/>
      <c r="M52" s="2516">
        <f ca="1">D48</f>
        <v>2768</v>
      </c>
      <c r="N52" s="2514" t="str">
        <f>E48</f>
        <v>(销售额-原购置价)×税（费）率</v>
      </c>
      <c r="O52" s="2517">
        <f>F48</f>
        <v>5.5000000000000007E-2</v>
      </c>
    </row>
    <row r="53" spans="1:35" ht="12" customHeight="1">
      <c r="A53" s="2331" t="s">
        <v>1356</v>
      </c>
      <c r="B53" s="3723" t="s">
        <v>2282</v>
      </c>
      <c r="C53" s="3724"/>
      <c r="D53" s="1086">
        <f ca="1">ROUND(D45*'数据-取费表'!B41/(1+'数据-取费表'!C42),0)</f>
        <v>12573</v>
      </c>
      <c r="E53" s="2330" t="s">
        <v>1354</v>
      </c>
      <c r="F53" s="2544">
        <f>'数据-取费表'!B41</f>
        <v>5.5000000000000007E-2</v>
      </c>
      <c r="G53" s="2545"/>
      <c r="H53" s="2534"/>
      <c r="I53" s="1805"/>
      <c r="J53" s="2514">
        <v>2</v>
      </c>
      <c r="K53" s="3699" t="s">
        <v>1357</v>
      </c>
      <c r="L53" s="3699"/>
      <c r="M53" s="2516">
        <f t="shared" ref="M53:O54" ca="1" si="0">D55</f>
        <v>120</v>
      </c>
      <c r="N53" s="2514" t="str">
        <f t="shared" si="0"/>
        <v>销售额×税（费）率</v>
      </c>
      <c r="O53" s="2517">
        <f t="shared" si="0"/>
        <v>5.0000000000000001E-4</v>
      </c>
    </row>
    <row r="54" spans="1:35" ht="12" customHeight="1">
      <c r="A54" s="2331" t="s">
        <v>1358</v>
      </c>
      <c r="B54" s="3723" t="s">
        <v>2283</v>
      </c>
      <c r="C54" s="3724"/>
      <c r="D54" s="1086">
        <f ca="1">C68</f>
        <v>2768</v>
      </c>
      <c r="E54" s="327" t="s">
        <v>1359</v>
      </c>
      <c r="F54" s="2544">
        <f>'数据-取费表'!B41</f>
        <v>5.5000000000000007E-2</v>
      </c>
      <c r="G54" s="2545"/>
      <c r="H54" s="2546"/>
      <c r="I54" s="1805"/>
      <c r="J54" s="2514">
        <v>3</v>
      </c>
      <c r="K54" s="3699" t="s">
        <v>1360</v>
      </c>
      <c r="L54" s="3699"/>
      <c r="M54" s="2516">
        <f t="shared" ca="1" si="0"/>
        <v>13124</v>
      </c>
      <c r="N54" s="2514" t="str">
        <f t="shared" si="0"/>
        <v>增值额×税（费）率</v>
      </c>
      <c r="O54" s="2518" t="str">
        <f t="shared" si="0"/>
        <v>——</v>
      </c>
    </row>
    <row r="55" spans="1:35" ht="24" customHeight="1">
      <c r="A55" s="3759" t="s">
        <v>1361</v>
      </c>
      <c r="B55" s="3737"/>
      <c r="C55" s="3737"/>
      <c r="D55" s="2320">
        <f ca="1">IF(H55="个人住宅",0,ROUND(D45*I55,0))</f>
        <v>120</v>
      </c>
      <c r="E55" s="2330" t="s">
        <v>1362</v>
      </c>
      <c r="F55" s="2544">
        <f>IF(H55="正常",I55,"免征")</f>
        <v>5.0000000000000001E-4</v>
      </c>
      <c r="G55" s="2545"/>
      <c r="H55" s="2540" t="s">
        <v>3397</v>
      </c>
      <c r="I55" s="165">
        <f>'数据-取费表'!B49</f>
        <v>5.0000000000000001E-4</v>
      </c>
      <c r="J55" s="2514" t="str">
        <f>IF(H59="非个人房产","",4)</f>
        <v/>
      </c>
      <c r="K55" s="3699" t="str">
        <f>IF(H59="非个人房产","——","个人所得税")</f>
        <v>——</v>
      </c>
      <c r="L55" s="3699"/>
      <c r="M55" s="2519" t="str">
        <f>D59</f>
        <v>——</v>
      </c>
      <c r="N55" s="2036" t="str">
        <f>E59</f>
        <v>——</v>
      </c>
      <c r="O55" s="2520" t="str">
        <f>F59</f>
        <v>——</v>
      </c>
    </row>
    <row r="56" spans="1:35" ht="24.75">
      <c r="A56" s="3759" t="s">
        <v>1363</v>
      </c>
      <c r="B56" s="3737"/>
      <c r="C56" s="3737"/>
      <c r="D56" s="2320">
        <f ca="1">IF(H56="个人住宅",D57,D58)</f>
        <v>13124</v>
      </c>
      <c r="E56" s="2330" t="s">
        <v>1364</v>
      </c>
      <c r="F56" s="2544" t="str">
        <f>IF(H56="正常",F58,"免征")</f>
        <v>——</v>
      </c>
      <c r="G56" s="2547" t="s">
        <v>1365</v>
      </c>
      <c r="H56" s="2548" t="s">
        <v>3397</v>
      </c>
      <c r="I56" s="1806"/>
      <c r="J56" s="2514" t="str">
        <f>IF(项目基本情况!K6="上海银行",IF(J55="",4,J55+1),"")</f>
        <v/>
      </c>
      <c r="K56" s="3680" t="str">
        <f>IF(项目基本情况!K6="上海银行","其他处置费用","")</f>
        <v/>
      </c>
      <c r="L56" s="3681"/>
      <c r="M56" s="2516" t="str">
        <f>IF(项目基本情况!K6="上海银行",M69,"")</f>
        <v/>
      </c>
      <c r="N56" s="3680" t="str">
        <f>IF(项目基本情况!K6="上海银行","包含处置中涉及的律师、诉讼、拍卖、评估等费用","")</f>
        <v/>
      </c>
      <c r="O56" s="3683"/>
    </row>
    <row r="57" spans="1:35" ht="12.75">
      <c r="A57" s="2331" t="s">
        <v>1341</v>
      </c>
      <c r="B57" s="3723" t="s">
        <v>1366</v>
      </c>
      <c r="C57" s="3724"/>
      <c r="D57" s="1588">
        <v>0</v>
      </c>
      <c r="E57" s="324" t="s">
        <v>1343</v>
      </c>
      <c r="F57" s="302"/>
      <c r="G57" s="2545"/>
      <c r="H57" s="2549"/>
      <c r="I57" s="1806"/>
      <c r="J57" s="3699">
        <f>IF(AND(J55="",J56=""),4,IF(项目基本情况!K6="上海银行",结果表!J56+1,结果表!J55+1))</f>
        <v>4</v>
      </c>
      <c r="K57" s="3699" t="s">
        <v>1367</v>
      </c>
      <c r="L57" s="2521" t="s">
        <v>1368</v>
      </c>
      <c r="M57" s="2522"/>
      <c r="N57" s="2523">
        <f ca="1">SUMIF(M52:M56,"&lt;9e307")</f>
        <v>16012</v>
      </c>
      <c r="O57" s="2524"/>
      <c r="P57" s="2680">
        <f ca="1">N57/M49</f>
        <v>6.6710551532776163E-2</v>
      </c>
    </row>
    <row r="58" spans="1:35" ht="24.75">
      <c r="A58" s="2331" t="s">
        <v>1352</v>
      </c>
      <c r="B58" s="3723" t="s">
        <v>1369</v>
      </c>
      <c r="C58" s="3722"/>
      <c r="D58" s="2320">
        <f ca="1">IF(H58="转让取得",C81,C97)</f>
        <v>13124</v>
      </c>
      <c r="E58" s="2330" t="s">
        <v>1364</v>
      </c>
      <c r="F58" s="302" t="s">
        <v>28</v>
      </c>
      <c r="G58" s="2545"/>
      <c r="H58" s="2548" t="s">
        <v>3943</v>
      </c>
      <c r="I58" s="1806"/>
      <c r="J58" s="3699"/>
      <c r="K58" s="3699"/>
      <c r="L58" s="2521" t="s">
        <v>1370</v>
      </c>
      <c r="M58" s="2525"/>
      <c r="N58" s="2526" t="str">
        <f ca="1">NUMBERSTRING(INT(N57*10000),2)&amp;"元整"</f>
        <v>壹亿陆仟零壹拾贰万元整</v>
      </c>
      <c r="O58" s="2527"/>
    </row>
    <row r="59" spans="1:35" ht="24.75" thickBot="1">
      <c r="A59" s="3703" t="s">
        <v>1371</v>
      </c>
      <c r="B59" s="3704"/>
      <c r="C59" s="3704"/>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10" t="s">
        <v>3398</v>
      </c>
      <c r="I59" s="2309" t="s">
        <v>2137</v>
      </c>
      <c r="J59" s="3701">
        <f>J57+1</f>
        <v>5</v>
      </c>
      <c r="K59" s="3699" t="s">
        <v>1372</v>
      </c>
      <c r="L59" s="2514" t="s">
        <v>1368</v>
      </c>
      <c r="M59" s="2528"/>
      <c r="N59" s="2529">
        <f ca="1">M49-N57</f>
        <v>224010</v>
      </c>
      <c r="O59" s="2530"/>
    </row>
    <row r="60" spans="1:35" ht="12" customHeight="1">
      <c r="A60" s="1807"/>
      <c r="B60" s="1745"/>
      <c r="C60" s="1745"/>
      <c r="D60" s="1745"/>
      <c r="E60" s="1576"/>
      <c r="F60" s="1806"/>
      <c r="G60" s="1806"/>
      <c r="H60" s="1808"/>
      <c r="I60" s="129"/>
      <c r="J60" s="3702"/>
      <c r="K60" s="3699"/>
      <c r="L60" s="2521" t="s">
        <v>1370</v>
      </c>
      <c r="M60" s="2525"/>
      <c r="N60" s="2526" t="str">
        <f ca="1">NUMBERSTRING(INT(N59*10000),2)&amp;"元整"</f>
        <v>贰拾贰亿肆仟零壹拾万元整</v>
      </c>
      <c r="O60" s="2527"/>
    </row>
    <row r="61" spans="1:35" ht="13.5" thickBot="1">
      <c r="A61" s="3758" t="s">
        <v>1373</v>
      </c>
      <c r="B61" s="3758"/>
      <c r="C61" s="3758"/>
      <c r="D61" s="3758"/>
      <c r="E61" s="3758"/>
      <c r="F61" s="1806"/>
      <c r="G61" s="1806"/>
      <c r="H61" s="1808"/>
      <c r="I61" s="129"/>
      <c r="J61" s="2514">
        <f>J59+1</f>
        <v>6</v>
      </c>
      <c r="K61" s="3699" t="s">
        <v>1374</v>
      </c>
      <c r="L61" s="3699"/>
      <c r="M61" s="2531"/>
      <c r="N61" s="3581">
        <f ca="1">ROUND(N59*10000/系统读取表!B1,0)</f>
        <v>20716</v>
      </c>
      <c r="O61" s="2532"/>
    </row>
    <row r="62" spans="1:35" ht="12.75">
      <c r="A62" s="3718" t="s">
        <v>1375</v>
      </c>
      <c r="B62" s="3719"/>
      <c r="C62" s="2017"/>
      <c r="D62" s="2017" t="s">
        <v>1376</v>
      </c>
      <c r="E62" s="166" t="s">
        <v>1377</v>
      </c>
      <c r="F62" s="1806"/>
      <c r="G62" s="1806"/>
      <c r="H62" s="1808"/>
      <c r="I62" s="129"/>
    </row>
    <row r="63" spans="1:35" ht="12.75">
      <c r="A63" s="173" t="s">
        <v>330</v>
      </c>
      <c r="B63" s="167" t="s">
        <v>1378</v>
      </c>
      <c r="C63" s="2554">
        <f ca="1">ROUND((C64+C65)/(1+'数据-取费表'!C42),0)</f>
        <v>228592</v>
      </c>
      <c r="D63" s="167"/>
      <c r="E63" s="168"/>
      <c r="F63" s="1806"/>
      <c r="G63" s="1806"/>
      <c r="H63" s="1808"/>
      <c r="I63" s="129"/>
      <c r="J63" s="3682" t="s">
        <v>1379</v>
      </c>
      <c r="K63" s="1330" t="s">
        <v>1380</v>
      </c>
      <c r="L63" s="1330">
        <f ca="1">IF(M49&gt;10000,M49*0.5%,IF(AND(M49&gt;1000,M49&lt;=10000),M49*1%,IF(AND(M49&gt;100,M49&lt;=1000),M49*3%,IF(AND(M49&gt;10,M49&lt;=100),M49*5%,M49*8%))))</f>
        <v>1200.1100000000001</v>
      </c>
      <c r="M63" s="302">
        <f ca="1">ROUND(L63,1)</f>
        <v>1200.0999999999999</v>
      </c>
      <c r="N63" s="2533"/>
      <c r="Z63" s="1750"/>
      <c r="AI63" s="1751"/>
    </row>
    <row r="64" spans="1:35" ht="14.25" customHeight="1">
      <c r="A64" s="169" t="s">
        <v>325</v>
      </c>
      <c r="B64" s="170" t="s">
        <v>1381</v>
      </c>
      <c r="C64" s="2555">
        <f ca="1">D45</f>
        <v>240022</v>
      </c>
      <c r="D64" s="170" t="s">
        <v>26</v>
      </c>
      <c r="E64" s="172"/>
      <c r="F64" s="1806"/>
      <c r="G64" s="1806"/>
      <c r="H64" s="1808"/>
      <c r="I64" s="129"/>
      <c r="J64" s="3682"/>
      <c r="K64" s="1330" t="s">
        <v>1382</v>
      </c>
      <c r="L64" s="1330">
        <f ca="1">IF(M49&gt;2000,M49*0.5%,IF(AND(M49&gt;1000,M49&lt;=2000),M49*0.6%,IF(AND(M49&gt;500,M49&lt;=1000),M49*0.7%,IF(AND(M49&gt;200,M49&lt;=500),M49*0.8%,IF(AND(M49&gt;100,M49&lt;=200),M49*0.9%,IF(AND(M49&gt;50,M49&lt;=100),M49*1%,IF(AND(M49&gt;20,M49&lt;=50),M49*1.5%,IF(AND(M49&gt;10,M49&lt;=20),M49*2%,IF(AND(M49&gt;1,M49&lt;=10),M49*2.5%)))))))))</f>
        <v>1200.1100000000001</v>
      </c>
      <c r="M64" s="302">
        <f t="shared" ref="M64:M65" ca="1" si="1">ROUND(L64,1)</f>
        <v>1200.0999999999999</v>
      </c>
      <c r="N64" s="2534" t="s">
        <v>1383</v>
      </c>
      <c r="Z64" s="1750"/>
      <c r="AI64" s="1751"/>
    </row>
    <row r="65" spans="1:35" ht="14.25" customHeight="1">
      <c r="A65" s="169" t="s">
        <v>326</v>
      </c>
      <c r="B65" s="170" t="s">
        <v>1384</v>
      </c>
      <c r="C65" s="2556"/>
      <c r="D65" s="170"/>
      <c r="E65" s="172"/>
      <c r="F65" s="1806"/>
      <c r="G65" s="1806"/>
      <c r="H65" s="1808"/>
      <c r="I65" s="129"/>
      <c r="J65" s="3682"/>
      <c r="K65" s="1330" t="s">
        <v>1385</v>
      </c>
      <c r="L65" s="1330">
        <f ca="1">IF(M49&gt;1000,M49*0.1%,IF(AND(M49&gt;500,M49&lt;=1000),M49*0.5%,IF(AND(M49&gt;50,M49&lt;=500),M49*1%,IF(AND(M49&gt;1,M49&lt;=50),M49*1.5%))))</f>
        <v>240.02199999999999</v>
      </c>
      <c r="M65" s="302">
        <f t="shared" ca="1" si="1"/>
        <v>240</v>
      </c>
      <c r="N65" s="2534" t="s">
        <v>1383</v>
      </c>
      <c r="Z65" s="1750"/>
      <c r="AI65" s="1751"/>
    </row>
    <row r="66" spans="1:35" ht="14.25" customHeight="1">
      <c r="A66" s="173" t="s">
        <v>327</v>
      </c>
      <c r="B66" s="174" t="s">
        <v>1386</v>
      </c>
      <c r="C66" s="2557">
        <f>C75/1.05</f>
        <v>178266.15076190475</v>
      </c>
      <c r="D66" s="174" t="s">
        <v>26</v>
      </c>
      <c r="E66" s="1336" t="s">
        <v>671</v>
      </c>
      <c r="F66" s="1806"/>
      <c r="G66" s="1806"/>
      <c r="H66" s="1808"/>
      <c r="I66" s="129"/>
      <c r="J66" s="3682"/>
      <c r="K66" s="1330" t="s">
        <v>1387</v>
      </c>
      <c r="L66" s="1330">
        <f ca="1">M49*0.5%</f>
        <v>1200.1100000000001</v>
      </c>
      <c r="M66" s="302">
        <f ca="1">IF(L66&gt;0.5,0.5,ROUND(L66,0))</f>
        <v>0.5</v>
      </c>
      <c r="N66" s="2534" t="s">
        <v>1388</v>
      </c>
      <c r="Z66" s="1750"/>
      <c r="AI66" s="1751"/>
    </row>
    <row r="67" spans="1:35" ht="14.25" customHeight="1">
      <c r="A67" s="173" t="s">
        <v>328</v>
      </c>
      <c r="B67" s="174" t="s">
        <v>1389</v>
      </c>
      <c r="C67" s="2558">
        <f ca="1">C63-C66</f>
        <v>50325.849238095252</v>
      </c>
      <c r="D67" s="170" t="s">
        <v>26</v>
      </c>
      <c r="E67" s="172"/>
      <c r="F67" s="1806"/>
      <c r="G67" s="1806"/>
      <c r="H67" s="1808"/>
      <c r="I67" s="129"/>
      <c r="J67" s="3682"/>
      <c r="K67" s="1330" t="s">
        <v>1390</v>
      </c>
      <c r="L67" s="1330">
        <f ca="1">IF(M49&gt;=10000,(8.25+(M49-10000)*0.01%),IF(AND(M49&gt;=8000,M49&lt;10000),(7.85+(M49-8000)*0.02%),IF(AND(M49&gt;=5000,M49&lt;8000),(6.65+(M49-5000)*0.04%),IF(AND(M49&gt;=2000,M49&lt;5000),(4.25+(PM49-2000)*0.08%),IF(AND(M49&gt;=1000,M49&lt;2000),(2.75+(M49-1000)*0.15%),IF(AND(M49&gt;=100,M49&lt;1000),(0.5+(M49-100)*0.25%),IF(AND(M49&gt;0,M49&lt;100),M49*0.5%)))))))</f>
        <v>31.252200000000002</v>
      </c>
      <c r="M67" s="302">
        <f ca="1">ROUND(L67*0.9,1)</f>
        <v>28.1</v>
      </c>
      <c r="N67" s="2533"/>
      <c r="Z67" s="1750"/>
      <c r="AI67" s="1751"/>
    </row>
    <row r="68" spans="1:35" ht="14.25" customHeight="1" thickBot="1">
      <c r="A68" s="176" t="s">
        <v>329</v>
      </c>
      <c r="B68" s="177" t="s">
        <v>1391</v>
      </c>
      <c r="C68" s="2559">
        <f ca="1">IF(C67&lt;=0,0,ROUND(C67*D68,0))</f>
        <v>2768</v>
      </c>
      <c r="D68" s="2560">
        <f>'数据-取费表'!B41</f>
        <v>5.5000000000000007E-2</v>
      </c>
      <c r="E68" s="178"/>
      <c r="F68" s="1806"/>
      <c r="G68" s="1806"/>
      <c r="H68" s="1808"/>
      <c r="I68" s="129"/>
      <c r="J68" s="3682"/>
      <c r="K68" s="1330" t="s">
        <v>1392</v>
      </c>
      <c r="L68" s="1330">
        <f ca="1">IF(M49&gt;10000,M49*0.5%,IF(AND(M49&gt;5000,M49&lt;=10000),M49*1%,IF(AND(M49&gt;1000,M49&lt;=5000),M49*2%,IF(AND(M49&gt;200,M49&lt;=1000),M49*3%,M49*5%))))</f>
        <v>1200.1100000000001</v>
      </c>
      <c r="M68" s="302">
        <f ca="1">ROUND(L68,1)</f>
        <v>1200.0999999999999</v>
      </c>
      <c r="N68" s="2533"/>
      <c r="Z68" s="1750"/>
      <c r="AI68" s="1751"/>
    </row>
    <row r="69" spans="1:35" s="1770" customFormat="1" ht="16.5" customHeight="1">
      <c r="A69" s="1809"/>
      <c r="B69" s="1810"/>
      <c r="C69" s="1811"/>
      <c r="D69" s="1812"/>
      <c r="E69" s="1813"/>
      <c r="F69" s="1576"/>
      <c r="G69" s="1576"/>
      <c r="H69" s="1575"/>
      <c r="I69" s="1745"/>
      <c r="J69" s="3682"/>
      <c r="K69" s="1330" t="s">
        <v>1393</v>
      </c>
      <c r="L69" s="1330"/>
      <c r="M69" s="302">
        <f ca="1">ROUND(SUM(M63:M68),0)</f>
        <v>3869</v>
      </c>
      <c r="N69" s="2535">
        <f ca="1">M69/M49</f>
        <v>1.6119355725725142E-2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26" t="s">
        <v>1394</v>
      </c>
      <c r="B70" s="3727"/>
      <c r="C70" s="3727"/>
      <c r="D70" s="3727"/>
      <c r="E70" s="3727"/>
      <c r="F70" s="3727"/>
      <c r="G70" s="3727"/>
      <c r="H70" s="3727"/>
      <c r="I70" s="1814"/>
      <c r="J70" s="2681"/>
      <c r="K70" s="2681"/>
      <c r="L70" s="2681"/>
      <c r="M70" s="2681"/>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18" t="s">
        <v>1375</v>
      </c>
      <c r="B71" s="3719"/>
      <c r="C71" s="2017"/>
      <c r="D71" s="2017" t="s">
        <v>1376</v>
      </c>
      <c r="E71" s="179" t="s">
        <v>1377</v>
      </c>
      <c r="F71" s="180"/>
      <c r="G71" s="180"/>
      <c r="H71" s="181"/>
      <c r="I71" s="1818"/>
      <c r="J71" s="2681"/>
      <c r="K71" s="2681"/>
      <c r="L71" s="2681"/>
      <c r="M71" s="2681"/>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58">
        <f ca="1">ROUND(D45/(1+'数据-取费表'!C42),0)</f>
        <v>228592</v>
      </c>
      <c r="D72" s="170" t="s">
        <v>26</v>
      </c>
      <c r="E72" s="2327"/>
      <c r="F72" s="2326"/>
      <c r="G72" s="2326"/>
      <c r="H72" s="182"/>
      <c r="I72" s="1818"/>
      <c r="J72" s="2681"/>
      <c r="K72" s="2681"/>
      <c r="L72" s="2681"/>
      <c r="M72" s="2681"/>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58">
        <f ca="1">C74+C78</f>
        <v>184846</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183703</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1">
        <f>L77/10000</f>
        <v>187179.4583</v>
      </c>
      <c r="D75" s="170" t="s">
        <v>26</v>
      </c>
      <c r="E75" s="184" t="s">
        <v>1399</v>
      </c>
      <c r="F75" s="2562" t="s">
        <v>3940</v>
      </c>
      <c r="G75" s="184" t="s">
        <v>1400</v>
      </c>
      <c r="H75" s="2563">
        <v>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4">
        <v>0.05</v>
      </c>
      <c r="E76" s="3723" t="s">
        <v>1402</v>
      </c>
      <c r="F76" s="3722"/>
      <c r="G76" s="3722"/>
      <c r="H76" s="3725"/>
      <c r="I76" s="1818"/>
      <c r="J76" s="1816"/>
      <c r="K76" s="1816"/>
      <c r="L76" s="3578" t="s">
        <v>3939</v>
      </c>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5437</v>
      </c>
      <c r="D77" s="2565">
        <f>'数据-取费表'!B48+'数据-取费表'!B49</f>
        <v>3.0499999999999999E-2</v>
      </c>
      <c r="E77" s="2320" t="s">
        <v>1404</v>
      </c>
      <c r="F77" s="186"/>
      <c r="G77" s="1820" t="s">
        <v>3941</v>
      </c>
      <c r="H77" s="2328" t="str">
        <f>IF(G77="个人买卖住房","免征印花税"," ")</f>
        <v xml:space="preserve"> </v>
      </c>
      <c r="I77" s="1818"/>
      <c r="J77" s="1816"/>
      <c r="K77" s="1816"/>
      <c r="L77" s="3579">
        <v>1871794583</v>
      </c>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66">
        <f ca="1">ROUND(D45*D78/(1+'数据-取费表'!C42),0)</f>
        <v>1143</v>
      </c>
      <c r="D78" s="2567">
        <f>'数据-取费表'!B43</f>
        <v>5.000000000000001E-3</v>
      </c>
      <c r="E78" s="3715" t="s">
        <v>1406</v>
      </c>
      <c r="F78" s="3716"/>
      <c r="G78" s="3716"/>
      <c r="H78" s="371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58">
        <f ca="1">C72-C73</f>
        <v>43746</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68">
        <f ca="1">IF(C79&lt;=0,0,C79/C73)</f>
        <v>0.23666186988087382</v>
      </c>
      <c r="D80" s="170" t="s">
        <v>26</v>
      </c>
      <c r="E80" s="2320" t="str">
        <f ca="1">IF(C80&gt;=200%,"增值额超过扣除项目金额200%",IF(C80&gt;=100%,"增值额超过扣除项目金额100%，未超过200%",IF(C80&gt;=50%,"增值额超过扣除项目金额50%，未超过100%",IF(C80&lt;50%,"增值额未超过扣除项目金额50%"))))</f>
        <v>增值额未超过扣除项目金额50%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69">
        <f ca="1">ROUND(IF(C79&lt;=0,0,IF(C80&gt;=200%,C79*60%-C73*35%,IF(C80&gt;=100%,C79*50%-C73*15%,IF(C80&gt;=50%,C79*40%-C73*5%,IF(C80&lt;50%,C79*30%,0))))),0)</f>
        <v>13124</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26" t="s">
        <v>1410</v>
      </c>
      <c r="B83" s="3727"/>
      <c r="C83" s="3727"/>
      <c r="D83" s="3727"/>
      <c r="E83" s="3727"/>
      <c r="F83" s="3727"/>
      <c r="G83" s="3727"/>
      <c r="H83" s="372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18" t="s">
        <v>1375</v>
      </c>
      <c r="B84" s="3719"/>
      <c r="C84" s="2017"/>
      <c r="D84" s="2017"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1395</v>
      </c>
      <c r="C85" s="2558">
        <f ca="1">ROUND(D45/(1+'数据-取费表'!C42),0)</f>
        <v>228592</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1396</v>
      </c>
      <c r="C86" s="2558">
        <f ca="1">IF(H88="仅含出让金",C87+C90+C91+C92+C93+C94,C87+C91+C92+C93+C94)</f>
        <v>1143</v>
      </c>
      <c r="D86" s="2571"/>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1411</v>
      </c>
      <c r="C87" s="2566">
        <f>C88+C89</f>
        <v>0</v>
      </c>
      <c r="D87" s="2567"/>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1412</v>
      </c>
      <c r="C88" s="2572"/>
      <c r="D88" s="2567"/>
      <c r="E88" s="193" t="s">
        <v>1413</v>
      </c>
      <c r="F88" s="2323"/>
      <c r="G88" s="194" t="s">
        <v>1414</v>
      </c>
      <c r="H88" s="1822"/>
      <c r="I88" s="1819"/>
      <c r="J88" s="2512"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1403</v>
      </c>
      <c r="C89" s="2566">
        <f>ROUND(C88*D89,0)</f>
        <v>0</v>
      </c>
      <c r="D89" s="2567">
        <f>'数据-取费表'!B48+'数据-取费表'!B49</f>
        <v>3.0499999999999999E-2</v>
      </c>
      <c r="E89" s="193" t="s">
        <v>1415</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1416</v>
      </c>
      <c r="C90" s="2572"/>
      <c r="D90" s="2567"/>
      <c r="E90" s="193" t="str">
        <f>IF(H88="-","土地取得成本中已包含该笔费用"," ")</f>
        <v xml:space="preserve"> </v>
      </c>
      <c r="F90" s="2323"/>
      <c r="G90" s="3684" t="s">
        <v>2129</v>
      </c>
      <c r="H90" s="3685"/>
      <c r="I90" s="1819"/>
      <c r="J90" s="2512"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1417</v>
      </c>
      <c r="B91" s="170" t="s">
        <v>1418</v>
      </c>
      <c r="C91" s="2566">
        <f>IF(H91="——",成本法!C33,I91)</f>
        <v>0</v>
      </c>
      <c r="D91" s="2567"/>
      <c r="E91" s="3715" t="s">
        <v>1419</v>
      </c>
      <c r="F91" s="3716"/>
      <c r="G91" s="371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1420</v>
      </c>
      <c r="B92" s="170" t="s">
        <v>1421</v>
      </c>
      <c r="C92" s="2566">
        <f>ROUND((C87+C90+C91)*D92,0)</f>
        <v>0</v>
      </c>
      <c r="D92" s="2573"/>
      <c r="E92" s="3715" t="s">
        <v>1422</v>
      </c>
      <c r="F92" s="3716"/>
      <c r="G92" s="3716"/>
      <c r="H92" s="3717"/>
      <c r="I92" s="1819"/>
      <c r="J92" s="2513"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1423</v>
      </c>
      <c r="B93" s="170" t="s">
        <v>1405</v>
      </c>
      <c r="C93" s="2566">
        <f ca="1">ROUND(D45*D93/(1+'数据-取费表'!C42),0)</f>
        <v>1143</v>
      </c>
      <c r="D93" s="2567">
        <f>'数据-取费表'!B43</f>
        <v>5.000000000000001E-3</v>
      </c>
      <c r="E93" s="3715" t="s">
        <v>1406</v>
      </c>
      <c r="F93" s="3716"/>
      <c r="G93" s="3716"/>
      <c r="H93" s="371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1424</v>
      </c>
      <c r="B94" s="170" t="s">
        <v>1425</v>
      </c>
      <c r="C94" s="2572">
        <f>ROUND((C87+C90+C91)*D94,0)</f>
        <v>0</v>
      </c>
      <c r="D94" s="2567">
        <v>0.2</v>
      </c>
      <c r="E94" s="3760" t="s">
        <v>1426</v>
      </c>
      <c r="F94" s="3761"/>
      <c r="G94" s="3761"/>
      <c r="H94" s="37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1407</v>
      </c>
      <c r="C95" s="2558">
        <f ca="1">ROUND(C85-C86,0)</f>
        <v>227449</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1408</v>
      </c>
      <c r="C96" s="2568">
        <f ca="1">IF(C95&lt;=0,0,C95/C86)</f>
        <v>198.99300087489064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1409</v>
      </c>
      <c r="C97" s="2569">
        <f ca="1">ROUND(IF(C95&lt;=0,0,IF(C96&gt;=200%,C95*60%-C86*35%,IF(C96&gt;=100%,C95*50%-C86*15%,IF(C96&gt;=50%,C95*40%-C86*5%,IF(C96&lt;50%,C95*30%,0))))),0)</f>
        <v>136069</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65" t="s">
        <v>1428</v>
      </c>
      <c r="B100" s="3666"/>
      <c r="C100" s="3666"/>
      <c r="D100" s="3700"/>
      <c r="E100" s="3666" t="s">
        <v>1429</v>
      </c>
      <c r="F100" s="3666"/>
      <c r="G100" s="3666"/>
      <c r="H100" s="3700"/>
      <c r="I100" s="129"/>
    </row>
    <row r="101" spans="1:35" ht="18.75" customHeight="1">
      <c r="A101" s="3708" t="s">
        <v>1430</v>
      </c>
      <c r="B101" s="3709"/>
      <c r="C101" s="2575" t="str">
        <f>C4</f>
        <v>成本法</v>
      </c>
      <c r="D101" s="2576" t="str">
        <f>D4</f>
        <v>收益法（汇总）</v>
      </c>
      <c r="E101" s="3678" t="s">
        <v>1431</v>
      </c>
      <c r="F101" s="3679"/>
      <c r="G101" s="1825" t="s">
        <v>1432</v>
      </c>
      <c r="H101" s="2585">
        <f ca="1">H118</f>
        <v>85470</v>
      </c>
      <c r="I101" s="129"/>
    </row>
    <row r="102" spans="1:35" ht="18.75" customHeight="1">
      <c r="A102" s="3710" t="s">
        <v>1433</v>
      </c>
      <c r="B102" s="2574" t="s">
        <v>1432</v>
      </c>
      <c r="C102" s="2575">
        <f ca="1">IF(D32="楼面单价",ROUND(C19,0),C19)</f>
        <v>84312</v>
      </c>
      <c r="D102" s="2576">
        <f ca="1">IF(D32="楼面单价",ROUND(D19,0),D19)</f>
        <v>86627</v>
      </c>
      <c r="E102" s="3678"/>
      <c r="F102" s="3679"/>
      <c r="G102" s="1825" t="s">
        <v>1434</v>
      </c>
      <c r="H102" s="2545">
        <f ca="1">I118</f>
        <v>24174</v>
      </c>
      <c r="I102" s="129"/>
    </row>
    <row r="103" spans="1:35" ht="42.75" customHeight="1">
      <c r="A103" s="3710"/>
      <c r="B103" s="2574" t="s">
        <v>1434</v>
      </c>
      <c r="C103" s="2577">
        <f ca="1">C20</f>
        <v>23847</v>
      </c>
      <c r="D103" s="2578">
        <f ca="1">D20</f>
        <v>24501</v>
      </c>
      <c r="E103" s="3671" t="s">
        <v>1435</v>
      </c>
      <c r="F103" s="3672"/>
      <c r="G103" s="1826" t="s">
        <v>1436</v>
      </c>
      <c r="H103" s="2585">
        <f>IF(D36="正常操作",H104+H105+H106,H105+H106)</f>
        <v>0</v>
      </c>
      <c r="I103" s="129"/>
    </row>
    <row r="104" spans="1:35" ht="18.75" customHeight="1">
      <c r="A104" s="3710" t="s">
        <v>1437</v>
      </c>
      <c r="B104" s="2579" t="s">
        <v>1432</v>
      </c>
      <c r="C104" s="2580">
        <f ca="1">H118</f>
        <v>85470</v>
      </c>
      <c r="D104" s="2581"/>
      <c r="E104" s="1672" t="s">
        <v>1438</v>
      </c>
      <c r="F104" s="1664"/>
      <c r="G104" s="1826" t="s">
        <v>1436</v>
      </c>
      <c r="H104" s="2586">
        <f>IF(D36="同一抵押权人同一抵押物续贷",C36&amp;"（续贷，未扣减，详见特别提示）",C36)</f>
        <v>0</v>
      </c>
      <c r="I104" s="129"/>
    </row>
    <row r="105" spans="1:35" ht="18.75" customHeight="1" thickBot="1">
      <c r="A105" s="3720"/>
      <c r="B105" s="2582" t="s">
        <v>1434</v>
      </c>
      <c r="C105" s="2583">
        <f ca="1">I118</f>
        <v>24174</v>
      </c>
      <c r="D105" s="2584"/>
      <c r="E105" s="1672" t="s">
        <v>1439</v>
      </c>
      <c r="F105" s="1664"/>
      <c r="G105" s="1826" t="s">
        <v>1436</v>
      </c>
      <c r="H105" s="2587">
        <f>C37</f>
        <v>0</v>
      </c>
      <c r="I105" s="129"/>
    </row>
    <row r="106" spans="1:35" ht="18.75" customHeight="1">
      <c r="A106" s="1745" t="s">
        <v>1440</v>
      </c>
      <c r="B106" s="1745"/>
      <c r="C106" s="1745"/>
      <c r="D106" s="1745"/>
      <c r="E106" s="1827" t="s">
        <v>1441</v>
      </c>
      <c r="F106" s="1664"/>
      <c r="G106" s="1826" t="s">
        <v>1436</v>
      </c>
      <c r="H106" s="2587">
        <f>C38</f>
        <v>0</v>
      </c>
      <c r="I106" s="129"/>
    </row>
    <row r="107" spans="1:35" ht="18.75" customHeight="1">
      <c r="A107" s="129"/>
      <c r="B107" s="129"/>
      <c r="C107" s="129"/>
      <c r="D107" s="129"/>
      <c r="E107" s="3711" t="str">
        <f>IF(项目基本情况!E8="已注销","——","3.房地产抵押价值")</f>
        <v>3.房地产抵押价值</v>
      </c>
      <c r="F107" s="3679"/>
      <c r="G107" s="1825" t="s">
        <v>1432</v>
      </c>
      <c r="H107" s="2585">
        <f ca="1">IF(E107="——","——",H101-H103)</f>
        <v>85470</v>
      </c>
      <c r="I107" s="129"/>
    </row>
    <row r="108" spans="1:35" ht="18.75" customHeight="1">
      <c r="A108" s="129"/>
      <c r="B108" s="129"/>
      <c r="C108" s="129"/>
      <c r="D108" s="129"/>
      <c r="E108" s="3711"/>
      <c r="F108" s="3679"/>
      <c r="G108" s="1825" t="s">
        <v>1434</v>
      </c>
      <c r="H108" s="2545">
        <f ca="1">IF(H107=H101,H102,ROUND(H107*10000/'数据-汇总表'!E3,0))</f>
        <v>24174</v>
      </c>
      <c r="I108" s="129"/>
    </row>
    <row r="109" spans="1:35" ht="18.75" customHeight="1">
      <c r="A109" s="129"/>
      <c r="B109" s="129"/>
      <c r="C109" s="129"/>
      <c r="D109" s="129"/>
      <c r="E109" s="3711" t="str">
        <f>IF(项目基本情况!E8="已注销及未注销","4.抵押担保权已注销时的房地产抵押价值",IF(项目基本情况!E8="已注销","3.抵押担保权已注销时的房地产抵押价值","——"))</f>
        <v>——</v>
      </c>
      <c r="F109" s="3679"/>
      <c r="G109" s="1825" t="s">
        <v>1432</v>
      </c>
      <c r="H109" s="2588" t="str">
        <f>IF(E109="——","——",H101-H105-H106)</f>
        <v>——</v>
      </c>
      <c r="I109" s="129"/>
    </row>
    <row r="110" spans="1:35" ht="18.75" customHeight="1">
      <c r="A110" s="129"/>
      <c r="B110" s="129"/>
      <c r="C110" s="129"/>
      <c r="D110" s="129"/>
      <c r="E110" s="3711"/>
      <c r="F110" s="3679"/>
      <c r="G110" s="1825" t="s">
        <v>1434</v>
      </c>
      <c r="H110" s="2545" t="str">
        <f>IF(H109="——","——",ROUND(H109*10000/'数据-汇总表'!E3,0))</f>
        <v>——</v>
      </c>
      <c r="I110" s="129"/>
    </row>
    <row r="111" spans="1:35" ht="18.75" customHeight="1">
      <c r="A111" s="129"/>
      <c r="B111" s="129"/>
      <c r="C111" s="129"/>
      <c r="D111" s="129"/>
      <c r="E111" s="3712" t="str">
        <f>IF(项目基本情况!E9="抵押净值",IF(OR(项目基本情况!E8="已注销",项目基本情况!E8="房地产抵押价值"),"4.抵押净值","5.抵押净值"),"——")</f>
        <v>——</v>
      </c>
      <c r="F111" s="3698"/>
      <c r="G111" s="1825" t="s">
        <v>1432</v>
      </c>
      <c r="H111" s="2585" t="str">
        <f>IF(E111="——","——",N59)</f>
        <v>——</v>
      </c>
      <c r="I111" s="129"/>
    </row>
    <row r="112" spans="1:35" ht="18.75" customHeight="1" thickBot="1">
      <c r="A112" s="129"/>
      <c r="B112" s="129"/>
      <c r="C112" s="129"/>
      <c r="D112" s="129"/>
      <c r="E112" s="3713"/>
      <c r="F112" s="3714"/>
      <c r="G112" s="1828" t="s">
        <v>1434</v>
      </c>
      <c r="H112" s="2589" t="str">
        <f>IF(E111="——","——",N61)</f>
        <v>——</v>
      </c>
      <c r="I112" s="129"/>
    </row>
    <row r="113" spans="1:27" ht="18.75" customHeight="1">
      <c r="A113" s="129"/>
      <c r="B113" s="129"/>
      <c r="C113" s="129"/>
      <c r="D113" s="129"/>
      <c r="E113" s="3721" t="s">
        <v>1440</v>
      </c>
      <c r="F113" s="3721"/>
      <c r="G113" s="3721"/>
      <c r="H113" s="3721"/>
      <c r="I113" s="129"/>
    </row>
    <row r="114" spans="1:27" ht="3.75" customHeight="1">
      <c r="A114" s="1745"/>
      <c r="B114" s="1745"/>
      <c r="C114" s="1745"/>
      <c r="D114" s="1745"/>
      <c r="E114" s="1807"/>
      <c r="F114" s="1807"/>
      <c r="G114" s="1807"/>
      <c r="H114" s="1807"/>
      <c r="I114" s="1745"/>
    </row>
    <row r="115" spans="1:27" ht="18.75" customHeight="1">
      <c r="A115" s="3729" t="s">
        <v>1442</v>
      </c>
      <c r="B115" s="3730"/>
      <c r="C115" s="3730"/>
      <c r="D115" s="3730"/>
      <c r="E115" s="3730"/>
      <c r="F115" s="3730"/>
      <c r="G115" s="3730"/>
      <c r="H115" s="3730"/>
      <c r="I115" s="3731"/>
    </row>
    <row r="116" spans="1:27" ht="27" customHeight="1">
      <c r="A116" s="3686" t="s">
        <v>1443</v>
      </c>
      <c r="B116" s="3690" t="s">
        <v>1444</v>
      </c>
      <c r="C116" s="3690" t="s">
        <v>1445</v>
      </c>
      <c r="D116" s="3696" t="s">
        <v>1446</v>
      </c>
      <c r="E116" s="3697"/>
      <c r="F116" s="3728" t="s">
        <v>1447</v>
      </c>
      <c r="G116" s="3728"/>
      <c r="H116" s="3686" t="s">
        <v>1448</v>
      </c>
      <c r="I116" s="3686"/>
    </row>
    <row r="117" spans="1:27" ht="18.75" customHeight="1">
      <c r="A117" s="3686"/>
      <c r="B117" s="3691"/>
      <c r="C117" s="3691"/>
      <c r="D117" s="2325" t="s">
        <v>1449</v>
      </c>
      <c r="E117" s="2325" t="s">
        <v>1450</v>
      </c>
      <c r="F117" s="2325" t="s">
        <v>1449</v>
      </c>
      <c r="G117" s="2325" t="s">
        <v>1451</v>
      </c>
      <c r="H117" s="2325" t="s">
        <v>1449</v>
      </c>
      <c r="I117" s="2325" t="s">
        <v>1451</v>
      </c>
    </row>
    <row r="118" spans="1:27" ht="24.75" customHeight="1">
      <c r="A118" s="2590" t="str">
        <f>项目基本情况!S2</f>
        <v>北京市房地产</v>
      </c>
      <c r="B118" s="2325">
        <f>M18</f>
        <v>35356.130000000005</v>
      </c>
      <c r="C118" s="2325">
        <f>M19</f>
        <v>0</v>
      </c>
      <c r="D118" s="2325">
        <f ca="1">ROUND(IF(D32="总价",C34,E118*B118/10000),0)</f>
        <v>58291</v>
      </c>
      <c r="E118" s="2325">
        <f ca="1">ROUND(IF(C33="自定义",IF(D32="楼面单价",C34,D118*10000/B118),I118-G118),0)</f>
        <v>16487</v>
      </c>
      <c r="F118" s="2325">
        <f ca="1">ROUND(IF(D32="总价",C35,G118*B118/10000),0)</f>
        <v>27179</v>
      </c>
      <c r="G118" s="2325">
        <f ca="1">ROUND(IF(D32="楼面单价",C35,F118*10000/B118),0)</f>
        <v>7687</v>
      </c>
      <c r="H118" s="2325">
        <f ca="1">ROUND(IF(D32="总价",C32,I118*B118/10000),0)</f>
        <v>85470</v>
      </c>
      <c r="I118" s="2325">
        <f ca="1">ROUND(IF(D32="楼面单价",C32,H118*10000/B118),0)</f>
        <v>24174</v>
      </c>
    </row>
    <row r="119" spans="1:27" ht="18.75" customHeight="1">
      <c r="A119" s="3686" t="s">
        <v>1452</v>
      </c>
      <c r="B119" s="3686"/>
      <c r="C119" s="3686"/>
      <c r="D119" s="3692" t="str">
        <f ca="1">NUMBERSTRING(INT(D118*10000),2)&amp;"元整"</f>
        <v>伍亿捌仟贰佰玖拾壹万元整</v>
      </c>
      <c r="E119" s="3693"/>
      <c r="F119" s="3692" t="str">
        <f ca="1">NUMBERSTRING(INT(F118*10000),2)&amp;"元整"</f>
        <v>贰亿柒仟壹佰柒拾玖万元整</v>
      </c>
      <c r="G119" s="3693"/>
      <c r="H119" s="3692" t="str">
        <f ca="1">NUMBERSTRING(INT(H118*10000),2)&amp;"元整"</f>
        <v>捌亿伍仟肆佰柒拾万元整</v>
      </c>
      <c r="I119" s="3693"/>
    </row>
    <row r="120" spans="1:27" ht="18.75" customHeight="1">
      <c r="A120" s="3687" t="str">
        <f>IF(项目基本情况!B9="房地产市场价值","",MID(E103,3,LEN(E103)-2))</f>
        <v/>
      </c>
      <c r="B120" s="3688"/>
      <c r="C120" s="3689"/>
      <c r="D120" s="3687">
        <f>H103</f>
        <v>0</v>
      </c>
      <c r="E120" s="3688"/>
      <c r="F120" s="3688"/>
      <c r="G120" s="3688"/>
      <c r="H120" s="3688"/>
      <c r="I120" s="3689"/>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92" t="s">
        <v>1452</v>
      </c>
      <c r="B121" s="3694"/>
      <c r="C121" s="3693"/>
      <c r="D121" s="3692" t="str">
        <f>IF(D120=0,"零元整",NUMBERSTRING(INT(D120*10000),2)&amp;"元整")</f>
        <v>零元整</v>
      </c>
      <c r="E121" s="3694"/>
      <c r="F121" s="3694"/>
      <c r="G121" s="3694"/>
      <c r="H121" s="3694"/>
      <c r="I121" s="3693"/>
      <c r="AA121" s="725"/>
    </row>
    <row r="122" spans="1:27" ht="18.75" customHeight="1">
      <c r="A122" s="3698" t="str">
        <f>IF(项目基本情况!B9="房地产市场价值","",MID(E107,3,LEN(E107)-2))</f>
        <v/>
      </c>
      <c r="B122" s="3698"/>
      <c r="C122" s="3698"/>
      <c r="D122" s="3687">
        <f ca="1">H107</f>
        <v>85470</v>
      </c>
      <c r="E122" s="3688"/>
      <c r="F122" s="3688"/>
      <c r="G122" s="3688"/>
      <c r="H122" s="3688"/>
      <c r="I122" s="3689"/>
      <c r="AA122" s="725"/>
    </row>
    <row r="123" spans="1:27" ht="18.75" customHeight="1">
      <c r="A123" s="3686" t="s">
        <v>1452</v>
      </c>
      <c r="B123" s="3686"/>
      <c r="C123" s="3686"/>
      <c r="D123" s="3692" t="str">
        <f ca="1">NUMBERSTRING(INT(D122*10000),2)&amp;"元整"</f>
        <v>捌亿伍仟肆佰柒拾万元整</v>
      </c>
      <c r="E123" s="3694"/>
      <c r="F123" s="3694"/>
      <c r="G123" s="3694"/>
      <c r="H123" s="3694"/>
      <c r="I123" s="3693"/>
      <c r="AA123" s="725"/>
    </row>
    <row r="124" spans="1:27" ht="18.75" customHeight="1">
      <c r="A124" s="3698" t="str">
        <f>IF(项目基本情况!B9="房地产市场价值","",MID(E109,3,LEN(E109)-2))</f>
        <v/>
      </c>
      <c r="B124" s="3698"/>
      <c r="C124" s="3698"/>
      <c r="D124" s="3687" t="str">
        <f>H109</f>
        <v>——</v>
      </c>
      <c r="E124" s="3688"/>
      <c r="F124" s="3688"/>
      <c r="G124" s="3688"/>
      <c r="H124" s="3688"/>
      <c r="I124" s="3689"/>
      <c r="AA124" s="725"/>
    </row>
    <row r="125" spans="1:27" ht="18.75" customHeight="1">
      <c r="A125" s="3686" t="s">
        <v>1452</v>
      </c>
      <c r="B125" s="3686"/>
      <c r="C125" s="3686"/>
      <c r="D125" s="3692" t="e">
        <f>NUMBERSTRING(INT(D124*10000),2)&amp;"元整"</f>
        <v>#VALUE!</v>
      </c>
      <c r="E125" s="3694"/>
      <c r="F125" s="3694"/>
      <c r="G125" s="3694"/>
      <c r="H125" s="3694"/>
      <c r="I125" s="3693"/>
      <c r="AA125" s="725"/>
    </row>
    <row r="126" spans="1:27" ht="18.75" customHeight="1">
      <c r="A126" s="3698" t="str">
        <f>IF(项目基本情况!B9="房地产市场价值","",MID(E111,3,LEN(E111)-2))</f>
        <v/>
      </c>
      <c r="B126" s="3698"/>
      <c r="C126" s="3698"/>
      <c r="D126" s="3687" t="str">
        <f>H111</f>
        <v>——</v>
      </c>
      <c r="E126" s="3688"/>
      <c r="F126" s="3688"/>
      <c r="G126" s="3688"/>
      <c r="H126" s="3688"/>
      <c r="I126" s="3689"/>
      <c r="AA126" s="725"/>
    </row>
    <row r="127" spans="1:27" ht="18.75" customHeight="1">
      <c r="A127" s="3686" t="s">
        <v>1452</v>
      </c>
      <c r="B127" s="3686"/>
      <c r="C127" s="3686"/>
      <c r="D127" s="3692" t="e">
        <f>NUMBERSTRING(INT(D126*10000),2)&amp;"元整"</f>
        <v>#VALUE!</v>
      </c>
      <c r="E127" s="3694"/>
      <c r="F127" s="3694"/>
      <c r="G127" s="3694"/>
      <c r="H127" s="3694"/>
      <c r="I127" s="3693"/>
      <c r="AA127" s="725"/>
    </row>
    <row r="128" spans="1:27" ht="21.75" customHeight="1">
      <c r="A128" s="3695" t="s">
        <v>1453</v>
      </c>
      <c r="B128" s="3695"/>
      <c r="C128" s="3695"/>
      <c r="D128" s="3695"/>
      <c r="E128" s="3695"/>
      <c r="F128" s="3695"/>
      <c r="G128" s="3695"/>
      <c r="H128" s="3695"/>
      <c r="I128" s="369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82" t="str">
        <f>项目基本情况!B1</f>
        <v>北京市房地产市场价值预评估</v>
      </c>
      <c r="C37" s="3582"/>
      <c r="D37" s="3582"/>
      <c r="E37" s="3582"/>
      <c r="F37" s="3582"/>
      <c r="G37" s="3582"/>
      <c r="H37" s="3582"/>
      <c r="I37" s="358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9</v>
      </c>
    </row>
    <row r="2" spans="1:9" s="200" customFormat="1" ht="18" customHeight="1">
      <c r="A2" s="201" t="s">
        <v>1462</v>
      </c>
      <c r="B2" s="202">
        <f ca="1">IF(D2="——",C52,C52-E2)</f>
        <v>84312</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23847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41764</v>
      </c>
      <c r="D5" s="211" t="s">
        <v>1469</v>
      </c>
      <c r="E5" s="212" t="s">
        <v>1470</v>
      </c>
      <c r="F5" s="212" t="s">
        <v>1471</v>
      </c>
      <c r="G5" s="213"/>
    </row>
    <row r="6" spans="1:9" s="214" customFormat="1" ht="13.5" customHeight="1">
      <c r="A6" s="777" t="s">
        <v>1472</v>
      </c>
      <c r="B6" s="215" t="s">
        <v>1473</v>
      </c>
      <c r="C6" s="216">
        <f>'土地比较法-住宅、综合'!B2</f>
        <v>40528</v>
      </c>
      <c r="D6" s="217"/>
      <c r="E6" s="218"/>
      <c r="F6" s="218"/>
      <c r="G6" s="219"/>
    </row>
    <row r="7" spans="1:9" s="214" customFormat="1" ht="13.5" customHeight="1">
      <c r="A7" s="777" t="s">
        <v>1474</v>
      </c>
      <c r="B7" s="215" t="s">
        <v>1475</v>
      </c>
      <c r="C7" s="220">
        <f>ROUND(C6*F7,0)</f>
        <v>1236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t="s">
        <v>3400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6"/>
      <c r="I9" s="1856" t="s">
        <v>1479</v>
      </c>
    </row>
    <row r="10" spans="1:9" s="214" customFormat="1" ht="13.5" customHeight="1">
      <c r="A10" s="778" t="s">
        <v>356</v>
      </c>
      <c r="B10" s="224" t="s">
        <v>1480</v>
      </c>
      <c r="C10" s="225">
        <f ca="1">ROUND(D10*E10/10000,0)</f>
        <v>707</v>
      </c>
      <c r="D10" s="844">
        <f ca="1">IF(B1="",'数据-汇总表'!E6,IF(INDIRECT("'数据-取费表'!c"&amp;$G$1)="住宅",INDIRECT("'数据-取费表'!s"&amp;$G$1),INDIRECT("'数据-取费表'!k"&amp;$G$1)+INDIRECT("'数据-取费表'!s"&amp;$G$1)))</f>
        <v>35356.130000000005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35356.130000000005</v>
      </c>
      <c r="E19" s="211">
        <f>'数据-取费表'!B31</f>
        <v>200</v>
      </c>
      <c r="F19" s="231"/>
      <c r="G19" s="1854" t="s">
        <v>3401</v>
      </c>
    </row>
    <row r="20" spans="1:7" s="214" customFormat="1" ht="13.5" customHeight="1">
      <c r="A20" s="255" t="s">
        <v>1493</v>
      </c>
      <c r="B20" s="210" t="s">
        <v>1494</v>
      </c>
      <c r="C20" s="232">
        <f>ROUND((C5+C19)*F20,0)</f>
        <v>1253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2974</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2931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43</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6453</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6453</v>
      </c>
      <c r="D28" s="235"/>
      <c r="E28" s="236"/>
      <c r="F28" s="246"/>
      <c r="G28" s="247"/>
    </row>
    <row r="29" spans="1:7" s="214" customFormat="1" ht="13.5" customHeight="1">
      <c r="A29" s="779"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57498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20046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18159</v>
      </c>
      <c r="D34" s="217"/>
      <c r="E34" s="220"/>
      <c r="F34" s="257">
        <f ca="1">IF('数据-取费表'!B24=0,1,IF(B1="",'数据-取费表'!N16,INDIRECT("'数据-取费表'!n"&amp;$G$1)))</f>
        <v>1</v>
      </c>
      <c r="G34" s="219" t="s">
        <v>1526</v>
      </c>
    </row>
    <row r="35" spans="1:7" ht="13.5" customHeight="1">
      <c r="A35" s="779" t="s">
        <v>351</v>
      </c>
      <c r="B35" s="215" t="s">
        <v>1527</v>
      </c>
      <c r="C35" s="220">
        <f ca="1">ROUND(C34*F35,0)</f>
        <v>908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707</v>
      </c>
      <c r="D37" s="217">
        <f ca="1">D19</f>
        <v>35356.130000000005</v>
      </c>
      <c r="E37" s="249">
        <f>'数据-取费表'!B35</f>
        <v>200</v>
      </c>
      <c r="F37" s="259"/>
      <c r="G37" s="261" t="s">
        <v>1532</v>
      </c>
    </row>
    <row r="38" spans="1:7" ht="13.5" customHeight="1">
      <c r="A38" s="779" t="s">
        <v>354</v>
      </c>
      <c r="B38" s="215" t="s">
        <v>1533</v>
      </c>
      <c r="C38" s="220">
        <f ca="1">ROUND(C34*F38,0)</f>
        <v>272</v>
      </c>
      <c r="D38" s="220"/>
      <c r="E38" s="220"/>
      <c r="F38" s="259">
        <f>'数据-取费表'!B36</f>
        <v>1.4999999999999999E-2</v>
      </c>
      <c r="G38" s="219" t="s">
        <v>1528</v>
      </c>
    </row>
    <row r="39" spans="1:7" s="214" customFormat="1" ht="13.5" customHeight="1">
      <c r="A39" s="255" t="s">
        <v>1534</v>
      </c>
      <c r="B39" s="210" t="s">
        <v>1535</v>
      </c>
      <c r="C39" s="232">
        <f ca="1">ROUND(C33*F20,0)</f>
        <v>601</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713</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692</v>
      </c>
      <c r="D42" s="238"/>
      <c r="E42" s="238"/>
      <c r="F42" s="239"/>
      <c r="G42" s="3765" t="s">
        <v>1544</v>
      </c>
    </row>
    <row r="43" spans="1:7" ht="13.5" customHeight="1">
      <c r="A43" s="779" t="s">
        <v>347</v>
      </c>
      <c r="B43" s="215" t="s">
        <v>1545</v>
      </c>
      <c r="C43" s="238">
        <f ca="1">ROUND(IF('数据-取费表'!B22&lt;=1,C39*F22*'数据-取费表'!B21/2,C39*(POWER((1+F22),'数据-取费表'!B21/2)-1)),0)</f>
        <v>21</v>
      </c>
      <c r="D43" s="238"/>
      <c r="E43" s="238"/>
      <c r="F43" s="239"/>
      <c r="G43" s="3766"/>
    </row>
    <row r="44" spans="1:7" ht="13.5" customHeight="1">
      <c r="A44" s="779" t="s">
        <v>348</v>
      </c>
      <c r="B44" s="215" t="s">
        <v>1546</v>
      </c>
      <c r="C44" s="238">
        <f ca="1">ROUND(IF('数据-取费表'!B22&lt;=1,C40*F22*'数据-取费表'!B21/2,C40*(POWER((1+F22),'数据-取费表'!B21/2)-1)),4)</f>
        <v>1E-3</v>
      </c>
      <c r="D44" s="238"/>
      <c r="E44" s="238"/>
      <c r="F44" s="239"/>
      <c r="G44" s="3767"/>
    </row>
    <row r="45" spans="1:7" s="214" customFormat="1" ht="13.5" customHeight="1">
      <c r="A45" s="255" t="s">
        <v>1547</v>
      </c>
      <c r="B45" s="244" t="s">
        <v>1513</v>
      </c>
      <c r="C45" s="245">
        <f ca="1">C46</f>
        <v>3097</v>
      </c>
      <c r="D45" s="235">
        <f ca="1">C47</f>
        <v>4.4999999999999997E-3</v>
      </c>
      <c r="E45" s="236" t="s">
        <v>1539</v>
      </c>
      <c r="F45" s="246">
        <f ca="1">F27</f>
        <v>0.15</v>
      </c>
      <c r="G45" s="247" t="s">
        <v>1548</v>
      </c>
    </row>
    <row r="46" spans="1:7" s="214" customFormat="1" ht="13.5" customHeight="1">
      <c r="A46" s="779" t="s">
        <v>346</v>
      </c>
      <c r="B46" s="248" t="s">
        <v>1549</v>
      </c>
      <c r="C46" s="249">
        <f ca="1">ROUND((C33+C39)*F27,0)</f>
        <v>3097</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26814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26814</v>
      </c>
      <c r="D51" s="232"/>
      <c r="E51" s="232"/>
      <c r="F51" s="264"/>
      <c r="G51" s="234" t="s">
        <v>1560</v>
      </c>
    </row>
    <row r="52" spans="1:7" s="208" customFormat="1" ht="16.5" thickBot="1">
      <c r="A52" s="265" t="s">
        <v>1561</v>
      </c>
      <c r="B52" s="266"/>
      <c r="C52" s="267">
        <f ca="1">C31+C51</f>
        <v>84312</v>
      </c>
      <c r="D52" s="266"/>
      <c r="E52" s="266"/>
      <c r="F52" s="266"/>
      <c r="G52" s="268"/>
    </row>
    <row r="55" spans="1:7" ht="15">
      <c r="B55" s="270" t="s">
        <v>1562</v>
      </c>
      <c r="C55" s="271"/>
    </row>
    <row r="56" spans="1:7">
      <c r="B56" s="273" t="s">
        <v>802</v>
      </c>
      <c r="C56" s="275">
        <f ca="1">1-C57</f>
        <v>0.68199999999999994</v>
      </c>
    </row>
    <row r="57" spans="1:7">
      <c r="B57" s="273" t="s">
        <v>803</v>
      </c>
      <c r="C57" s="274">
        <f ca="1">ROUND(C51/C52,3)</f>
        <v>0.318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9</v>
      </c>
      <c r="H1" s="1060" t="str">
        <f>IF(ISERROR(FIND("住宅",B1)),"非住宅","住宅")</f>
        <v>非住宅</v>
      </c>
    </row>
    <row r="2" spans="1:8" s="200" customFormat="1" ht="18" customHeight="1">
      <c r="A2" s="201" t="s">
        <v>1462</v>
      </c>
      <c r="B2" s="3414">
        <f ca="1">ROUND(IF(D2="——",C52/10000,C52/10000-E2),4)</f>
        <v>27787.175299999999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7859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7071226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7071226</v>
      </c>
      <c r="D8" s="222"/>
      <c r="E8" s="220"/>
      <c r="F8" s="221"/>
      <c r="G8" s="1854" t="s">
        <v>3400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7071226</v>
      </c>
      <c r="D10" s="844">
        <f ca="1">IF(B1="",'数据-汇总表'!E6,IF(INDIRECT("'数据-取费表'!c"&amp;$G$1)="住宅",INDIRECT("'数据-取费表'!s"&amp;$G$1),INDIRECT("'数据-取费表'!k"&amp;$G$1)+INDIRECT("'数据-取费表'!s"&amp;$G$1)))</f>
        <v>35356.130000000005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35356.130000000005</v>
      </c>
      <c r="E19" s="211">
        <f>'数据-取费表'!B31</f>
        <v>200</v>
      </c>
      <c r="F19" s="231"/>
      <c r="G19" s="1854" t="s">
        <v>3401</v>
      </c>
    </row>
    <row r="20" spans="1:7" s="214" customFormat="1" ht="13.5" customHeight="1">
      <c r="A20" s="255" t="s">
        <v>1574</v>
      </c>
      <c r="B20" s="210" t="s">
        <v>1575</v>
      </c>
      <c r="C20" s="232">
        <f ca="1">ROUND((C5+C19)*F20,0)</f>
        <v>212137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503650</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496331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7319</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1092504</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ROUND((C5+C19+C20)*F27,0)</f>
        <v>1092504</v>
      </c>
      <c r="D28" s="235"/>
      <c r="E28" s="236"/>
      <c r="F28" s="246"/>
      <c r="G28" s="247"/>
    </row>
    <row r="29" spans="1:7" s="214" customFormat="1" ht="13.5" customHeight="1">
      <c r="A29" s="779"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9735245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200459257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181585006</v>
      </c>
      <c r="D34" s="217"/>
      <c r="E34" s="220"/>
      <c r="F34" s="257"/>
      <c r="G34" s="219"/>
    </row>
    <row r="35" spans="1:7" ht="13.5" customHeight="1">
      <c r="A35" s="779" t="s">
        <v>351</v>
      </c>
      <c r="B35" s="215" t="s">
        <v>1527</v>
      </c>
      <c r="C35" s="220">
        <f ca="1">ROUND(C34*F35,0)</f>
        <v>9079250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7071226</v>
      </c>
      <c r="D37" s="217">
        <f ca="1">D19</f>
        <v>35356.130000000005</v>
      </c>
      <c r="E37" s="249">
        <f>'数据-取费表'!B35</f>
        <v>200</v>
      </c>
      <c r="F37" s="259"/>
      <c r="G37" s="261"/>
    </row>
    <row r="38" spans="1:7" ht="13.5" customHeight="1">
      <c r="A38" s="779" t="s">
        <v>354</v>
      </c>
      <c r="B38" s="215" t="s">
        <v>1533</v>
      </c>
      <c r="C38" s="220">
        <f ca="1">ROUND(C34*F38,0)</f>
        <v>2723775</v>
      </c>
      <c r="D38" s="220"/>
      <c r="E38" s="220"/>
      <c r="F38" s="259">
        <f>'数据-取费表'!B36</f>
        <v>1.4999999999999999E-2</v>
      </c>
      <c r="G38" s="219" t="s">
        <v>1528</v>
      </c>
    </row>
    <row r="39" spans="1:7" s="214" customFormat="1" ht="13.5" customHeight="1">
      <c r="A39" s="255" t="s">
        <v>1534</v>
      </c>
      <c r="B39" s="210" t="s">
        <v>1535</v>
      </c>
      <c r="C39" s="232">
        <f ca="1">ROUND(C33*F20,0)</f>
        <v>6013778</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7123319</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6915844</v>
      </c>
      <c r="D42" s="238"/>
      <c r="E42" s="238"/>
      <c r="F42" s="239"/>
      <c r="G42" s="3765" t="s">
        <v>1591</v>
      </c>
    </row>
    <row r="43" spans="1:7" ht="13.5" customHeight="1">
      <c r="A43" s="779" t="s">
        <v>347</v>
      </c>
      <c r="B43" s="215" t="s">
        <v>1545</v>
      </c>
      <c r="C43" s="238">
        <f ca="1">ROUND(IF('数据-取费表'!B22&lt;=1,C39*F22*'数据-取费表'!B20/2,C39*(POWER((1+F22),'数据-取费表'!B20/2)-1)),0)</f>
        <v>207475</v>
      </c>
      <c r="D43" s="238"/>
      <c r="E43" s="238"/>
      <c r="F43" s="239"/>
      <c r="G43" s="3766"/>
    </row>
    <row r="44" spans="1:7" ht="13.5" customHeight="1">
      <c r="A44" s="779" t="s">
        <v>348</v>
      </c>
      <c r="B44" s="215" t="s">
        <v>1546</v>
      </c>
      <c r="C44" s="238">
        <f ca="1">ROUND(IF('数据-取费表'!B22&lt;=1,C40*F22*'数据-取费表'!B20/2,C40*(POWER((1+F22),'数据-取费表'!B20/2)-1)),4)</f>
        <v>1E-3</v>
      </c>
      <c r="D44" s="238"/>
      <c r="E44" s="238"/>
      <c r="F44" s="239"/>
      <c r="G44" s="3767"/>
    </row>
    <row r="45" spans="1:7" s="214" customFormat="1" ht="13.5" customHeight="1">
      <c r="A45" s="255" t="s">
        <v>1547</v>
      </c>
      <c r="B45" s="244" t="s">
        <v>1513</v>
      </c>
      <c r="C45" s="245">
        <f ca="1">C46</f>
        <v>30970955</v>
      </c>
      <c r="D45" s="235">
        <f ca="1">C47</f>
        <v>4.4999999999999997E-3</v>
      </c>
      <c r="E45" s="236" t="s">
        <v>1539</v>
      </c>
      <c r="F45" s="246">
        <f ca="1">F27</f>
        <v>0.15</v>
      </c>
      <c r="G45" s="247" t="s">
        <v>1548</v>
      </c>
    </row>
    <row r="46" spans="1:7" s="214" customFormat="1" ht="13.5" customHeight="1">
      <c r="A46" s="779" t="s">
        <v>346</v>
      </c>
      <c r="B46" s="248" t="s">
        <v>1549</v>
      </c>
      <c r="C46" s="249">
        <f ca="1">ROUND((C33+C39)*F27,0)</f>
        <v>30970955</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268136508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268136508</v>
      </c>
      <c r="D51" s="232"/>
      <c r="E51" s="232"/>
      <c r="F51" s="264"/>
      <c r="G51" s="234" t="s">
        <v>1560</v>
      </c>
    </row>
    <row r="52" spans="1:7" s="208" customFormat="1" ht="16.5" thickBot="1">
      <c r="A52" s="265" t="s">
        <v>1561</v>
      </c>
      <c r="B52" s="266"/>
      <c r="C52" s="267">
        <f ca="1">C31+C51</f>
        <v>277871753</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796"/>
      <c r="F1" s="2796"/>
      <c r="G1" s="2661"/>
      <c r="H1" s="2796"/>
      <c r="I1" s="2796"/>
      <c r="J1" s="2796"/>
      <c r="K1" s="2797">
        <f>MATCH(C1,'数据-取费表'!A6:A16,0)+5</f>
        <v>9</v>
      </c>
    </row>
    <row r="2" spans="1:33" ht="18" customHeight="1">
      <c r="A2" s="201" t="s">
        <v>1462</v>
      </c>
      <c r="B2" s="204">
        <f ca="1">C32</f>
        <v>-813</v>
      </c>
      <c r="C2" s="276" t="s">
        <v>1595</v>
      </c>
      <c r="D2" s="276"/>
      <c r="E2" s="2796"/>
      <c r="F2" s="2796"/>
      <c r="G2" s="2796"/>
      <c r="H2" s="2796"/>
      <c r="I2" s="2796"/>
      <c r="J2" s="2796"/>
      <c r="K2" s="2796"/>
    </row>
    <row r="3" spans="1:33" ht="18" customHeight="1" thickBot="1">
      <c r="A3" s="203" t="s">
        <v>1464</v>
      </c>
      <c r="B3" s="204">
        <f ca="1">ROUND(B2*10000/IF(C1="",'数据-汇总表'!E3,INDIRECT("'数据-取费表'!K"&amp;$K$1)),0)</f>
        <v>-230</v>
      </c>
      <c r="C3" s="276" t="s">
        <v>1596</v>
      </c>
      <c r="D3" s="276"/>
      <c r="E3" s="2796"/>
      <c r="F3" s="2796"/>
      <c r="G3" s="2796"/>
      <c r="H3" s="2796"/>
      <c r="I3" s="2796"/>
      <c r="J3" s="2796"/>
      <c r="K3" s="2796"/>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35356.130000000005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35356.130000000005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707</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707</v>
      </c>
      <c r="D20" s="845">
        <f ca="1">IF(C1="",'数据-汇总表'!E6,IF(INDIRECT("'数据-取费表'!c"&amp;$K$1)="住宅",INDIRECT("'数据-取费表'!s"&amp;$K$1),INDIRECT("'数据-取费表'!k"&amp;$K$1)+INDIRECT("'数据-取费表'!s"&amp;$K$1)))</f>
        <v>35356.130000000005</v>
      </c>
      <c r="E20" s="21">
        <f>'数据-取费表'!B28</f>
        <v>200</v>
      </c>
      <c r="F20" s="803"/>
      <c r="G20" s="12"/>
      <c r="H20" s="808"/>
      <c r="I20" s="808"/>
      <c r="J20" s="808"/>
      <c r="K20" s="809"/>
    </row>
    <row r="21" spans="1:33" s="802" customFormat="1" ht="13.5" customHeight="1">
      <c r="A21" s="789" t="s">
        <v>357</v>
      </c>
      <c r="B21" s="812" t="s">
        <v>1628</v>
      </c>
      <c r="C21" s="813">
        <f ca="1">C16+C17+C18</f>
        <v>707</v>
      </c>
      <c r="D21" s="814"/>
      <c r="E21" s="281"/>
      <c r="F21" s="281"/>
      <c r="G21" s="131" t="s">
        <v>1629</v>
      </c>
      <c r="H21" s="806"/>
      <c r="I21" s="806"/>
      <c r="J21" s="806"/>
      <c r="K21" s="807"/>
    </row>
    <row r="22" spans="1:33" s="802" customFormat="1" ht="13.5" customHeight="1">
      <c r="A22" s="789" t="s">
        <v>1601</v>
      </c>
      <c r="B22" s="812" t="s">
        <v>1630</v>
      </c>
      <c r="C22" s="813">
        <f ca="1">ROUND(C21*F22,0)</f>
        <v>21</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109</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109</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-813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1926</v>
      </c>
      <c r="B1" s="197"/>
      <c r="C1" s="201" t="s">
        <v>1927</v>
      </c>
      <c r="D1" s="342">
        <f>SUM(D33:D34,D37:D42)</f>
        <v>34681.870000000003</v>
      </c>
      <c r="E1" s="1991"/>
      <c r="F1" s="1991"/>
      <c r="G1" s="1991"/>
      <c r="H1" s="1991"/>
      <c r="I1" s="1991"/>
      <c r="J1" s="1991"/>
      <c r="K1" s="1118"/>
      <c r="L1" s="1992" t="s">
        <v>1928</v>
      </c>
      <c r="M1" s="862">
        <f>SUMPRODUCT((区片价!B5:B9=I2)*(区片价!C3:G3=E2)*(区片价!C5:G9))</f>
        <v>0</v>
      </c>
      <c r="N1" s="865">
        <f>SUMPRODUCT((因素修正幅度!B5:B9=I2)*(因素修正幅度!C3:G3=E2)*(因素修正幅度!C5:G9))</f>
        <v>0</v>
      </c>
      <c r="O1" s="1993"/>
      <c r="P1" s="1993"/>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5" t="s">
        <v>1935</v>
      </c>
      <c r="D2" s="1996" t="s">
        <v>1936</v>
      </c>
      <c r="E2" s="3412"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Ⅶ-兴1</v>
      </c>
      <c r="J2" s="1998"/>
      <c r="K2" s="1118"/>
      <c r="L2" s="1999" t="s">
        <v>1939</v>
      </c>
      <c r="M2" s="863">
        <f>SUMPRODUCT((区片价!B10:B29=I2)*(区片价!C3:G3=E2)*(区片价!C10:G29))</f>
        <v>0</v>
      </c>
      <c r="N2" s="865">
        <f>SUMPRODUCT((因素修正幅度!B10:B29=I2)*(因素修正幅度!C3:G3=E2)*(因素修正幅度!C10:G29))</f>
        <v>0</v>
      </c>
      <c r="O2" s="1118"/>
      <c r="P2" s="1118"/>
      <c r="Q2" s="1118"/>
      <c r="R2" s="1210">
        <v>1</v>
      </c>
      <c r="S2" s="3351">
        <f>ROUND(SUMPRODUCT((B106:B110=R2)*(C105:N105=G2)*(C106:N110)),4)</f>
        <v>1.5019</v>
      </c>
      <c r="T2" s="3351">
        <f t="shared" ref="T2:T16" si="0">ROUND($C$5*$C$22*$C$23*$C$24*S2*$C$28,0)</f>
        <v>12822</v>
      </c>
      <c r="U2" s="1211"/>
      <c r="V2" s="3351">
        <f>ROUND(T2*U2/10000,0)</f>
        <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5" t="s">
        <v>1941</v>
      </c>
      <c r="D3" s="1996" t="s">
        <v>1942</v>
      </c>
      <c r="E3" s="3410" t="s">
        <v>3463</v>
      </c>
      <c r="F3" s="2000" t="s">
        <v>3458</v>
      </c>
      <c r="G3" s="751" t="e">
        <f>IF(F3="宗地容积率",'数据-汇总表'!I4,IF(F3="估价对象容积率",'数据-汇总表'!I6,'数据-汇总表'!I7))</f>
        <v>#DIV/0!</v>
      </c>
      <c r="H3" s="170" t="s">
        <v>1943</v>
      </c>
      <c r="I3" s="774"/>
      <c r="J3" s="1998" t="s">
        <v>1944</v>
      </c>
      <c r="K3" s="1118"/>
      <c r="L3" s="1999" t="s">
        <v>1945</v>
      </c>
      <c r="M3" s="863">
        <f>SUMPRODUCT((区片价!B30:B54=I2)*(区片价!C3:G3=E2)*(区片价!C30:G54))</f>
        <v>0</v>
      </c>
      <c r="N3" s="865">
        <f>SUMPRODUCT((因素修正幅度!B30:B54=I2)*(因素修正幅度!C3:G3=E2)*(因素修正幅度!C30:G54))</f>
        <v>0</v>
      </c>
      <c r="O3" s="1118"/>
      <c r="P3" s="1118"/>
      <c r="Q3" s="1118"/>
      <c r="R3" s="1210">
        <v>2</v>
      </c>
      <c r="S3" s="3351">
        <f>ROUND(SUMPRODUCT((B106:B110=R3)*(C105:N105=G2)*(C106:N110)),4)</f>
        <v>1.1838</v>
      </c>
      <c r="T3" s="3351">
        <f t="shared" si="0"/>
        <v>10106</v>
      </c>
      <c r="U3" s="1211"/>
      <c r="V3" s="3351">
        <f t="shared" ref="V3:V16" si="1">ROUND(T3*U3/10000,0)</f>
        <v>0</v>
      </c>
      <c r="W3" s="1214"/>
      <c r="X3" s="1214"/>
      <c r="Y3" s="1214"/>
      <c r="Z3" s="1214"/>
      <c r="AA3" s="1214"/>
      <c r="AB3" s="1214"/>
      <c r="AC3" s="1215"/>
      <c r="AD3" s="1216"/>
      <c r="AE3" s="1216"/>
      <c r="AF3" s="1216"/>
      <c r="AG3" s="1216"/>
      <c r="AH3" s="1216"/>
      <c r="AI3" s="1216"/>
      <c r="AJ3" s="1217"/>
    </row>
    <row r="4" spans="1:36" ht="15.75">
      <c r="A4" s="3775"/>
      <c r="B4" s="3776"/>
      <c r="C4" s="3776"/>
      <c r="D4" s="3777"/>
      <c r="E4" s="3777"/>
      <c r="F4" s="3777"/>
      <c r="G4" s="3777"/>
      <c r="H4" s="3777"/>
      <c r="I4" s="3777"/>
      <c r="J4" s="3778"/>
      <c r="K4" s="1118"/>
      <c r="L4" s="1999" t="s">
        <v>1946</v>
      </c>
      <c r="M4" s="863">
        <f>SUMPRODUCT((区片价!B55:B86=I2)*(区片价!C3:G3=E2)*(区片价!C55:G86))</f>
        <v>0</v>
      </c>
      <c r="N4" s="865">
        <f>SUMPRODUCT((因素修正幅度!B55:B86=I2)*(因素修正幅度!C3:G3=E2)*(因素修正幅度!C55:G86))</f>
        <v>0</v>
      </c>
      <c r="O4" s="1118"/>
      <c r="P4" s="1118"/>
      <c r="Q4" s="1118"/>
      <c r="R4" s="1210">
        <v>3</v>
      </c>
      <c r="S4" s="3351">
        <f>ROUND(SUMPRODUCT((B106:B110=R4)*(C105:N105=G2)*(C106:N110)),4)</f>
        <v>1.0004999999999999</v>
      </c>
      <c r="T4" s="3351">
        <f t="shared" si="0"/>
        <v>8541</v>
      </c>
      <c r="U4" s="1211"/>
      <c r="V4" s="3351">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1947</v>
      </c>
      <c r="C5" s="752">
        <f>ROUND(IF(E2="商业",C6*C7*C17+C20,(IF(E2="住宅",C6*C13*C17+C20,IF(E2="办公",C6*C12*C17+C20,C6+C20)))),0)</f>
        <v>8175</v>
      </c>
      <c r="D5" s="1337">
        <f>ROUND(C6*C17+C20,0)</f>
        <v>8014</v>
      </c>
      <c r="E5" s="1337"/>
      <c r="F5" s="2003"/>
      <c r="G5" s="2004"/>
      <c r="H5" s="2004"/>
      <c r="I5" s="2004"/>
      <c r="J5" s="2005"/>
      <c r="K5" s="2006"/>
      <c r="L5" s="1999" t="s">
        <v>1948</v>
      </c>
      <c r="M5" s="863">
        <f>SUMPRODUCT((区片价!B87:B126=I2)*(区片价!C3:G3=E2)*(区片价!C87:G126))</f>
        <v>0</v>
      </c>
      <c r="N5" s="865">
        <f>SUMPRODUCT((因素修正幅度!B87:B126=I2)*(因素修正幅度!C3:G3=E2)*(因素修正幅度!C87:G126))</f>
        <v>0</v>
      </c>
      <c r="O5" s="1118"/>
      <c r="P5" s="1118"/>
      <c r="Q5" s="1118"/>
      <c r="R5" s="1210">
        <v>4</v>
      </c>
      <c r="S5" s="3351">
        <f>ROUND(SUMPRODUCT((B106:B110=R5)*(C105:N105=G2)*(C106:N110)),4)</f>
        <v>0.88239999999999996</v>
      </c>
      <c r="T5" s="3351">
        <f t="shared" si="0"/>
        <v>7533</v>
      </c>
      <c r="U5" s="1211"/>
      <c r="V5" s="3351">
        <f t="shared" si="1"/>
        <v>0</v>
      </c>
      <c r="W5" s="1214"/>
      <c r="X5" s="1214"/>
      <c r="Y5" s="1214"/>
      <c r="Z5" s="1214"/>
      <c r="AA5" s="1214"/>
      <c r="AB5" s="1214"/>
      <c r="AC5" s="2007"/>
      <c r="AD5" s="2008"/>
      <c r="AE5" s="2008"/>
      <c r="AF5" s="2008"/>
      <c r="AG5" s="2008"/>
      <c r="AH5" s="2008"/>
      <c r="AI5" s="2008"/>
      <c r="AJ5" s="2009"/>
    </row>
    <row r="6" spans="1:36" ht="15.75" thickBot="1">
      <c r="A6" s="2011" t="s">
        <v>1949</v>
      </c>
      <c r="B6" s="2012" t="s">
        <v>1950</v>
      </c>
      <c r="C6" s="753">
        <f>SUMIF(L1:L12,G2,M1:M12)</f>
        <v>8030</v>
      </c>
      <c r="D6" s="2013"/>
      <c r="E6" s="2014"/>
      <c r="F6" s="2014"/>
      <c r="G6" s="2015"/>
      <c r="H6" s="2015"/>
      <c r="I6" s="2015"/>
      <c r="J6" s="2016"/>
      <c r="K6" s="1382"/>
      <c r="L6" s="1999" t="s">
        <v>1951</v>
      </c>
      <c r="M6" s="863">
        <f>SUMPRODUCT((区片价!B127:B189=I2)*(区片价!C3:G3=E2)*(区片价!C127:G189))</f>
        <v>0</v>
      </c>
      <c r="N6" s="865">
        <f>SUMPRODUCT((因素修正幅度!B127:B189=I2)*(因素修正幅度!C3:G3=E2)*(因素修正幅度!C127:G189))</f>
        <v>0</v>
      </c>
      <c r="O6" s="1118"/>
      <c r="P6" s="1118"/>
      <c r="Q6" s="1118"/>
      <c r="R6" s="1210">
        <v>5</v>
      </c>
      <c r="S6" s="3351">
        <f>ROUND(SUMPRODUCT((B106:B110=R6)*(C105:N105=G2)*(C106:N110)),4)</f>
        <v>0.84799999999999998</v>
      </c>
      <c r="T6" s="3351">
        <f t="shared" si="0"/>
        <v>7240</v>
      </c>
      <c r="U6" s="1211"/>
      <c r="V6" s="3351">
        <f t="shared" si="1"/>
        <v>0</v>
      </c>
      <c r="W6" s="1214"/>
      <c r="X6" s="1214"/>
      <c r="Y6" s="1214"/>
      <c r="Z6" s="1214"/>
      <c r="AA6" s="1214"/>
      <c r="AB6" s="1214"/>
      <c r="AC6" s="2007"/>
      <c r="AD6" s="2008"/>
      <c r="AE6" s="2008"/>
      <c r="AF6" s="2008"/>
      <c r="AG6" s="2008"/>
      <c r="AH6" s="2008"/>
      <c r="AI6" s="2008"/>
      <c r="AJ6" s="2009"/>
    </row>
    <row r="7" spans="1:36" ht="24.75" thickBot="1">
      <c r="A7" s="3294" t="s">
        <v>3234</v>
      </c>
      <c r="B7" s="2017" t="s">
        <v>1952</v>
      </c>
      <c r="C7" s="754">
        <f>IF(C8="不临65条商业街",1,ROUND(1+(1.6*E8+1.2*E9+0.8*E10+0.4*E11)*C9,4))</f>
        <v>1</v>
      </c>
      <c r="D7" s="2018" t="s">
        <v>1953</v>
      </c>
      <c r="E7" s="775"/>
      <c r="F7" s="2019"/>
      <c r="G7" s="2020"/>
      <c r="H7" s="2020"/>
      <c r="I7" s="2020"/>
      <c r="J7" s="2021"/>
      <c r="K7" s="1382"/>
      <c r="L7" s="1999" t="s">
        <v>1954</v>
      </c>
      <c r="M7" s="863">
        <f>SUMPRODUCT((区片价!B190:B233=I2)*(区片价!C3:G3=E2)*(区片价!C190:G233))</f>
        <v>8030</v>
      </c>
      <c r="N7" s="865">
        <f>SUMPRODUCT((因素修正幅度!B190:B233=I2)*(因素修正幅度!C3:G3=E2)*(因素修正幅度!C190:G233))</f>
        <v>0.128</v>
      </c>
      <c r="O7" s="1118"/>
      <c r="P7" s="1118"/>
      <c r="Q7" s="1118"/>
      <c r="R7" s="1210">
        <v>6</v>
      </c>
      <c r="S7" s="3409"/>
      <c r="T7" s="3351">
        <f t="shared" si="0"/>
        <v>0</v>
      </c>
      <c r="U7" s="1211"/>
      <c r="V7" s="3351">
        <f t="shared" si="1"/>
        <v>0</v>
      </c>
      <c r="W7" s="1356" t="s">
        <v>1955</v>
      </c>
      <c r="X7" s="1212" t="str">
        <f>G2</f>
        <v>七级</v>
      </c>
      <c r="Y7" s="1212" t="s">
        <v>1956</v>
      </c>
      <c r="Z7" s="1213" t="e">
        <f>G3</f>
        <v>#DIV/0!</v>
      </c>
      <c r="AA7" s="1214"/>
      <c r="AB7" s="1214"/>
      <c r="AC7" s="1215"/>
      <c r="AD7" s="1216"/>
      <c r="AE7" s="1216"/>
      <c r="AF7" s="1216"/>
      <c r="AG7" s="1216"/>
      <c r="AH7" s="1216"/>
      <c r="AI7" s="1216"/>
      <c r="AJ7" s="1217"/>
    </row>
    <row r="8" spans="1:36" ht="25.5">
      <c r="A8" s="3289"/>
      <c r="B8" s="170" t="s">
        <v>1957</v>
      </c>
      <c r="C8" s="2022" t="s">
        <v>3459</v>
      </c>
      <c r="D8" s="755" t="s">
        <v>112</v>
      </c>
      <c r="E8" s="756" t="e">
        <f>ROUND(C11/E7,4)</f>
        <v>#DIV/0!</v>
      </c>
      <c r="F8" s="2023" t="s">
        <v>1958</v>
      </c>
      <c r="G8" s="2024"/>
      <c r="H8" s="2024"/>
      <c r="I8" s="2024"/>
      <c r="J8" s="2025"/>
      <c r="K8" s="1118"/>
      <c r="L8" s="1999" t="s">
        <v>1959</v>
      </c>
      <c r="M8" s="863">
        <f>SUMPRODUCT((区片价!B234:B276=I2)*(区片价!C3:G3=E2)*(区片价!C234:G276))</f>
        <v>0</v>
      </c>
      <c r="N8" s="865">
        <f>SUMPRODUCT((因素修正幅度!B234:B276=I2)*(因素修正幅度!C3:G3=E2)*(因素修正幅度!C234:G276))</f>
        <v>0</v>
      </c>
      <c r="O8" s="1118"/>
      <c r="P8" s="1118"/>
      <c r="Q8" s="1118"/>
      <c r="R8" s="1210">
        <v>7</v>
      </c>
      <c r="S8" s="1211"/>
      <c r="T8" s="3351">
        <f t="shared" si="0"/>
        <v>0</v>
      </c>
      <c r="U8" s="1211"/>
      <c r="V8" s="3351">
        <f t="shared" si="1"/>
        <v>0</v>
      </c>
      <c r="W8" s="3772" t="s">
        <v>1960</v>
      </c>
      <c r="X8" s="377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89"/>
      <c r="B9" s="170" t="s">
        <v>1973</v>
      </c>
      <c r="C9" s="757">
        <f>SUMIF(修正!C71:C138,C8,修正!E71:E138)</f>
        <v>0</v>
      </c>
      <c r="D9" s="171" t="s">
        <v>113</v>
      </c>
      <c r="E9" s="171" t="e">
        <f>ROUND(C11/E7,4)</f>
        <v>#DIV/0!</v>
      </c>
      <c r="F9" s="2023" t="s">
        <v>1974</v>
      </c>
      <c r="G9" s="2024"/>
      <c r="H9" s="2024"/>
      <c r="I9" s="2024"/>
      <c r="J9" s="2025"/>
      <c r="K9" s="1118"/>
      <c r="L9" s="1999" t="s">
        <v>1975</v>
      </c>
      <c r="M9" s="863">
        <f>SUMPRODUCT((区片价!B277:B326=I2)*(区片价!C3:G3=E2)*(区片价!C277:G326))</f>
        <v>0</v>
      </c>
      <c r="N9" s="865">
        <f>SUMPRODUCT((因素修正幅度!B277:B326=I2)*(因素修正幅度!C3:G3=E2)*(因素修正幅度!C277:G326))</f>
        <v>0</v>
      </c>
      <c r="O9" s="1118"/>
      <c r="P9" s="1118"/>
      <c r="Q9" s="1118"/>
      <c r="R9" s="1210">
        <v>8</v>
      </c>
      <c r="S9" s="1211"/>
      <c r="T9" s="3351">
        <f t="shared" si="0"/>
        <v>0</v>
      </c>
      <c r="U9" s="1211"/>
      <c r="V9" s="3351">
        <f t="shared" si="1"/>
        <v>0</v>
      </c>
      <c r="W9" s="3774"/>
      <c r="X9" s="3352" t="s">
        <v>3264</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1976</v>
      </c>
      <c r="C10" s="171">
        <f>SUMIF(修正!C71:C138,C8,修正!F71:F138)</f>
        <v>0</v>
      </c>
      <c r="D10" s="171" t="s">
        <v>114</v>
      </c>
      <c r="E10" s="171" t="e">
        <f>ROUND(C11/E7,4)</f>
        <v>#DIV/0!</v>
      </c>
      <c r="F10" s="2023" t="s">
        <v>1977</v>
      </c>
      <c r="G10" s="2024"/>
      <c r="H10" s="2024"/>
      <c r="I10" s="2024"/>
      <c r="J10" s="2025"/>
      <c r="K10" s="1118"/>
      <c r="L10" s="1999"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1">
        <f t="shared" si="0"/>
        <v>0</v>
      </c>
      <c r="U10" s="1211"/>
      <c r="V10" s="3351">
        <f t="shared" si="1"/>
        <v>0</v>
      </c>
      <c r="W10" s="3774"/>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1979</v>
      </c>
      <c r="C11" s="758">
        <f>C10/4</f>
        <v>0</v>
      </c>
      <c r="D11" s="758" t="s">
        <v>115</v>
      </c>
      <c r="E11" s="758" t="e">
        <f>ROUND(C11/E7,4)</f>
        <v>#DIV/0!</v>
      </c>
      <c r="F11" s="2027" t="s">
        <v>1980</v>
      </c>
      <c r="G11" s="2028"/>
      <c r="H11" s="2028"/>
      <c r="I11" s="2028"/>
      <c r="J11" s="2029"/>
      <c r="K11" s="1118"/>
      <c r="L11" s="1999"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1">
        <f t="shared" si="0"/>
        <v>0</v>
      </c>
      <c r="U11" s="1211"/>
      <c r="V11" s="3351">
        <f t="shared" si="1"/>
        <v>0</v>
      </c>
      <c r="W11" s="1214"/>
      <c r="X11" s="1214"/>
      <c r="Y11" s="1214"/>
      <c r="Z11" s="1214"/>
      <c r="AA11" s="1214"/>
      <c r="AB11" s="1214"/>
      <c r="AC11" s="1215"/>
      <c r="AD11" s="2779"/>
      <c r="AE11" s="2779"/>
      <c r="AF11" s="2779"/>
      <c r="AG11" s="2779"/>
      <c r="AH11" s="2779"/>
      <c r="AI11" s="2779"/>
      <c r="AJ11" s="2780"/>
    </row>
    <row r="12" spans="1:36" ht="25.5" thickBot="1">
      <c r="A12" s="3294" t="s">
        <v>3235</v>
      </c>
      <c r="B12" s="3295" t="s">
        <v>3236</v>
      </c>
      <c r="C12" s="3296">
        <v>1.02</v>
      </c>
      <c r="D12" s="3297" t="s">
        <v>3237</v>
      </c>
      <c r="E12" s="3298" t="s">
        <v>3238</v>
      </c>
      <c r="F12" s="3299"/>
      <c r="G12" s="3300"/>
      <c r="H12" s="3300"/>
      <c r="I12" s="3300"/>
      <c r="J12" s="3301"/>
      <c r="K12" s="1118"/>
      <c r="L12" s="2035"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1">
        <f t="shared" si="0"/>
        <v>0</v>
      </c>
      <c r="U12" s="1211"/>
      <c r="V12" s="3351">
        <f t="shared" si="1"/>
        <v>0</v>
      </c>
      <c r="W12" s="1214"/>
      <c r="X12" s="1214"/>
      <c r="Y12" s="1214"/>
      <c r="Z12" s="1214"/>
      <c r="AA12" s="1214"/>
      <c r="AB12" s="1214"/>
      <c r="AC12" s="1215"/>
      <c r="AD12" s="2779"/>
      <c r="AE12" s="2779"/>
      <c r="AF12" s="2779"/>
      <c r="AG12" s="2779"/>
      <c r="AH12" s="2779"/>
      <c r="AI12" s="2779"/>
      <c r="AJ12" s="2780"/>
    </row>
    <row r="13" spans="1:36" ht="15.75" thickBot="1">
      <c r="A13" s="3294" t="s">
        <v>3239</v>
      </c>
      <c r="B13" s="2030" t="s">
        <v>1982</v>
      </c>
      <c r="C13" s="754">
        <f>ROUND(C16*D16*E16*F16*G16*H16*I16*J16,4)</f>
        <v>0</v>
      </c>
      <c r="D13" s="2031" t="s">
        <v>1983</v>
      </c>
      <c r="E13" s="2032"/>
      <c r="F13" s="2032"/>
      <c r="G13" s="2033"/>
      <c r="H13" s="2033"/>
      <c r="I13" s="2033"/>
      <c r="J13" s="2034"/>
      <c r="K13" s="1118"/>
      <c r="L13" s="3290"/>
      <c r="M13" s="3291"/>
      <c r="N13" s="3292"/>
      <c r="O13" s="1118"/>
      <c r="P13" s="1118"/>
      <c r="Q13" s="1118"/>
      <c r="R13" s="1210">
        <v>12</v>
      </c>
      <c r="S13" s="1211"/>
      <c r="T13" s="3351">
        <f t="shared" si="0"/>
        <v>0</v>
      </c>
      <c r="U13" s="1211"/>
      <c r="V13" s="3351">
        <f t="shared" si="1"/>
        <v>0</v>
      </c>
      <c r="W13" s="1214"/>
      <c r="X13" s="1214"/>
      <c r="Y13" s="1214"/>
      <c r="Z13" s="1214"/>
      <c r="AA13" s="1214"/>
      <c r="AB13" s="1214"/>
      <c r="AC13" s="1215"/>
      <c r="AD13" s="2779"/>
      <c r="AE13" s="2779"/>
      <c r="AF13" s="2779"/>
      <c r="AG13" s="2779"/>
      <c r="AH13" s="2779"/>
      <c r="AI13" s="2779"/>
      <c r="AJ13" s="2780"/>
    </row>
    <row r="14" spans="1:36" ht="15">
      <c r="A14" s="3288"/>
      <c r="B14" s="2036" t="s">
        <v>1985</v>
      </c>
      <c r="C14" s="2037" t="s">
        <v>1986</v>
      </c>
      <c r="D14" s="1348" t="s">
        <v>1987</v>
      </c>
      <c r="E14" s="27" t="s">
        <v>1988</v>
      </c>
      <c r="F14" s="3302" t="s">
        <v>3240</v>
      </c>
      <c r="G14" s="3302" t="s">
        <v>3240</v>
      </c>
      <c r="H14" s="3302" t="s">
        <v>3240</v>
      </c>
      <c r="I14" s="3302" t="s">
        <v>3240</v>
      </c>
      <c r="J14" s="3302" t="s">
        <v>3240</v>
      </c>
      <c r="K14" s="1118"/>
      <c r="L14" s="1118"/>
      <c r="M14" s="1118"/>
      <c r="N14" s="1118"/>
      <c r="O14" s="1118"/>
      <c r="P14" s="1118"/>
      <c r="Q14" s="1118"/>
      <c r="R14" s="1210">
        <v>13</v>
      </c>
      <c r="S14" s="1211"/>
      <c r="T14" s="3351">
        <f t="shared" si="0"/>
        <v>0</v>
      </c>
      <c r="U14" s="1211"/>
      <c r="V14" s="3351">
        <f t="shared" si="1"/>
        <v>0</v>
      </c>
      <c r="W14" s="1214"/>
      <c r="X14" s="1214"/>
      <c r="Y14" s="1214"/>
      <c r="Z14" s="1214"/>
      <c r="AA14" s="1214"/>
      <c r="AB14" s="1214"/>
      <c r="AC14" s="1215"/>
      <c r="AD14" s="2779"/>
      <c r="AE14" s="2779"/>
      <c r="AF14" s="2779"/>
      <c r="AG14" s="2779"/>
      <c r="AH14" s="2779"/>
      <c r="AI14" s="2779"/>
      <c r="AJ14" s="2780"/>
    </row>
    <row r="15" spans="1:36" ht="15">
      <c r="A15" s="3288"/>
      <c r="B15" s="2038"/>
      <c r="C15" s="2039"/>
      <c r="D15" s="2040"/>
      <c r="E15" s="2041"/>
      <c r="F15" s="3303" t="s">
        <v>3241</v>
      </c>
      <c r="G15" s="3304"/>
      <c r="H15" s="3305"/>
      <c r="I15" s="3306"/>
      <c r="J15" s="3307"/>
      <c r="K15" s="1118"/>
      <c r="L15" s="1118"/>
      <c r="M15" s="1118"/>
      <c r="N15" s="1118"/>
      <c r="O15" s="1118"/>
      <c r="P15" s="1118"/>
      <c r="Q15" s="1118"/>
      <c r="R15" s="1210">
        <v>14</v>
      </c>
      <c r="S15" s="1211"/>
      <c r="T15" s="3351">
        <f t="shared" si="0"/>
        <v>0</v>
      </c>
      <c r="U15" s="1211"/>
      <c r="V15" s="3351">
        <f t="shared" si="1"/>
        <v>0</v>
      </c>
      <c r="W15" s="1214"/>
      <c r="X15" s="1214"/>
      <c r="Y15" s="1214"/>
      <c r="Z15" s="1214"/>
      <c r="AA15" s="1214"/>
      <c r="AB15" s="1214"/>
      <c r="AC15" s="1215"/>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8"/>
      <c r="L16" s="1993"/>
      <c r="M16" s="1993"/>
      <c r="N16" s="1993"/>
      <c r="O16" s="1993"/>
      <c r="P16" s="1993"/>
      <c r="Q16" s="1118"/>
      <c r="R16" s="1210">
        <v>15</v>
      </c>
      <c r="S16" s="1211"/>
      <c r="T16" s="3351">
        <f t="shared" si="0"/>
        <v>0</v>
      </c>
      <c r="U16" s="1211"/>
      <c r="V16" s="3351">
        <f t="shared" si="1"/>
        <v>0</v>
      </c>
      <c r="W16" s="1214"/>
      <c r="X16" s="1214"/>
      <c r="Y16" s="1214"/>
      <c r="Z16" s="1214"/>
      <c r="AA16" s="1214"/>
      <c r="AB16" s="1214"/>
      <c r="AC16" s="1215"/>
      <c r="AD16" s="2779"/>
      <c r="AE16" s="2779"/>
      <c r="AF16" s="2779"/>
      <c r="AG16" s="2779"/>
      <c r="AH16" s="2779"/>
      <c r="AI16" s="2779"/>
      <c r="AJ16" s="2780"/>
    </row>
    <row r="17" spans="1:37">
      <c r="A17" s="3320" t="s">
        <v>3242</v>
      </c>
      <c r="B17" s="3311" t="s">
        <v>3243</v>
      </c>
      <c r="C17" s="3321">
        <f>ROUND(IF(OR(E2="工业",E2="公共服务"),1,IF(AND(E18=0,E19=0),1,IF(AND(E18=J24,E19=G19),0.8,IF(E19=0,1+E17*(-0.2),1+E17*G17*(-0.2))))),4)</f>
        <v>1</v>
      </c>
      <c r="D17" s="3312" t="s">
        <v>3244</v>
      </c>
      <c r="E17" s="3321">
        <f>ROUND(G18/I18,2)</f>
        <v>0</v>
      </c>
      <c r="F17" s="3312" t="s">
        <v>3247</v>
      </c>
      <c r="G17" s="3321" t="e">
        <f>ROUND(E19/G19,2)</f>
        <v>#DIV/0!</v>
      </c>
      <c r="H17" s="3321"/>
      <c r="I17" s="3321"/>
      <c r="J17" s="3322"/>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3"/>
      <c r="B18" s="3000"/>
      <c r="C18" s="3318"/>
      <c r="D18" s="3313" t="s">
        <v>3245</v>
      </c>
      <c r="E18" s="3319"/>
      <c r="F18" s="3314" t="s">
        <v>3248</v>
      </c>
      <c r="G18" s="3318">
        <f>ROUND(1-(1/(POWER(1+G24,E18))),4)</f>
        <v>0</v>
      </c>
      <c r="H18" s="3314" t="s">
        <v>3250</v>
      </c>
      <c r="I18" s="3318">
        <f>ROUND(1-(1/(POWER(1+G24,J24))),4)</f>
        <v>0.93120000000000003</v>
      </c>
      <c r="J18" s="3324"/>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78"/>
    </row>
    <row r="19" spans="1:37" s="2010" customFormat="1" ht="15" thickBot="1">
      <c r="A19" s="3325"/>
      <c r="B19" s="3326"/>
      <c r="C19" s="3327"/>
      <c r="D19" s="3327" t="s">
        <v>3246</v>
      </c>
      <c r="E19" s="3328"/>
      <c r="F19" s="3329" t="s">
        <v>3249</v>
      </c>
      <c r="G19" s="3328"/>
      <c r="H19" s="3327"/>
      <c r="I19" s="3327"/>
      <c r="J19" s="3330"/>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1"/>
      <c r="AH19" s="2137"/>
      <c r="AI19" s="2782"/>
      <c r="AJ19" s="2782"/>
      <c r="AK19" s="2053"/>
    </row>
    <row r="20" spans="1:37" s="2010" customFormat="1" ht="14.25">
      <c r="A20" s="3779" t="s">
        <v>3251</v>
      </c>
      <c r="B20" s="167" t="s">
        <v>1994</v>
      </c>
      <c r="C20" s="3315">
        <f>ROUND(IF(F21="与级别开发程度一致",0,(G21-E21)/C21),0)</f>
        <v>-16</v>
      </c>
      <c r="D20" s="3331" t="s">
        <v>1998</v>
      </c>
      <c r="E20" s="3332"/>
      <c r="F20" s="3785" t="s">
        <v>1995</v>
      </c>
      <c r="G20" s="3786"/>
      <c r="H20" s="3316" t="s">
        <v>3378</v>
      </c>
      <c r="I20" s="3316" t="s">
        <v>3379</v>
      </c>
      <c r="J20" s="3317" t="s">
        <v>3380</v>
      </c>
      <c r="K20" s="2043" t="s">
        <v>3381</v>
      </c>
      <c r="L20" s="2043" t="s">
        <v>3382</v>
      </c>
      <c r="M20" s="2043" t="s">
        <v>3460</v>
      </c>
      <c r="N20" s="2043" t="s">
        <v>3383</v>
      </c>
      <c r="O20" s="2044"/>
      <c r="P20" s="1993"/>
      <c r="Q20" s="1123"/>
      <c r="R20" s="1123"/>
      <c r="S20" s="1123"/>
      <c r="T20" s="1119"/>
      <c r="U20" s="1119"/>
      <c r="V20" s="1119"/>
      <c r="W20" s="1118"/>
      <c r="X20" s="1118"/>
      <c r="Y20" s="1118"/>
      <c r="Z20" s="1124"/>
      <c r="AA20" s="1124"/>
      <c r="AB20" s="1124"/>
      <c r="AC20" s="1124"/>
      <c r="AD20" s="1124"/>
      <c r="AE20" s="1124"/>
      <c r="AF20" s="1124"/>
      <c r="AG20" s="2778"/>
      <c r="AH20" s="2778"/>
      <c r="AI20" s="2778"/>
      <c r="AJ20" s="2778"/>
    </row>
    <row r="21" spans="1:37" s="2010" customFormat="1" ht="26.25" thickBot="1">
      <c r="A21" s="378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3461</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15</v>
      </c>
      <c r="O21" s="2163">
        <f>SUMPRODUCT((七通一平=O20)*(修正!B1:M1=G2)*(修正!B8:M16))</f>
        <v>0</v>
      </c>
      <c r="P21" s="1993"/>
      <c r="Q21" s="2778"/>
      <c r="R21" s="1123"/>
      <c r="S21" s="1123"/>
      <c r="T21" s="1119"/>
      <c r="U21" s="1119"/>
      <c r="V21" s="1119"/>
      <c r="W21" s="1118"/>
      <c r="X21" s="1118"/>
      <c r="Y21" s="1118"/>
      <c r="Z21" s="1124"/>
      <c r="AA21" s="1124"/>
      <c r="AB21" s="1124"/>
      <c r="AC21" s="1124"/>
      <c r="AD21" s="1124"/>
      <c r="AE21" s="1124"/>
      <c r="AF21" s="1124"/>
      <c r="AG21" s="2778"/>
      <c r="AH21" s="2778"/>
      <c r="AI21" s="2778"/>
      <c r="AJ21" s="2778"/>
    </row>
    <row r="22" spans="1:37" s="2010" customFormat="1" ht="15.75" thickBot="1">
      <c r="A22" s="2154" t="s">
        <v>363</v>
      </c>
      <c r="B22" s="2155" t="s">
        <v>2000</v>
      </c>
      <c r="C22" s="2156">
        <f>SUMIF(修正!C20:C51,E3,修正!E20:E51)</f>
        <v>1</v>
      </c>
      <c r="D22" s="2157"/>
      <c r="E22" s="2158"/>
      <c r="F22" s="2158"/>
      <c r="G22" s="2158"/>
      <c r="H22" s="2158"/>
      <c r="I22" s="2158"/>
      <c r="J22" s="2159"/>
      <c r="K22" s="1124"/>
      <c r="L22" s="2778"/>
      <c r="M22" s="2778"/>
      <c r="N22" s="2778"/>
      <c r="O22" s="1122"/>
      <c r="P22" s="1122"/>
      <c r="Q22" s="2778"/>
      <c r="R22" s="1123"/>
      <c r="S22" s="1123"/>
      <c r="T22" s="1119"/>
      <c r="U22" s="1119"/>
      <c r="V22" s="1119"/>
      <c r="W22" s="1118"/>
      <c r="X22" s="1118"/>
      <c r="Y22" s="1118"/>
      <c r="Z22" s="1124"/>
      <c r="AA22" s="1124"/>
      <c r="AB22" s="1124"/>
      <c r="AC22" s="1124"/>
      <c r="AD22" s="1124"/>
      <c r="AE22" s="1124"/>
      <c r="AF22" s="1124"/>
      <c r="AG22" s="2778"/>
      <c r="AH22" s="2778"/>
      <c r="AI22" s="2778"/>
      <c r="AJ22" s="2778"/>
    </row>
    <row r="23" spans="1:37" ht="26.25" thickBot="1">
      <c r="A23" s="2046" t="s">
        <v>364</v>
      </c>
      <c r="B23" s="2047"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0" t="s">
        <v>2002</v>
      </c>
      <c r="E23" s="760">
        <v>44197</v>
      </c>
      <c r="F23" s="2050" t="s">
        <v>2003</v>
      </c>
      <c r="G23" s="761">
        <f>'数据-取费表'!B2</f>
        <v>45160</v>
      </c>
      <c r="H23" s="3333" t="s">
        <v>3252</v>
      </c>
      <c r="I23" s="3334" t="str">
        <f>IF(H23="季度增幅（自定义）",SUMIF(N25:N28,E2,O25:O28),"")</f>
        <v/>
      </c>
      <c r="J23" s="3435" t="s">
        <v>3462</v>
      </c>
      <c r="K23" s="1124"/>
      <c r="L23" s="2051" t="s">
        <v>2004</v>
      </c>
      <c r="M23" s="1326">
        <f>ROUND(SUMIF(地价!B2:G2,E2,地价!B16:G16),0)</f>
        <v>350</v>
      </c>
      <c r="N23" s="2052" t="s">
        <v>2005</v>
      </c>
      <c r="O23" s="762">
        <f>ROUNDDOWN(DATEDIF(E23,G23,"M")/3,0)</f>
        <v>10</v>
      </c>
      <c r="P23" s="1121"/>
      <c r="Q23" s="2778"/>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2006</v>
      </c>
      <c r="C24" s="763">
        <f>ROUND(POWER(1+G24,J24-I24)*(POWER(1+G24,I24)-1)/(POWER(1+G24,J24)-1),4)</f>
        <v>0.99050000000000005</v>
      </c>
      <c r="D24" s="2056" t="s">
        <v>2007</v>
      </c>
      <c r="E24" s="1333">
        <f>存贷款利率!E24/100</f>
        <v>4.3499999999999997E-2</v>
      </c>
      <c r="F24" s="2056" t="s">
        <v>1999</v>
      </c>
      <c r="G24" s="767">
        <f>SUMIF(M30:Q30,E2,M33:Q33)</f>
        <v>5.5E-2</v>
      </c>
      <c r="H24" s="2056" t="s">
        <v>2008</v>
      </c>
      <c r="I24" s="768">
        <f>SUMIF('数据-取费表'!C6:C15,E2,'数据-取费表'!F6:F15)/COUNTIF('数据-取费表'!C6:C15,E2)</f>
        <v>47.75</v>
      </c>
      <c r="J24" s="769">
        <f>IF(E2="住宅",70,IF(E2="商业",40,50))</f>
        <v>50</v>
      </c>
      <c r="K24" s="1124"/>
      <c r="L24" s="2057" t="s">
        <v>2009</v>
      </c>
      <c r="M24" s="1327">
        <f>ROUND(SUMPRODUCT((地价!A4:A16=YEAR(G23)&amp;"-"&amp;ROUNDUP(MONTH(G23)/3,0))*(地价!B2:G2=E2)*(地价!B4:G16)),0)</f>
        <v>0</v>
      </c>
      <c r="N24" s="2058" t="s">
        <v>2010</v>
      </c>
      <c r="O24" s="2059" t="s">
        <v>2011</v>
      </c>
      <c r="P24" s="2060" t="s">
        <v>2012</v>
      </c>
      <c r="Q24" s="1993"/>
      <c r="R24" s="1123"/>
      <c r="S24" s="1123"/>
      <c r="T24" s="1119"/>
      <c r="U24" s="1119"/>
      <c r="V24" s="1119"/>
      <c r="W24" s="1118"/>
      <c r="X24" s="1118"/>
      <c r="Y24" s="1118"/>
      <c r="Z24" s="1124"/>
      <c r="AA24" s="1124"/>
      <c r="AB24" s="1124"/>
      <c r="AC24" s="1124"/>
      <c r="AD24" s="1124"/>
      <c r="AE24" s="1124"/>
      <c r="AF24" s="1124"/>
      <c r="AG24" s="2778"/>
      <c r="AH24" s="2778"/>
      <c r="AI24" s="2778"/>
      <c r="AJ24" s="2778"/>
    </row>
    <row r="25" spans="1:37" ht="15">
      <c r="A25" s="2061" t="s">
        <v>366</v>
      </c>
      <c r="B25" s="2062" t="s">
        <v>3331</v>
      </c>
      <c r="C25" s="770" t="e">
        <f>IF(B25="容积率修正",IF(G3&lt;10,D26,J26),C27)</f>
        <v>#DIV/0!</v>
      </c>
      <c r="D25" s="2063"/>
      <c r="E25" s="2063"/>
      <c r="F25" s="2063"/>
      <c r="G25" s="2063"/>
      <c r="H25" s="2063"/>
      <c r="I25" s="2063"/>
      <c r="J25" s="2064"/>
      <c r="K25" s="1124"/>
      <c r="L25" s="2778"/>
      <c r="M25" s="2778"/>
      <c r="N25" s="2065" t="s">
        <v>2013</v>
      </c>
      <c r="O25" s="1172"/>
      <c r="P25" s="1173">
        <f>SUMPRODUCT((地价!A3:A40=YEAR(G23)&amp;"-"&amp;ROUNDUP(MONTH(G23)/3,0))*(地价!AD2:AH2=N25)*(地价!AD3:AH40))</f>
        <v>0</v>
      </c>
      <c r="Q25" s="2778"/>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2014</v>
      </c>
      <c r="B26" s="2066" t="s">
        <v>2015</v>
      </c>
      <c r="C26" s="3335" t="s">
        <v>3253</v>
      </c>
      <c r="D26" s="1350" t="e">
        <f>IF(E26=G26,F26,IF(G3&lt;10,ROUND(F26+(H26-F26)*(G3-E26)/(G26-E26),4),"——"))</f>
        <v>#DIV/0!</v>
      </c>
      <c r="E26" s="751"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3254</v>
      </c>
      <c r="J26" s="771" t="e">
        <f>IF(G3&gt;=10,D115,"——")</f>
        <v>#DIV/0!</v>
      </c>
      <c r="K26" s="1124"/>
      <c r="L26" s="2778"/>
      <c r="M26" s="2778"/>
      <c r="N26" s="2065" t="s">
        <v>2016</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2017</v>
      </c>
      <c r="B27" s="2067" t="s">
        <v>2018</v>
      </c>
      <c r="C27" s="840">
        <f>ROUND(IF(I3&lt;6,SUMPRODUCT((B106:B110=I3)*(C105:N105=G2)*(C106:N110)),SUMIF(C105:N105,G2,C112:N112)),4)</f>
        <v>0</v>
      </c>
      <c r="D27" s="2042"/>
      <c r="E27" s="2042"/>
      <c r="F27" s="2068"/>
      <c r="G27" s="2069"/>
      <c r="H27" s="2070"/>
      <c r="I27" s="2071"/>
      <c r="J27" s="2072"/>
      <c r="K27" s="1118"/>
      <c r="L27" s="1993"/>
      <c r="M27" s="1993"/>
      <c r="N27" s="2065" t="s">
        <v>2019</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2020</v>
      </c>
      <c r="C28" s="759">
        <f>SUMIF(A47:A101,E2,B47:B101)</f>
        <v>1.0266</v>
      </c>
      <c r="D28" s="2048"/>
      <c r="E28" s="2073"/>
      <c r="F28" s="2073"/>
      <c r="G28" s="2073"/>
      <c r="H28" s="2073"/>
      <c r="I28" s="2073"/>
      <c r="J28" s="2074"/>
      <c r="K28" s="1124"/>
      <c r="L28" s="2778"/>
      <c r="M28" s="2778"/>
      <c r="N28" s="2075"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2022</v>
      </c>
      <c r="C29" s="764"/>
      <c r="D29" s="2020"/>
      <c r="E29" s="2020"/>
      <c r="F29" s="2077"/>
      <c r="G29" s="2020"/>
      <c r="H29" s="2020"/>
      <c r="I29" s="2020"/>
      <c r="J29" s="2021"/>
      <c r="K29" s="1118"/>
      <c r="L29" s="1993"/>
      <c r="M29" s="1993"/>
      <c r="N29" s="2775" t="s">
        <v>2023</v>
      </c>
      <c r="O29" s="2776"/>
      <c r="P29" s="2777">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8"/>
      <c r="L30" s="3341" t="s">
        <v>1936</v>
      </c>
      <c r="M30" s="3342" t="s">
        <v>1990</v>
      </c>
      <c r="N30" s="3342" t="s">
        <v>1991</v>
      </c>
      <c r="O30" s="3342" t="s">
        <v>1992</v>
      </c>
      <c r="P30" s="3342" t="s">
        <v>1993</v>
      </c>
      <c r="Q30" s="3345" t="s">
        <v>3258</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2025</v>
      </c>
      <c r="C31" s="765" t="e">
        <f>E34+SUM(I37:I42)</f>
        <v>#DIV/0!</v>
      </c>
      <c r="D31" s="2083"/>
      <c r="E31" s="2084"/>
      <c r="F31" s="2085"/>
      <c r="G31" s="2084"/>
      <c r="H31" s="2084"/>
      <c r="I31" s="2084"/>
      <c r="J31" s="2086"/>
      <c r="K31" s="1118"/>
      <c r="L31" s="3343" t="s">
        <v>1996</v>
      </c>
      <c r="M31" s="1996">
        <v>0.25</v>
      </c>
      <c r="N31" s="1996">
        <v>0.2</v>
      </c>
      <c r="O31" s="1996">
        <v>0.15</v>
      </c>
      <c r="P31" s="1996">
        <v>0.1</v>
      </c>
      <c r="Q31" s="3338">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8"/>
      <c r="L32" s="3344" t="s">
        <v>1999</v>
      </c>
      <c r="M32" s="2560">
        <f>ROUND($E$24*(1+M31),3)</f>
        <v>5.3999999999999999E-2</v>
      </c>
      <c r="N32" s="2560">
        <f>ROUND($E$24*(1+N31),3)</f>
        <v>5.1999999999999998E-2</v>
      </c>
      <c r="O32" s="2560">
        <f>ROUND($E$24*(1+O31),3)</f>
        <v>0.05</v>
      </c>
      <c r="P32" s="2560">
        <f>ROUND($E$24*(1+P31),3)</f>
        <v>4.8000000000000001E-2</v>
      </c>
      <c r="Q32" s="3346">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2030</v>
      </c>
      <c r="C33" s="175" t="e">
        <f>ROUND(C5*C22*C23*C24*C25*C28,0)</f>
        <v>#DIV/0!</v>
      </c>
      <c r="D33" s="2094">
        <f>'数据-汇总表'!F31</f>
        <v>34681.870000000003</v>
      </c>
      <c r="E33" s="772" t="e">
        <f>ROUND(C33*D33/10000,0)</f>
        <v>#DIV/0!</v>
      </c>
      <c r="F33" s="3336" t="s">
        <v>3256</v>
      </c>
      <c r="G33" s="2095"/>
      <c r="H33" s="2095"/>
      <c r="I33" s="2095"/>
      <c r="J33" s="2096"/>
      <c r="K33" s="1118"/>
      <c r="L33" s="3339" t="s">
        <v>3259</v>
      </c>
      <c r="M33" s="3340">
        <v>5.5E-2</v>
      </c>
      <c r="N33" s="3340">
        <v>5.5E-2</v>
      </c>
      <c r="O33" s="3340">
        <v>0.05</v>
      </c>
      <c r="P33" s="3340">
        <v>0.05</v>
      </c>
      <c r="Q33" s="3340">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2031</v>
      </c>
      <c r="C34" s="187" t="e">
        <f>ROUND(IF(E2="工业",C33*M42,IF(B25="楼层修正",SUM(V2:V16)*M41*10000/D34,C33*M41)),0)</f>
        <v>#DIV/0!</v>
      </c>
      <c r="D34" s="2099"/>
      <c r="E34" s="772" t="e">
        <f>ROUND(IF(B25="楼层修正",SUM(V2:V16)*M40,C34*D34/10000),0)</f>
        <v>#DIV/0!</v>
      </c>
      <c r="F34" s="2100" t="s">
        <v>2032</v>
      </c>
      <c r="G34" s="2101"/>
      <c r="H34" s="2101"/>
      <c r="I34" s="2101"/>
      <c r="J34" s="2102"/>
      <c r="K34" s="1118"/>
      <c r="L34" s="3339" t="s">
        <v>3260</v>
      </c>
      <c r="M34" s="3340">
        <v>6.5000000000000002E-2</v>
      </c>
      <c r="N34" s="3340">
        <v>6.5000000000000002E-2</v>
      </c>
      <c r="O34" s="3340">
        <v>0.06</v>
      </c>
      <c r="P34" s="3340">
        <v>0.06</v>
      </c>
      <c r="Q34" s="3340">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2033</v>
      </c>
      <c r="C35" s="3337" t="s">
        <v>3257</v>
      </c>
      <c r="D35" s="2033"/>
      <c r="E35" s="2105"/>
      <c r="F35" s="2105"/>
      <c r="G35" s="2031" t="s">
        <v>2034</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47" t="s">
        <v>3261</v>
      </c>
      <c r="L36" s="3436">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83"/>
      <c r="B37" s="2109" t="s">
        <v>2036</v>
      </c>
      <c r="C37" s="175">
        <f>ROUND(D5*C22*C23*C24*C28*F37,0)</f>
        <v>5021</v>
      </c>
      <c r="D37" s="2094"/>
      <c r="E37" s="171">
        <f>ROUND(C37*D37/10000,0)</f>
        <v>0</v>
      </c>
      <c r="F37" s="171">
        <f>SUMIF(修正!A57:A68,G2,修正!B57:B68)</f>
        <v>0.6</v>
      </c>
      <c r="G37" s="171">
        <f>ROUND(IF(E2="工业",C37*$M$42,C37*$M$41),0)</f>
        <v>1255</v>
      </c>
      <c r="H37" s="171">
        <f>D37</f>
        <v>0</v>
      </c>
      <c r="I37" s="171">
        <f>ROUND(G37*H37/10000,0)</f>
        <v>0</v>
      </c>
      <c r="J37" s="3002"/>
      <c r="K37" s="3349" t="s">
        <v>3262</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84"/>
      <c r="B38" s="2037" t="s">
        <v>2037</v>
      </c>
      <c r="C38" s="175">
        <f>ROUND(D5*C22*C23*C24*C28*F38,0)</f>
        <v>2511</v>
      </c>
      <c r="D38" s="2094"/>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1"/>
      <c r="K38" s="3347">
        <v>5.0000000000000001E-3</v>
      </c>
      <c r="L38" s="3347"/>
      <c r="M38" s="3347"/>
      <c r="N38" s="3347"/>
      <c r="O38" s="3347"/>
      <c r="P38" s="3347"/>
      <c r="Q38" s="3347"/>
      <c r="R38" s="1118"/>
      <c r="S38" s="1118"/>
      <c r="T38" s="1118"/>
      <c r="U38" s="1118"/>
      <c r="V38" s="1118"/>
      <c r="W38" s="1118"/>
      <c r="X38" s="1118"/>
      <c r="Y38" s="1118"/>
      <c r="Z38" s="1119"/>
      <c r="AA38" s="1119"/>
      <c r="AB38" s="1119"/>
      <c r="AC38" s="1119"/>
      <c r="AD38" s="1119"/>
    </row>
    <row r="39" spans="1:37" ht="13.5" thickBot="1">
      <c r="A39" s="3784"/>
      <c r="B39" s="2037" t="s">
        <v>3255</v>
      </c>
      <c r="C39" s="175">
        <f>ROUND(D5*C22*C23*C24*C28*F39,0)</f>
        <v>2092</v>
      </c>
      <c r="D39" s="2094"/>
      <c r="E39" s="171">
        <f t="shared" si="4"/>
        <v>0</v>
      </c>
      <c r="F39" s="171">
        <f>SUMIF(修正!A57:A68,G2,修正!D57:D68)</f>
        <v>0.25</v>
      </c>
      <c r="G39" s="171">
        <f>ROUND(IF(E2="工业",C39*$M$42,C39*$M$41),0)</f>
        <v>523</v>
      </c>
      <c r="H39" s="171">
        <f t="shared" si="5"/>
        <v>0</v>
      </c>
      <c r="I39" s="171">
        <f t="shared" si="6"/>
        <v>0</v>
      </c>
      <c r="J39" s="3001"/>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2038</v>
      </c>
      <c r="C40" s="171">
        <f>ROUND(D5*C22*C23*C24*C28*F40,0)</f>
        <v>2092</v>
      </c>
      <c r="D40" s="2094"/>
      <c r="E40" s="171">
        <f t="shared" si="4"/>
        <v>0</v>
      </c>
      <c r="F40" s="175">
        <f>SUMIF(修正!A57:A68,G2,修正!E57:E68)</f>
        <v>0.25</v>
      </c>
      <c r="G40" s="171">
        <f>ROUND(IF(E2="工业",C40*$M$42,C40*$M$41),0)</f>
        <v>523</v>
      </c>
      <c r="H40" s="171">
        <f t="shared" si="5"/>
        <v>0</v>
      </c>
      <c r="I40" s="171">
        <f t="shared" si="6"/>
        <v>0</v>
      </c>
      <c r="J40" s="2110"/>
      <c r="L40" s="2112" t="s">
        <v>2039</v>
      </c>
      <c r="M40" s="2113"/>
      <c r="Z40" s="1119"/>
      <c r="AA40" s="1119"/>
      <c r="AB40" s="1119"/>
      <c r="AC40" s="1119"/>
      <c r="AD40" s="1119"/>
      <c r="AE40" s="1119"/>
      <c r="AF40" s="1119"/>
      <c r="AG40" s="1119"/>
      <c r="AH40" s="1119"/>
      <c r="AI40" s="1119"/>
      <c r="AJ40" s="1119"/>
    </row>
    <row r="41" spans="1:37" s="1118" customFormat="1">
      <c r="A41" s="2111"/>
      <c r="B41" s="2037" t="s">
        <v>2040</v>
      </c>
      <c r="C41" s="171">
        <f>ROUND(D5*C22*C23*C44*C28*F41,0)</f>
        <v>2092</v>
      </c>
      <c r="D41" s="2094"/>
      <c r="E41" s="171">
        <f t="shared" si="4"/>
        <v>0</v>
      </c>
      <c r="F41" s="175">
        <f>SUMIF(修正!A57:A68,G2,修正!F57:F68)</f>
        <v>0.25</v>
      </c>
      <c r="G41" s="171">
        <f>ROUND(IF(E2="工业",C41*$M$42,C41*$M$41),0)</f>
        <v>523</v>
      </c>
      <c r="H41" s="171">
        <f t="shared" si="5"/>
        <v>0</v>
      </c>
      <c r="I41" s="171">
        <f t="shared" si="6"/>
        <v>0</v>
      </c>
      <c r="J41" s="2110"/>
      <c r="L41" s="3350" t="s">
        <v>3263</v>
      </c>
      <c r="M41" s="2114">
        <v>0.25</v>
      </c>
      <c r="Z41" s="1119"/>
      <c r="AA41" s="1119"/>
      <c r="AB41" s="1119"/>
      <c r="AC41" s="1119"/>
      <c r="AD41" s="1119"/>
      <c r="AE41" s="1119"/>
      <c r="AF41" s="1119"/>
      <c r="AG41" s="1119"/>
      <c r="AH41" s="1119"/>
      <c r="AI41" s="1119"/>
      <c r="AJ41" s="1119"/>
    </row>
    <row r="42" spans="1:37" s="1118" customFormat="1" ht="13.5" thickBot="1">
      <c r="A42" s="2097"/>
      <c r="B42" s="2115" t="s">
        <v>2041</v>
      </c>
      <c r="C42" s="187">
        <f>ROUND(D5*C22*C23*C44*C28*F42,0)</f>
        <v>1255</v>
      </c>
      <c r="D42" s="2099"/>
      <c r="E42" s="187">
        <f t="shared" si="4"/>
        <v>0</v>
      </c>
      <c r="F42" s="766">
        <f>SUMIF(修正!A57:A68,G2,修正!G57:G68)</f>
        <v>0.15</v>
      </c>
      <c r="G42" s="187">
        <f>ROUND(IF(E2="工业",C42*$M$42,C42*$M$41),0)</f>
        <v>314</v>
      </c>
      <c r="H42" s="187">
        <f t="shared" si="5"/>
        <v>0</v>
      </c>
      <c r="I42" s="187">
        <f t="shared" si="6"/>
        <v>0</v>
      </c>
      <c r="J42" s="2116"/>
      <c r="L42" s="2117" t="s">
        <v>1993</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2122</v>
      </c>
      <c r="C44" s="342">
        <f>ROUND(POWER(1+E44,H44-G44)*(POWER(1+E44,G44)-1)/(POWER(1+E44,H44)-1),4)</f>
        <v>0.99050000000000005</v>
      </c>
      <c r="D44" s="171" t="s">
        <v>1999</v>
      </c>
      <c r="E44" s="2149">
        <f>G24</f>
        <v>5.5E-2</v>
      </c>
      <c r="F44" s="171" t="s">
        <v>2008</v>
      </c>
      <c r="G44" s="183">
        <f>项目基本情况!F15</f>
        <v>47.75</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2042</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2" t="s">
        <v>2043</v>
      </c>
      <c r="B48" s="2123">
        <f>1+E50</f>
        <v>1</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6" t="s">
        <v>2044</v>
      </c>
      <c r="B49" s="1349" t="s">
        <v>2045</v>
      </c>
      <c r="C49" s="1349" t="s">
        <v>2046</v>
      </c>
      <c r="D49" s="1349" t="s">
        <v>2047</v>
      </c>
      <c r="E49" s="742" t="s">
        <v>2048</v>
      </c>
      <c r="F49" s="2127" t="s">
        <v>2049</v>
      </c>
      <c r="G49" s="1349" t="s">
        <v>310</v>
      </c>
      <c r="H49" s="2128"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6" t="s">
        <v>2052</v>
      </c>
      <c r="B50" s="2129" t="str">
        <f>估价对象房地状况!C4</f>
        <v>一般</v>
      </c>
      <c r="C50" s="2040"/>
      <c r="D50" s="1064">
        <f t="shared" ref="D50:D58" si="7">SUMIF($J$49:$N$49,C50,J50:N50)</f>
        <v>0</v>
      </c>
      <c r="E50" s="743">
        <f>ROUND(SUM(D50:D58),4)</f>
        <v>0</v>
      </c>
      <c r="F50" s="1812" t="str">
        <f>IF(E2="商业",SUMIF(L1:L12,G2,N1:N12),"——")</f>
        <v>——</v>
      </c>
      <c r="G50" s="1062"/>
      <c r="H50" s="1065" t="str">
        <f t="shared" ref="H50:H58" si="8">IFERROR(ROUNDDOWN($F$50*I50/2,4),"——")</f>
        <v>——</v>
      </c>
      <c r="I50" s="335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6" t="s">
        <v>2053</v>
      </c>
      <c r="B51" s="2130" t="str">
        <f>估价对象房地状况!C18</f>
        <v>一般</v>
      </c>
      <c r="C51" s="2040"/>
      <c r="D51" s="1064">
        <f t="shared" si="7"/>
        <v>0</v>
      </c>
      <c r="E51" s="744"/>
      <c r="F51" s="1812"/>
      <c r="G51" s="1062"/>
      <c r="H51" s="1065" t="str">
        <f t="shared" si="8"/>
        <v>——</v>
      </c>
      <c r="I51" s="335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59" t="s">
        <v>3265</v>
      </c>
      <c r="B52" s="2130" t="str">
        <f>估价对象房地状况!C19</f>
        <v>较好</v>
      </c>
      <c r="C52" s="2040"/>
      <c r="D52" s="1064">
        <f t="shared" si="7"/>
        <v>0</v>
      </c>
      <c r="E52" s="744"/>
      <c r="F52" s="1812"/>
      <c r="G52" s="1062"/>
      <c r="H52" s="1065" t="str">
        <f t="shared" si="8"/>
        <v>——</v>
      </c>
      <c r="I52" s="335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6" t="s">
        <v>2054</v>
      </c>
      <c r="B53" s="2131" t="s">
        <v>2055</v>
      </c>
      <c r="C53" s="2040"/>
      <c r="D53" s="1064">
        <f t="shared" si="7"/>
        <v>0</v>
      </c>
      <c r="E53" s="744"/>
      <c r="F53" s="1812"/>
      <c r="G53" s="1062"/>
      <c r="H53" s="1065" t="str">
        <f t="shared" si="8"/>
        <v>——</v>
      </c>
      <c r="I53" s="335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6" t="s">
        <v>2056</v>
      </c>
      <c r="B54" s="2130">
        <f>估价对象房地状况!C24</f>
        <v>0</v>
      </c>
      <c r="C54" s="2040"/>
      <c r="D54" s="1064">
        <f t="shared" si="7"/>
        <v>0</v>
      </c>
      <c r="E54" s="744"/>
      <c r="F54" s="1812"/>
      <c r="G54" s="1062"/>
      <c r="H54" s="1065" t="str">
        <f t="shared" si="8"/>
        <v>——</v>
      </c>
      <c r="I54" s="335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6" t="s">
        <v>2057</v>
      </c>
      <c r="B55" s="2132" t="s">
        <v>2058</v>
      </c>
      <c r="C55" s="2040"/>
      <c r="D55" s="1064">
        <f t="shared" si="7"/>
        <v>0</v>
      </c>
      <c r="E55" s="744"/>
      <c r="F55" s="1812"/>
      <c r="G55" s="1062"/>
      <c r="H55" s="1065" t="str">
        <f t="shared" si="8"/>
        <v>——</v>
      </c>
      <c r="I55" s="335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3" t="s">
        <v>2059</v>
      </c>
      <c r="B56" s="1324" t="str">
        <f>估价对象房地状况!C21</f>
        <v>一般</v>
      </c>
      <c r="C56" s="2040"/>
      <c r="D56" s="1064">
        <f t="shared" si="7"/>
        <v>0</v>
      </c>
      <c r="E56" s="744"/>
      <c r="F56" s="1812"/>
      <c r="G56" s="1062"/>
      <c r="H56" s="1065" t="str">
        <f t="shared" si="8"/>
        <v>——</v>
      </c>
      <c r="I56" s="335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3" t="s">
        <v>2060</v>
      </c>
      <c r="B57" s="2130" t="str">
        <f>估价对象房地状况!C22</f>
        <v>七通</v>
      </c>
      <c r="C57" s="2040"/>
      <c r="D57" s="1064">
        <f t="shared" si="7"/>
        <v>0</v>
      </c>
      <c r="E57" s="744"/>
      <c r="F57" s="1812"/>
      <c r="G57" s="1062"/>
      <c r="H57" s="1065" t="str">
        <f t="shared" si="8"/>
        <v>——</v>
      </c>
      <c r="I57" s="335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4" t="s">
        <v>2061</v>
      </c>
      <c r="B58" s="2135" t="str">
        <f>估价对象房地状况!C20</f>
        <v>一般</v>
      </c>
      <c r="C58" s="2040"/>
      <c r="D58" s="1064">
        <f t="shared" si="7"/>
        <v>0</v>
      </c>
      <c r="E58" s="745"/>
      <c r="F58" s="1812"/>
      <c r="G58" s="1062"/>
      <c r="H58" s="1065" t="str">
        <f t="shared" si="8"/>
        <v>——</v>
      </c>
      <c r="I58" s="335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2" t="s">
        <v>2062</v>
      </c>
      <c r="B59" s="2123">
        <f>1+E61</f>
        <v>1.0266</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2044</v>
      </c>
      <c r="B60" s="1349"/>
      <c r="C60" s="1349" t="s">
        <v>2046</v>
      </c>
      <c r="D60" s="1349" t="s">
        <v>2047</v>
      </c>
      <c r="E60" s="742" t="s">
        <v>2048</v>
      </c>
      <c r="F60" s="2127" t="s">
        <v>2063</v>
      </c>
      <c r="G60" s="1349" t="s">
        <v>310</v>
      </c>
      <c r="H60" s="2128"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6" t="s">
        <v>2064</v>
      </c>
      <c r="B61" s="2129" t="str">
        <f>估价对象房地状况!C17</f>
        <v>一般</v>
      </c>
      <c r="C61" s="2040" t="s">
        <v>3465</v>
      </c>
      <c r="D61" s="1064">
        <f t="shared" ref="D61:D69" si="12">SUMIF($J$60:$N$60,C61,J61:N61)</f>
        <v>0</v>
      </c>
      <c r="E61" s="743">
        <f>ROUND(SUM(D61:D69),4)</f>
        <v>2.6599999999999999E-2</v>
      </c>
      <c r="F61" s="1812">
        <f>IF(E2="办公",SUMIF(L1:L12,G2,N1:N12),"——")</f>
        <v>0.128</v>
      </c>
      <c r="G61" s="1062">
        <v>1.6E-2</v>
      </c>
      <c r="H61" s="1065">
        <f t="shared" ref="H61:H69" si="13">IFERROR(ROUNDDOWN($F$61*I61/2,4),"——")</f>
        <v>1.6E-2</v>
      </c>
      <c r="I61" s="3357">
        <v>0.25</v>
      </c>
      <c r="J61" s="1063">
        <f t="shared" ref="J61:J69" si="14">K61+$G61</f>
        <v>3.2000000000000001E-2</v>
      </c>
      <c r="K61" s="1063">
        <f t="shared" ref="K61:K69" si="15">$L61+$G61</f>
        <v>1.6E-2</v>
      </c>
      <c r="L61" s="1063">
        <v>0</v>
      </c>
      <c r="M61" s="1063">
        <f t="shared" ref="M61:N69" si="16">L61-$G61</f>
        <v>-1.6E-2</v>
      </c>
      <c r="N61" s="1063">
        <f t="shared" si="16"/>
        <v>-3.2000000000000001E-2</v>
      </c>
      <c r="AA61" s="1119"/>
      <c r="AB61" s="1119"/>
      <c r="AC61" s="1119"/>
      <c r="AD61" s="1119"/>
      <c r="AE61" s="1119"/>
      <c r="AF61" s="1119"/>
      <c r="AG61" s="1119"/>
      <c r="AH61" s="1119"/>
      <c r="AI61" s="1119"/>
      <c r="AJ61" s="1119"/>
      <c r="AK61" s="1119"/>
    </row>
    <row r="62" spans="1:37" s="1118" customFormat="1" ht="14.25">
      <c r="A62" s="2126" t="s">
        <v>2053</v>
      </c>
      <c r="B62" s="2130" t="str">
        <f>估价对象房地状况!C18</f>
        <v>一般</v>
      </c>
      <c r="C62" s="2040" t="s">
        <v>3465</v>
      </c>
      <c r="D62" s="1064">
        <f t="shared" si="12"/>
        <v>0</v>
      </c>
      <c r="E62" s="744"/>
      <c r="F62" s="1812"/>
      <c r="G62" s="1062">
        <v>1.66E-2</v>
      </c>
      <c r="H62" s="1065">
        <f t="shared" si="13"/>
        <v>1.66E-2</v>
      </c>
      <c r="I62" s="3357">
        <v>0.26</v>
      </c>
      <c r="J62" s="1063">
        <f t="shared" si="14"/>
        <v>3.32E-2</v>
      </c>
      <c r="K62" s="1063">
        <f t="shared" si="15"/>
        <v>1.66E-2</v>
      </c>
      <c r="L62" s="1063">
        <v>0</v>
      </c>
      <c r="M62" s="1063">
        <f t="shared" si="16"/>
        <v>-1.66E-2</v>
      </c>
      <c r="N62" s="1063">
        <f t="shared" si="16"/>
        <v>-3.32E-2</v>
      </c>
      <c r="AA62" s="1119"/>
      <c r="AB62" s="1119"/>
      <c r="AC62" s="1119"/>
      <c r="AD62" s="1119"/>
      <c r="AE62" s="1119"/>
      <c r="AF62" s="1119"/>
      <c r="AG62" s="1119"/>
      <c r="AH62" s="1119"/>
      <c r="AI62" s="1119"/>
      <c r="AJ62" s="1119"/>
      <c r="AK62" s="1119"/>
    </row>
    <row r="63" spans="1:37" s="1118" customFormat="1" ht="36">
      <c r="A63" s="3359" t="s">
        <v>3265</v>
      </c>
      <c r="B63" s="2130" t="str">
        <f>估价对象房地状况!C19</f>
        <v>较好</v>
      </c>
      <c r="C63" s="2040" t="s">
        <v>3390</v>
      </c>
      <c r="D63" s="1064">
        <f t="shared" si="12"/>
        <v>7.0000000000000001E-3</v>
      </c>
      <c r="E63" s="744"/>
      <c r="F63" s="1812"/>
      <c r="G63" s="1062">
        <v>7.0000000000000001E-3</v>
      </c>
      <c r="H63" s="1065">
        <f t="shared" si="13"/>
        <v>7.0000000000000001E-3</v>
      </c>
      <c r="I63" s="3357">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6" t="s">
        <v>2054</v>
      </c>
      <c r="B64" s="2131" t="s">
        <v>2055</v>
      </c>
      <c r="C64" s="2040" t="s">
        <v>3390</v>
      </c>
      <c r="D64" s="1064">
        <f t="shared" si="12"/>
        <v>3.2000000000000002E-3</v>
      </c>
      <c r="E64" s="744"/>
      <c r="F64" s="1812"/>
      <c r="G64" s="1062">
        <v>3.2000000000000002E-3</v>
      </c>
      <c r="H64" s="1065">
        <f t="shared" si="13"/>
        <v>3.2000000000000002E-3</v>
      </c>
      <c r="I64" s="3357">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6" t="s">
        <v>2056</v>
      </c>
      <c r="B65" s="2130">
        <f>估价对象房地状况!C24</f>
        <v>0</v>
      </c>
      <c r="C65" s="2040" t="s">
        <v>3468</v>
      </c>
      <c r="D65" s="1064">
        <f t="shared" si="12"/>
        <v>-3.2000000000000002E-3</v>
      </c>
      <c r="E65" s="744"/>
      <c r="F65" s="1812"/>
      <c r="G65" s="1062">
        <v>3.2000000000000002E-3</v>
      </c>
      <c r="H65" s="1065">
        <f t="shared" si="13"/>
        <v>3.2000000000000002E-3</v>
      </c>
      <c r="I65" s="3357">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6" t="s">
        <v>2057</v>
      </c>
      <c r="B66" s="2132" t="s">
        <v>2058</v>
      </c>
      <c r="C66" s="2040" t="s">
        <v>3390</v>
      </c>
      <c r="D66" s="1064">
        <f t="shared" si="12"/>
        <v>3.8E-3</v>
      </c>
      <c r="E66" s="744"/>
      <c r="F66" s="1812"/>
      <c r="G66" s="1062">
        <v>3.8E-3</v>
      </c>
      <c r="H66" s="1065">
        <f t="shared" si="13"/>
        <v>3.8E-3</v>
      </c>
      <c r="I66" s="3357">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4">
      <c r="A67" s="2126" t="s">
        <v>2059</v>
      </c>
      <c r="B67" s="1324" t="str">
        <f>估价对象房地状况!C21</f>
        <v>一般</v>
      </c>
      <c r="C67" s="2040" t="s">
        <v>3465</v>
      </c>
      <c r="D67" s="1064">
        <f t="shared" si="12"/>
        <v>0</v>
      </c>
      <c r="E67" s="744"/>
      <c r="F67" s="1812"/>
      <c r="G67" s="1062">
        <v>3.8E-3</v>
      </c>
      <c r="H67" s="1065">
        <f t="shared" si="13"/>
        <v>3.8E-3</v>
      </c>
      <c r="I67" s="3357">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4">
      <c r="A68" s="2126" t="s">
        <v>2060</v>
      </c>
      <c r="B68" s="1324" t="str">
        <f>估价对象房地状况!C22</f>
        <v>七通</v>
      </c>
      <c r="C68" s="2040" t="s">
        <v>3469</v>
      </c>
      <c r="D68" s="1064">
        <f t="shared" si="12"/>
        <v>1.14E-2</v>
      </c>
      <c r="E68" s="744"/>
      <c r="F68" s="1812"/>
      <c r="G68" s="1062">
        <v>5.7000000000000002E-3</v>
      </c>
      <c r="H68" s="1065">
        <f t="shared" si="13"/>
        <v>5.7000000000000002E-3</v>
      </c>
      <c r="I68" s="3357">
        <v>0.09</v>
      </c>
      <c r="J68" s="1063">
        <f t="shared" si="14"/>
        <v>1.14E-2</v>
      </c>
      <c r="K68" s="1063">
        <f t="shared" si="15"/>
        <v>5.7000000000000002E-3</v>
      </c>
      <c r="L68" s="1063">
        <v>0</v>
      </c>
      <c r="M68" s="1063">
        <f t="shared" si="16"/>
        <v>-5.7000000000000002E-3</v>
      </c>
      <c r="N68" s="1063">
        <f t="shared" si="16"/>
        <v>-1.14E-2</v>
      </c>
      <c r="AA68" s="1119"/>
      <c r="AB68" s="1119"/>
      <c r="AC68" s="1119"/>
      <c r="AD68" s="1119"/>
      <c r="AE68" s="1119"/>
      <c r="AF68" s="1119"/>
      <c r="AG68" s="1119"/>
      <c r="AH68" s="1119"/>
      <c r="AI68" s="1119"/>
      <c r="AJ68" s="1119"/>
      <c r="AK68" s="1119"/>
    </row>
    <row r="69" spans="1:37" s="1118" customFormat="1" ht="24.75" thickBot="1">
      <c r="A69" s="2134" t="s">
        <v>2061</v>
      </c>
      <c r="B69" s="2136" t="str">
        <f>估价对象房地状况!C20</f>
        <v>一般</v>
      </c>
      <c r="C69" s="2040" t="s">
        <v>3390</v>
      </c>
      <c r="D69" s="1064">
        <f t="shared" si="12"/>
        <v>4.4000000000000003E-3</v>
      </c>
      <c r="E69" s="745"/>
      <c r="F69" s="1812"/>
      <c r="G69" s="1062">
        <v>4.4000000000000003E-3</v>
      </c>
      <c r="H69" s="1065">
        <f t="shared" si="13"/>
        <v>4.4000000000000003E-3</v>
      </c>
      <c r="I69" s="3358">
        <v>7.0000000000000007E-2</v>
      </c>
      <c r="J69" s="1063">
        <f t="shared" si="14"/>
        <v>8.8000000000000005E-3</v>
      </c>
      <c r="K69" s="1063">
        <f t="shared" si="15"/>
        <v>4.4000000000000003E-3</v>
      </c>
      <c r="L69" s="1063">
        <v>0</v>
      </c>
      <c r="M69" s="1063">
        <f t="shared" si="16"/>
        <v>-4.4000000000000003E-3</v>
      </c>
      <c r="N69" s="1063">
        <f t="shared" si="16"/>
        <v>-8.8000000000000005E-3</v>
      </c>
      <c r="AA69" s="1119"/>
      <c r="AB69" s="1119"/>
      <c r="AC69" s="1119"/>
      <c r="AD69" s="1119"/>
      <c r="AE69" s="1119"/>
      <c r="AF69" s="1119"/>
      <c r="AG69" s="1119"/>
      <c r="AH69" s="1119"/>
      <c r="AI69" s="1119"/>
      <c r="AJ69" s="1119"/>
      <c r="AK69" s="1119"/>
    </row>
    <row r="70" spans="1:37" s="1118" customFormat="1" ht="15">
      <c r="A70" s="2122" t="s">
        <v>2065</v>
      </c>
      <c r="B70" s="2123">
        <f>1+E72</f>
        <v>1</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2044</v>
      </c>
      <c r="B71" s="1349"/>
      <c r="C71" s="1349" t="s">
        <v>2046</v>
      </c>
      <c r="D71" s="1349" t="s">
        <v>2047</v>
      </c>
      <c r="E71" s="742" t="s">
        <v>2048</v>
      </c>
      <c r="F71" s="2127" t="s">
        <v>2063</v>
      </c>
      <c r="G71" s="1349" t="s">
        <v>310</v>
      </c>
      <c r="H71" s="2128"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6" t="s">
        <v>2066</v>
      </c>
      <c r="B72" s="2129" t="str">
        <f>估价对象房地状况!C15</f>
        <v>较好</v>
      </c>
      <c r="C72" s="2040"/>
      <c r="D72" s="1064">
        <f t="shared" ref="D72:D80" si="17">SUMIF($J$71:$N$71,C72,J72:N72)</f>
        <v>0</v>
      </c>
      <c r="E72" s="743">
        <f>ROUND(SUM(D72:D80),4)</f>
        <v>0</v>
      </c>
      <c r="F72" s="1812" t="str">
        <f>IF(E2="住宅",SUMIF(L1:L12,G2,N1:N12),"——")</f>
        <v>——</v>
      </c>
      <c r="G72" s="1062"/>
      <c r="H72" s="1065" t="str">
        <f t="shared" ref="H72:H80" si="18">IFERROR(ROUNDDOWN($F$72*I72/2,4),"——")</f>
        <v>——</v>
      </c>
      <c r="I72" s="335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6" t="s">
        <v>2053</v>
      </c>
      <c r="B73" s="2130" t="str">
        <f>估价对象房地状况!C18</f>
        <v>一般</v>
      </c>
      <c r="C73" s="2040"/>
      <c r="D73" s="1064">
        <f t="shared" si="17"/>
        <v>0</v>
      </c>
      <c r="E73" s="746"/>
      <c r="F73" s="1812"/>
      <c r="G73" s="1062"/>
      <c r="H73" s="1065" t="str">
        <f t="shared" si="18"/>
        <v>——</v>
      </c>
      <c r="I73" s="335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3" customFormat="1" ht="36">
      <c r="A74" s="3359" t="s">
        <v>3265</v>
      </c>
      <c r="B74" s="2130" t="str">
        <f>估价对象房地状况!C19</f>
        <v>较好</v>
      </c>
      <c r="C74" s="2040"/>
      <c r="D74" s="1064">
        <f t="shared" si="17"/>
        <v>0</v>
      </c>
      <c r="E74" s="746"/>
      <c r="F74" s="1812"/>
      <c r="G74" s="1062"/>
      <c r="H74" s="1065" t="str">
        <f t="shared" si="18"/>
        <v>——</v>
      </c>
      <c r="I74" s="3357">
        <v>0.1</v>
      </c>
      <c r="J74" s="1063">
        <f t="shared" si="19"/>
        <v>0</v>
      </c>
      <c r="K74" s="1063">
        <f t="shared" si="20"/>
        <v>0</v>
      </c>
      <c r="L74" s="1063">
        <v>0</v>
      </c>
      <c r="M74" s="1063">
        <f t="shared" si="21"/>
        <v>0</v>
      </c>
      <c r="N74" s="1063">
        <f t="shared" si="21"/>
        <v>0</v>
      </c>
      <c r="O74" s="1118"/>
      <c r="P74" s="1118"/>
      <c r="Q74" s="1118"/>
      <c r="AA74" s="2137"/>
      <c r="AB74" s="1119"/>
      <c r="AC74" s="1119"/>
      <c r="AD74" s="1119"/>
      <c r="AE74" s="1119"/>
      <c r="AF74" s="1119"/>
      <c r="AG74" s="1119"/>
      <c r="AH74" s="2137"/>
      <c r="AI74" s="2137"/>
      <c r="AJ74" s="2137"/>
      <c r="AK74" s="2137"/>
    </row>
    <row r="75" spans="1:37" ht="14.25">
      <c r="A75" s="2126" t="s">
        <v>2067</v>
      </c>
      <c r="B75" s="2130">
        <f>估价对象房地状况!C24</f>
        <v>0</v>
      </c>
      <c r="C75" s="2040"/>
      <c r="D75" s="1064">
        <f t="shared" si="17"/>
        <v>0</v>
      </c>
      <c r="E75" s="746"/>
      <c r="F75" s="1812"/>
      <c r="G75" s="1062"/>
      <c r="H75" s="1065" t="str">
        <f t="shared" si="18"/>
        <v>——</v>
      </c>
      <c r="I75" s="3357">
        <v>0.05</v>
      </c>
      <c r="J75" s="1063">
        <f t="shared" si="19"/>
        <v>0</v>
      </c>
      <c r="K75" s="1063">
        <f t="shared" si="20"/>
        <v>0</v>
      </c>
      <c r="L75" s="1063">
        <v>0</v>
      </c>
      <c r="M75" s="1063">
        <f t="shared" si="21"/>
        <v>0</v>
      </c>
      <c r="N75" s="1063">
        <f t="shared" si="21"/>
        <v>0</v>
      </c>
      <c r="O75" s="1118"/>
      <c r="P75" s="1118"/>
      <c r="Q75" s="1993"/>
      <c r="Z75" s="1994"/>
      <c r="AA75" s="2049"/>
      <c r="AG75" s="1120"/>
      <c r="AK75" s="2049"/>
    </row>
    <row r="76" spans="1:37" ht="24">
      <c r="A76" s="2126" t="s">
        <v>2059</v>
      </c>
      <c r="B76" s="1324" t="str">
        <f>估价对象房地状况!C21</f>
        <v>一般</v>
      </c>
      <c r="C76" s="2040"/>
      <c r="D76" s="1064">
        <f t="shared" si="17"/>
        <v>0</v>
      </c>
      <c r="E76" s="746"/>
      <c r="F76" s="1812"/>
      <c r="G76" s="1062"/>
      <c r="H76" s="1065" t="str">
        <f t="shared" si="18"/>
        <v>——</v>
      </c>
      <c r="I76" s="3357">
        <v>0.08</v>
      </c>
      <c r="J76" s="1063">
        <f t="shared" si="19"/>
        <v>0</v>
      </c>
      <c r="K76" s="1063">
        <f t="shared" si="20"/>
        <v>0</v>
      </c>
      <c r="L76" s="1063">
        <v>0</v>
      </c>
      <c r="M76" s="1063">
        <f t="shared" si="21"/>
        <v>0</v>
      </c>
      <c r="N76" s="1063">
        <f t="shared" si="21"/>
        <v>0</v>
      </c>
      <c r="O76" s="1118"/>
      <c r="P76" s="1118"/>
      <c r="Z76" s="1994"/>
      <c r="AA76" s="2049"/>
      <c r="AG76" s="1120"/>
      <c r="AK76" s="2049"/>
    </row>
    <row r="77" spans="1:37" ht="24">
      <c r="A77" s="2126" t="s">
        <v>2060</v>
      </c>
      <c r="B77" s="1324" t="str">
        <f>估价对象房地状况!C22</f>
        <v>七通</v>
      </c>
      <c r="C77" s="2040"/>
      <c r="D77" s="1064">
        <f t="shared" si="17"/>
        <v>0</v>
      </c>
      <c r="E77" s="746"/>
      <c r="F77" s="1812"/>
      <c r="G77" s="1062"/>
      <c r="H77" s="1065" t="str">
        <f t="shared" si="18"/>
        <v>——</v>
      </c>
      <c r="I77" s="3357">
        <v>0.09</v>
      </c>
      <c r="J77" s="1063">
        <f t="shared" si="19"/>
        <v>0</v>
      </c>
      <c r="K77" s="1063">
        <f t="shared" si="20"/>
        <v>0</v>
      </c>
      <c r="L77" s="1063">
        <v>0</v>
      </c>
      <c r="M77" s="1063">
        <f t="shared" si="21"/>
        <v>0</v>
      </c>
      <c r="N77" s="1063">
        <f t="shared" si="21"/>
        <v>0</v>
      </c>
      <c r="O77" s="1118"/>
      <c r="P77" s="1118"/>
      <c r="Z77" s="1994"/>
      <c r="AA77" s="2049"/>
      <c r="AG77" s="1120"/>
      <c r="AK77" s="2049"/>
    </row>
    <row r="78" spans="1:37" ht="24">
      <c r="A78" s="2126" t="s">
        <v>2057</v>
      </c>
      <c r="B78" s="2132" t="s">
        <v>2058</v>
      </c>
      <c r="C78" s="2040"/>
      <c r="D78" s="1064">
        <f t="shared" si="17"/>
        <v>0</v>
      </c>
      <c r="E78" s="746"/>
      <c r="F78" s="1812"/>
      <c r="G78" s="1062"/>
      <c r="H78" s="1065" t="str">
        <f t="shared" si="18"/>
        <v>——</v>
      </c>
      <c r="I78" s="3357">
        <v>0.05</v>
      </c>
      <c r="J78" s="1063">
        <f t="shared" si="19"/>
        <v>0</v>
      </c>
      <c r="K78" s="1063">
        <f t="shared" si="20"/>
        <v>0</v>
      </c>
      <c r="L78" s="1063">
        <v>0</v>
      </c>
      <c r="M78" s="1063">
        <f t="shared" si="21"/>
        <v>0</v>
      </c>
      <c r="N78" s="1063">
        <f t="shared" si="21"/>
        <v>0</v>
      </c>
      <c r="O78" s="1993"/>
      <c r="P78" s="1993"/>
      <c r="Z78" s="1994"/>
      <c r="AA78" s="2049"/>
      <c r="AG78" s="1120"/>
      <c r="AK78" s="2049"/>
    </row>
    <row r="79" spans="1:37" ht="24">
      <c r="A79" s="2126" t="s">
        <v>2061</v>
      </c>
      <c r="B79" s="2129" t="str">
        <f>估价对象房地状况!C20</f>
        <v>一般</v>
      </c>
      <c r="C79" s="2040"/>
      <c r="D79" s="1064">
        <f t="shared" si="17"/>
        <v>0</v>
      </c>
      <c r="E79" s="746"/>
      <c r="F79" s="1812"/>
      <c r="G79" s="1062"/>
      <c r="H79" s="1065" t="str">
        <f t="shared" si="18"/>
        <v>——</v>
      </c>
      <c r="I79" s="3357">
        <v>0.12</v>
      </c>
      <c r="J79" s="1063">
        <f t="shared" si="19"/>
        <v>0</v>
      </c>
      <c r="K79" s="1063">
        <f t="shared" si="20"/>
        <v>0</v>
      </c>
      <c r="L79" s="1063">
        <v>0</v>
      </c>
      <c r="M79" s="1063">
        <f t="shared" si="21"/>
        <v>0</v>
      </c>
      <c r="N79" s="1063">
        <f t="shared" si="21"/>
        <v>0</v>
      </c>
      <c r="Z79" s="1994"/>
      <c r="AA79" s="2049"/>
      <c r="AG79" s="1120"/>
      <c r="AK79" s="2049"/>
    </row>
    <row r="80" spans="1:37" ht="24.75" thickBot="1">
      <c r="A80" s="2134" t="s">
        <v>2068</v>
      </c>
      <c r="B80" s="2138"/>
      <c r="C80" s="2040"/>
      <c r="D80" s="1064">
        <f t="shared" si="17"/>
        <v>0</v>
      </c>
      <c r="E80" s="747"/>
      <c r="F80" s="1812"/>
      <c r="G80" s="1062"/>
      <c r="H80" s="1065" t="str">
        <f t="shared" si="18"/>
        <v>——</v>
      </c>
      <c r="I80" s="3358">
        <v>0.05</v>
      </c>
      <c r="J80" s="1063">
        <f t="shared" si="19"/>
        <v>0</v>
      </c>
      <c r="K80" s="1063">
        <f t="shared" si="20"/>
        <v>0</v>
      </c>
      <c r="L80" s="1063">
        <v>0</v>
      </c>
      <c r="M80" s="1063">
        <f t="shared" si="21"/>
        <v>0</v>
      </c>
      <c r="N80" s="1063">
        <f t="shared" si="21"/>
        <v>0</v>
      </c>
      <c r="Z80" s="1994"/>
      <c r="AA80" s="2049"/>
      <c r="AG80" s="1120"/>
      <c r="AK80" s="2049"/>
    </row>
    <row r="81" spans="1:37" ht="15">
      <c r="A81" s="2122" t="s">
        <v>2069</v>
      </c>
      <c r="B81" s="2123">
        <f>1+E83</f>
        <v>1</v>
      </c>
      <c r="C81" s="740"/>
      <c r="D81" s="740"/>
      <c r="E81" s="741"/>
      <c r="F81" s="2125"/>
      <c r="G81" s="3"/>
      <c r="H81" s="3"/>
      <c r="I81" s="3"/>
      <c r="J81" s="4"/>
      <c r="K81" s="4"/>
      <c r="L81" s="4"/>
      <c r="M81" s="4"/>
      <c r="N81" s="4"/>
      <c r="Z81" s="1994"/>
      <c r="AA81" s="2049"/>
      <c r="AG81" s="1120"/>
      <c r="AK81" s="2049"/>
    </row>
    <row r="82" spans="1:37" ht="24.75">
      <c r="A82" s="2126" t="s">
        <v>2044</v>
      </c>
      <c r="B82" s="1349"/>
      <c r="C82" s="1349" t="s">
        <v>2046</v>
      </c>
      <c r="D82" s="1349" t="s">
        <v>2047</v>
      </c>
      <c r="E82" s="742" t="s">
        <v>2048</v>
      </c>
      <c r="F82" s="2127" t="s">
        <v>2063</v>
      </c>
      <c r="G82" s="1349" t="s">
        <v>310</v>
      </c>
      <c r="H82" s="2128" t="s">
        <v>2050</v>
      </c>
      <c r="I82" s="1349" t="s">
        <v>2051</v>
      </c>
      <c r="J82" s="552" t="s">
        <v>1721</v>
      </c>
      <c r="K82" s="552" t="s">
        <v>1722</v>
      </c>
      <c r="L82" s="552" t="s">
        <v>1723</v>
      </c>
      <c r="M82" s="552" t="s">
        <v>1724</v>
      </c>
      <c r="N82" s="552" t="s">
        <v>1725</v>
      </c>
      <c r="Z82" s="1994"/>
      <c r="AA82" s="2049"/>
      <c r="AG82" s="1120"/>
      <c r="AK82" s="2049"/>
    </row>
    <row r="83" spans="1:37" ht="24">
      <c r="A83" s="2126" t="s">
        <v>2070</v>
      </c>
      <c r="B83" s="2130" t="str">
        <f>估价对象房地状况!G15</f>
        <v>较好</v>
      </c>
      <c r="C83" s="2040"/>
      <c r="D83" s="1064">
        <f t="shared" ref="D83:D90" si="22">SUMIF($J$82:$N$82,C83,J83:N83)</f>
        <v>0</v>
      </c>
      <c r="E83" s="743">
        <f>ROUND(SUM(D83:D90),4)</f>
        <v>0</v>
      </c>
      <c r="F83" s="1812" t="str">
        <f>IF(E2="工业",SUMIF(L1:L12,G2,N1:N12),"——")</f>
        <v>——</v>
      </c>
      <c r="G83" s="1062"/>
      <c r="H83" s="1065" t="str">
        <f t="shared" ref="H83:H90" si="23">IFERROR(ROUNDDOWN($F$83*I83/2,4),"——")</f>
        <v>——</v>
      </c>
      <c r="I83" s="3357">
        <v>0.26</v>
      </c>
      <c r="J83" s="1063">
        <f t="shared" ref="J83:J90" si="24">K83+$G83</f>
        <v>0</v>
      </c>
      <c r="K83" s="1063">
        <f t="shared" ref="K83:K90" si="25">$L83+$G83</f>
        <v>0</v>
      </c>
      <c r="L83" s="1063">
        <v>0</v>
      </c>
      <c r="M83" s="1063">
        <f t="shared" ref="M83:N90" si="26">L83-$G83</f>
        <v>0</v>
      </c>
      <c r="N83" s="1063">
        <f t="shared" si="26"/>
        <v>0</v>
      </c>
      <c r="Z83" s="1994"/>
      <c r="AA83" s="2049"/>
      <c r="AG83" s="1120"/>
      <c r="AK83" s="2049"/>
    </row>
    <row r="84" spans="1:37" ht="14.25">
      <c r="A84" s="2126" t="s">
        <v>2053</v>
      </c>
      <c r="B84" s="2130" t="str">
        <f>估价对象房地状况!G16</f>
        <v>较好</v>
      </c>
      <c r="C84" s="2040"/>
      <c r="D84" s="1064">
        <f t="shared" si="22"/>
        <v>0</v>
      </c>
      <c r="E84" s="746"/>
      <c r="F84" s="1812"/>
      <c r="G84" s="1062"/>
      <c r="H84" s="1065" t="str">
        <f t="shared" si="23"/>
        <v>——</v>
      </c>
      <c r="I84" s="3357">
        <v>0.3</v>
      </c>
      <c r="J84" s="1063">
        <f t="shared" si="24"/>
        <v>0</v>
      </c>
      <c r="K84" s="1063">
        <f t="shared" si="25"/>
        <v>0</v>
      </c>
      <c r="L84" s="1063">
        <v>0</v>
      </c>
      <c r="M84" s="1063">
        <f t="shared" si="26"/>
        <v>0</v>
      </c>
      <c r="N84" s="1063">
        <f t="shared" si="26"/>
        <v>0</v>
      </c>
      <c r="Z84" s="1994"/>
      <c r="AA84" s="2049"/>
      <c r="AG84" s="1120"/>
      <c r="AK84" s="2049"/>
    </row>
    <row r="85" spans="1:37" ht="36">
      <c r="A85" s="3359" t="s">
        <v>3266</v>
      </c>
      <c r="B85" s="2130" t="str">
        <f>估价对象房地状况!G17</f>
        <v>较好</v>
      </c>
      <c r="C85" s="2040"/>
      <c r="D85" s="1064">
        <f t="shared" si="22"/>
        <v>0</v>
      </c>
      <c r="E85" s="746"/>
      <c r="F85" s="1812"/>
      <c r="G85" s="1062"/>
      <c r="H85" s="1065" t="str">
        <f t="shared" si="23"/>
        <v>——</v>
      </c>
      <c r="I85" s="3357">
        <v>0.1</v>
      </c>
      <c r="J85" s="1063">
        <f t="shared" si="24"/>
        <v>0</v>
      </c>
      <c r="K85" s="1063">
        <f t="shared" si="25"/>
        <v>0</v>
      </c>
      <c r="L85" s="1063">
        <v>0</v>
      </c>
      <c r="M85" s="1063">
        <f t="shared" si="26"/>
        <v>0</v>
      </c>
      <c r="N85" s="1063">
        <f t="shared" si="26"/>
        <v>0</v>
      </c>
      <c r="Z85" s="1994"/>
      <c r="AA85" s="2049"/>
      <c r="AG85" s="1120"/>
      <c r="AK85" s="2049"/>
    </row>
    <row r="86" spans="1:37" ht="14.25">
      <c r="A86" s="2126" t="s">
        <v>2067</v>
      </c>
      <c r="B86" s="2130">
        <f>估价对象房地状况!G22</f>
        <v>0</v>
      </c>
      <c r="C86" s="2040"/>
      <c r="D86" s="1064">
        <f t="shared" si="22"/>
        <v>0</v>
      </c>
      <c r="E86" s="746"/>
      <c r="F86" s="1812"/>
      <c r="G86" s="1062"/>
      <c r="H86" s="1065" t="str">
        <f t="shared" si="23"/>
        <v>——</v>
      </c>
      <c r="I86" s="3357">
        <v>0.05</v>
      </c>
      <c r="J86" s="1063">
        <f t="shared" si="24"/>
        <v>0</v>
      </c>
      <c r="K86" s="1063">
        <f t="shared" si="25"/>
        <v>0</v>
      </c>
      <c r="L86" s="1063">
        <v>0</v>
      </c>
      <c r="M86" s="1063">
        <f t="shared" si="26"/>
        <v>0</v>
      </c>
      <c r="N86" s="1063">
        <f t="shared" si="26"/>
        <v>0</v>
      </c>
      <c r="Z86" s="1994"/>
      <c r="AA86" s="2049"/>
      <c r="AG86" s="1120"/>
      <c r="AK86" s="2049"/>
    </row>
    <row r="87" spans="1:37" ht="24">
      <c r="A87" s="2126" t="s">
        <v>2059</v>
      </c>
      <c r="B87" s="1324" t="str">
        <f>估价对象房地状况!G19</f>
        <v>较好</v>
      </c>
      <c r="C87" s="2040"/>
      <c r="D87" s="1064">
        <f t="shared" si="22"/>
        <v>0</v>
      </c>
      <c r="E87" s="746"/>
      <c r="F87" s="1812"/>
      <c r="G87" s="1062"/>
      <c r="H87" s="1065" t="str">
        <f t="shared" si="23"/>
        <v>——</v>
      </c>
      <c r="I87" s="3357">
        <v>0.06</v>
      </c>
      <c r="J87" s="1063">
        <f t="shared" si="24"/>
        <v>0</v>
      </c>
      <c r="K87" s="1063">
        <f t="shared" si="25"/>
        <v>0</v>
      </c>
      <c r="L87" s="1063">
        <v>0</v>
      </c>
      <c r="M87" s="1063">
        <f t="shared" si="26"/>
        <v>0</v>
      </c>
      <c r="N87" s="1063">
        <f t="shared" si="26"/>
        <v>0</v>
      </c>
    </row>
    <row r="88" spans="1:37" ht="24">
      <c r="A88" s="2126" t="s">
        <v>2060</v>
      </c>
      <c r="B88" s="1324" t="str">
        <f>估价对象房地状况!G20</f>
        <v>七通</v>
      </c>
      <c r="C88" s="2040"/>
      <c r="D88" s="1064">
        <f t="shared" si="22"/>
        <v>0</v>
      </c>
      <c r="E88" s="746"/>
      <c r="F88" s="1812"/>
      <c r="G88" s="1062"/>
      <c r="H88" s="1065" t="str">
        <f t="shared" si="23"/>
        <v>——</v>
      </c>
      <c r="I88" s="3357">
        <v>0.12</v>
      </c>
      <c r="J88" s="1063">
        <f t="shared" si="24"/>
        <v>0</v>
      </c>
      <c r="K88" s="1063">
        <f t="shared" si="25"/>
        <v>0</v>
      </c>
      <c r="L88" s="1063">
        <v>0</v>
      </c>
      <c r="M88" s="1063">
        <f t="shared" si="26"/>
        <v>0</v>
      </c>
      <c r="N88" s="1063">
        <f t="shared" si="26"/>
        <v>0</v>
      </c>
    </row>
    <row r="89" spans="1:37" ht="24">
      <c r="A89" s="2126" t="s">
        <v>2057</v>
      </c>
      <c r="B89" s="2132" t="s">
        <v>2071</v>
      </c>
      <c r="C89" s="2040"/>
      <c r="D89" s="1064">
        <f t="shared" si="22"/>
        <v>0</v>
      </c>
      <c r="E89" s="746"/>
      <c r="F89" s="1812"/>
      <c r="G89" s="1062"/>
      <c r="H89" s="1065" t="str">
        <f t="shared" si="23"/>
        <v>——</v>
      </c>
      <c r="I89" s="3357">
        <v>0.06</v>
      </c>
      <c r="J89" s="1063">
        <f t="shared" si="24"/>
        <v>0</v>
      </c>
      <c r="K89" s="1063">
        <f t="shared" si="25"/>
        <v>0</v>
      </c>
      <c r="L89" s="1063">
        <v>0</v>
      </c>
      <c r="M89" s="1063">
        <f t="shared" si="26"/>
        <v>0</v>
      </c>
      <c r="N89" s="1063">
        <f t="shared" si="26"/>
        <v>0</v>
      </c>
    </row>
    <row r="90" spans="1:37" ht="15" thickBot="1">
      <c r="A90" s="2134" t="s">
        <v>2072</v>
      </c>
      <c r="B90" s="2139" t="str">
        <f>估价对象房地状况!G18</f>
        <v>较好</v>
      </c>
      <c r="C90" s="2040"/>
      <c r="D90" s="1064">
        <f t="shared" si="22"/>
        <v>0</v>
      </c>
      <c r="E90" s="747"/>
      <c r="F90" s="1812"/>
      <c r="G90" s="1062"/>
      <c r="H90" s="1065" t="str">
        <f t="shared" si="23"/>
        <v>——</v>
      </c>
      <c r="I90" s="3358">
        <v>0.05</v>
      </c>
      <c r="J90" s="1063">
        <f t="shared" si="24"/>
        <v>0</v>
      </c>
      <c r="K90" s="1063">
        <f t="shared" si="25"/>
        <v>0</v>
      </c>
      <c r="L90" s="1063">
        <v>0</v>
      </c>
      <c r="M90" s="1063">
        <f t="shared" si="26"/>
        <v>0</v>
      </c>
      <c r="N90" s="1063">
        <f t="shared" si="26"/>
        <v>0</v>
      </c>
    </row>
    <row r="91" spans="1:37" ht="15">
      <c r="A91" s="3367" t="s">
        <v>2607</v>
      </c>
      <c r="B91" s="3368">
        <f>1+E93</f>
        <v>1</v>
      </c>
      <c r="C91" s="3361"/>
      <c r="D91" s="3362"/>
      <c r="E91" s="1812"/>
      <c r="F91" s="1812"/>
      <c r="G91" s="3363"/>
      <c r="H91" s="3364"/>
      <c r="I91" s="3365"/>
      <c r="J91" s="3366"/>
      <c r="K91" s="3366"/>
      <c r="L91" s="3366"/>
      <c r="M91" s="3366"/>
      <c r="N91" s="3366"/>
    </row>
    <row r="92" spans="1:37" ht="24.75">
      <c r="A92" s="3369" t="s">
        <v>3267</v>
      </c>
      <c r="B92" s="3356"/>
      <c r="C92" s="3356" t="s">
        <v>3276</v>
      </c>
      <c r="D92" s="3356" t="s">
        <v>3277</v>
      </c>
      <c r="E92" s="3338" t="s">
        <v>3278</v>
      </c>
      <c r="F92" s="3371" t="s">
        <v>3279</v>
      </c>
      <c r="G92" s="3356" t="s">
        <v>3280</v>
      </c>
      <c r="H92" s="3378" t="s">
        <v>3283</v>
      </c>
      <c r="I92" s="3356" t="s">
        <v>3284</v>
      </c>
      <c r="J92" s="3379" t="s">
        <v>3285</v>
      </c>
      <c r="K92" s="3379" t="s">
        <v>3286</v>
      </c>
      <c r="L92" s="3379" t="s">
        <v>3287</v>
      </c>
      <c r="M92" s="3379" t="s">
        <v>3288</v>
      </c>
      <c r="N92" s="3379" t="s">
        <v>3289</v>
      </c>
    </row>
    <row r="93" spans="1:37" ht="24">
      <c r="A93" s="3359" t="s">
        <v>3268</v>
      </c>
      <c r="B93" s="1304"/>
      <c r="C93" s="2040"/>
      <c r="D93" s="3356">
        <f>SUMIF($J$92:$N$92,C93,J93:N93)</f>
        <v>0</v>
      </c>
      <c r="E93" s="3372">
        <f>ROUND(SUM(D93:D101),4)</f>
        <v>0</v>
      </c>
      <c r="F93" s="1812"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3269</v>
      </c>
      <c r="B94" s="3360" t="str">
        <f>估价对象房地状况!C18</f>
        <v>一般</v>
      </c>
      <c r="C94" s="2040"/>
      <c r="D94" s="3356">
        <f t="shared" ref="D94:D101" si="30">SUMIF($J$60:$N$60,C94,J94:N94)</f>
        <v>0</v>
      </c>
      <c r="E94" s="3373"/>
      <c r="F94" s="1812"/>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3265</v>
      </c>
      <c r="B95" s="3360" t="str">
        <f>估价对象房地状况!C19</f>
        <v>较好</v>
      </c>
      <c r="C95" s="2040"/>
      <c r="D95" s="3356">
        <f t="shared" si="30"/>
        <v>0</v>
      </c>
      <c r="E95" s="3373"/>
      <c r="F95" s="1812"/>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3270</v>
      </c>
      <c r="B96" s="3375" t="s">
        <v>3281</v>
      </c>
      <c r="C96" s="2040"/>
      <c r="D96" s="3356">
        <f t="shared" si="30"/>
        <v>0</v>
      </c>
      <c r="E96" s="3373"/>
      <c r="F96" s="1812"/>
      <c r="G96" s="3363"/>
      <c r="H96" s="3411" t="str">
        <f t="shared" si="31"/>
        <v>——</v>
      </c>
      <c r="I96" s="3357">
        <v>0.05</v>
      </c>
      <c r="J96" s="3335">
        <f t="shared" si="27"/>
        <v>0</v>
      </c>
      <c r="K96" s="3335">
        <f t="shared" si="28"/>
        <v>0</v>
      </c>
      <c r="L96" s="3335">
        <v>0</v>
      </c>
      <c r="M96" s="3335">
        <f t="shared" si="29"/>
        <v>0</v>
      </c>
      <c r="N96" s="3335">
        <f t="shared" si="29"/>
        <v>0</v>
      </c>
    </row>
    <row r="97" spans="1:14" ht="24">
      <c r="A97" s="3369" t="s">
        <v>3271</v>
      </c>
      <c r="B97" s="3360">
        <f>估价对象房地状况!C24</f>
        <v>0</v>
      </c>
      <c r="C97" s="2040"/>
      <c r="D97" s="3356">
        <f t="shared" si="30"/>
        <v>0</v>
      </c>
      <c r="E97" s="3373"/>
      <c r="F97" s="1812"/>
      <c r="G97" s="3363"/>
      <c r="H97" s="3411" t="str">
        <f t="shared" si="31"/>
        <v>——</v>
      </c>
      <c r="I97" s="3357">
        <v>0.05</v>
      </c>
      <c r="J97" s="3335">
        <f t="shared" si="27"/>
        <v>0</v>
      </c>
      <c r="K97" s="3335">
        <f t="shared" si="28"/>
        <v>0</v>
      </c>
      <c r="L97" s="3335">
        <v>0</v>
      </c>
      <c r="M97" s="3335">
        <f t="shared" si="29"/>
        <v>0</v>
      </c>
      <c r="N97" s="3335">
        <f t="shared" si="29"/>
        <v>0</v>
      </c>
    </row>
    <row r="98" spans="1:14" ht="24">
      <c r="A98" s="3369" t="s">
        <v>3272</v>
      </c>
      <c r="B98" s="3376" t="s">
        <v>3282</v>
      </c>
      <c r="C98" s="2040"/>
      <c r="D98" s="3356">
        <f t="shared" si="30"/>
        <v>0</v>
      </c>
      <c r="E98" s="3373"/>
      <c r="F98" s="1812"/>
      <c r="G98" s="3363"/>
      <c r="H98" s="3411" t="str">
        <f t="shared" si="31"/>
        <v>——</v>
      </c>
      <c r="I98" s="3357">
        <v>0.06</v>
      </c>
      <c r="J98" s="3335">
        <f t="shared" si="27"/>
        <v>0</v>
      </c>
      <c r="K98" s="3335">
        <f t="shared" si="28"/>
        <v>0</v>
      </c>
      <c r="L98" s="3335">
        <v>0</v>
      </c>
      <c r="M98" s="3335">
        <f t="shared" si="29"/>
        <v>0</v>
      </c>
      <c r="N98" s="3335">
        <f t="shared" si="29"/>
        <v>0</v>
      </c>
    </row>
    <row r="99" spans="1:14" ht="24">
      <c r="A99" s="3369" t="s">
        <v>3273</v>
      </c>
      <c r="B99" s="3360" t="str">
        <f>估价对象房地状况!C21</f>
        <v>一般</v>
      </c>
      <c r="C99" s="2040"/>
      <c r="D99" s="3356">
        <f t="shared" si="30"/>
        <v>0</v>
      </c>
      <c r="E99" s="3373"/>
      <c r="F99" s="1812"/>
      <c r="G99" s="3363"/>
      <c r="H99" s="3411" t="str">
        <f t="shared" si="31"/>
        <v>——</v>
      </c>
      <c r="I99" s="3357">
        <v>0.06</v>
      </c>
      <c r="J99" s="3335">
        <f t="shared" si="27"/>
        <v>0</v>
      </c>
      <c r="K99" s="3335">
        <f t="shared" si="28"/>
        <v>0</v>
      </c>
      <c r="L99" s="3335">
        <v>0</v>
      </c>
      <c r="M99" s="3335">
        <f t="shared" si="29"/>
        <v>0</v>
      </c>
      <c r="N99" s="3335">
        <f t="shared" si="29"/>
        <v>0</v>
      </c>
    </row>
    <row r="100" spans="1:14" ht="24">
      <c r="A100" s="3369" t="s">
        <v>3274</v>
      </c>
      <c r="B100" s="3360" t="str">
        <f>估价对象房地状况!C22</f>
        <v>七通</v>
      </c>
      <c r="C100" s="2040"/>
      <c r="D100" s="3356">
        <f t="shared" si="30"/>
        <v>0</v>
      </c>
      <c r="E100" s="3373"/>
      <c r="F100" s="1812"/>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3275</v>
      </c>
      <c r="B101" s="3377" t="str">
        <f>估价对象房地状况!C20</f>
        <v>一般</v>
      </c>
      <c r="C101" s="2040"/>
      <c r="D101" s="3356">
        <f t="shared" si="30"/>
        <v>0</v>
      </c>
      <c r="E101" s="3374"/>
      <c r="F101" s="1812"/>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81" t="s">
        <v>3290</v>
      </c>
      <c r="B103" s="3781"/>
      <c r="C103" s="3781"/>
      <c r="D103" s="3781"/>
      <c r="E103" s="3781"/>
      <c r="F103" s="3781"/>
      <c r="G103" s="3781"/>
      <c r="H103" s="3781"/>
      <c r="I103" s="3781"/>
      <c r="J103" s="3781"/>
      <c r="K103" s="3380"/>
      <c r="L103" s="3380"/>
      <c r="M103" s="3380"/>
      <c r="N103" s="3380"/>
    </row>
    <row r="104" spans="1:14">
      <c r="A104" s="3782" t="s">
        <v>3291</v>
      </c>
      <c r="B104" s="3782" t="s">
        <v>3292</v>
      </c>
      <c r="C104" s="3381" t="s">
        <v>3293</v>
      </c>
      <c r="D104" s="3382"/>
      <c r="E104" s="3382"/>
      <c r="F104" s="3382"/>
      <c r="G104" s="3382"/>
      <c r="H104" s="3382"/>
      <c r="I104" s="3382"/>
      <c r="J104" s="3383"/>
      <c r="K104" s="3384"/>
      <c r="L104" s="3384"/>
      <c r="M104" s="3384"/>
      <c r="N104" s="3384"/>
    </row>
    <row r="105" spans="1:14">
      <c r="A105" s="3782"/>
      <c r="B105" s="3782"/>
      <c r="C105" s="3385" t="s">
        <v>3294</v>
      </c>
      <c r="D105" s="3385" t="s">
        <v>3295</v>
      </c>
      <c r="E105" s="3385" t="s">
        <v>3296</v>
      </c>
      <c r="F105" s="3385" t="s">
        <v>3297</v>
      </c>
      <c r="G105" s="3385" t="s">
        <v>3298</v>
      </c>
      <c r="H105" s="3385" t="s">
        <v>3299</v>
      </c>
      <c r="I105" s="3385" t="s">
        <v>3300</v>
      </c>
      <c r="J105" s="3385" t="s">
        <v>3301</v>
      </c>
      <c r="K105" s="3385" t="s">
        <v>3302</v>
      </c>
      <c r="L105" s="3385" t="s">
        <v>3303</v>
      </c>
      <c r="M105" s="3385" t="s">
        <v>3304</v>
      </c>
      <c r="N105" s="3385" t="s">
        <v>3305</v>
      </c>
    </row>
    <row r="106" spans="1:14">
      <c r="A106" s="3768" t="s">
        <v>3306</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69"/>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69"/>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69"/>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69"/>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69"/>
      <c r="B111" s="3385" t="s">
        <v>3264</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70"/>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71" t="s">
        <v>3307</v>
      </c>
      <c r="B113" s="3771"/>
      <c r="C113" s="3771"/>
      <c r="D113" s="3771"/>
      <c r="E113" s="3771"/>
      <c r="F113" s="3771"/>
      <c r="G113" s="3771"/>
      <c r="H113" s="3771"/>
      <c r="I113" s="3771"/>
      <c r="J113" s="3771"/>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3308</v>
      </c>
      <c r="B116" s="3406" t="e">
        <f>G3</f>
        <v>#DIV/0!</v>
      </c>
      <c r="C116" s="3390" t="s">
        <v>3309</v>
      </c>
      <c r="D116" s="3391" t="e">
        <f>SUMPRODUCT((A118:A122=F116)*(B117:M117=H116)*B118:M122)</f>
        <v>#DIV/0!</v>
      </c>
      <c r="E116" s="1996" t="s">
        <v>3310</v>
      </c>
      <c r="F116" s="3392" t="str">
        <f>E2</f>
        <v>办公</v>
      </c>
      <c r="G116" s="1996" t="s">
        <v>3311</v>
      </c>
      <c r="H116" s="3392" t="str">
        <f>G2</f>
        <v>七级</v>
      </c>
      <c r="I116" s="1996"/>
      <c r="J116" s="3393"/>
      <c r="K116" s="3393"/>
      <c r="L116" s="3393"/>
      <c r="M116" s="3393"/>
      <c r="N116" s="3388"/>
    </row>
    <row r="117" spans="1:14">
      <c r="A117" s="3394"/>
      <c r="B117" s="3395" t="s">
        <v>3312</v>
      </c>
      <c r="C117" s="3395" t="s">
        <v>3313</v>
      </c>
      <c r="D117" s="3395" t="s">
        <v>3314</v>
      </c>
      <c r="E117" s="3396" t="s">
        <v>3315</v>
      </c>
      <c r="F117" s="3396" t="s">
        <v>3316</v>
      </c>
      <c r="G117" s="3396" t="s">
        <v>3317</v>
      </c>
      <c r="H117" s="3397" t="s">
        <v>3318</v>
      </c>
      <c r="I117" s="3397" t="s">
        <v>3319</v>
      </c>
      <c r="J117" s="3398" t="s">
        <v>3320</v>
      </c>
      <c r="K117" s="3398" t="s">
        <v>3321</v>
      </c>
      <c r="L117" s="3398" t="s">
        <v>3322</v>
      </c>
      <c r="M117" s="3399" t="s">
        <v>3323</v>
      </c>
      <c r="N117" s="3388"/>
    </row>
    <row r="118" spans="1:14">
      <c r="A118" s="3400" t="s">
        <v>3324</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3325</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3326</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3327</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2607</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M59" sqref="M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40528</v>
      </c>
      <c r="C2" s="906"/>
      <c r="D2" s="906"/>
      <c r="E2" s="907"/>
      <c r="F2" s="908"/>
      <c r="G2" s="907"/>
      <c r="H2" s="907"/>
      <c r="I2" s="907"/>
      <c r="J2" s="907"/>
      <c r="K2" s="909"/>
      <c r="L2" s="2724"/>
      <c r="M2" s="2725"/>
      <c r="N2" s="2725"/>
      <c r="O2" s="272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11463</v>
      </c>
      <c r="C3" s="203" t="s">
        <v>1869</v>
      </c>
      <c r="D3" s="1191"/>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30" ht="15">
      <c r="A4" s="355" t="s">
        <v>1769</v>
      </c>
      <c r="B4" s="356"/>
      <c r="C4" s="3806" t="s">
        <v>1770</v>
      </c>
      <c r="D4" s="3807"/>
      <c r="E4" s="3808" t="s">
        <v>1771</v>
      </c>
      <c r="F4" s="3809"/>
      <c r="G4" s="3806" t="s">
        <v>1772</v>
      </c>
      <c r="H4" s="3807"/>
      <c r="I4" s="3806" t="s">
        <v>1773</v>
      </c>
      <c r="J4" s="3807"/>
      <c r="K4" s="559" t="s">
        <v>1774</v>
      </c>
      <c r="L4" s="2705"/>
      <c r="M4" s="2706"/>
      <c r="N4" s="2706"/>
      <c r="O4" s="2706"/>
      <c r="P4" s="3810" t="s">
        <v>1775</v>
      </c>
      <c r="Q4" s="3811"/>
      <c r="R4" s="3792" t="s">
        <v>1771</v>
      </c>
      <c r="S4" s="3793"/>
      <c r="T4" s="3792" t="s">
        <v>1772</v>
      </c>
      <c r="U4" s="3793"/>
      <c r="V4" s="3818" t="s">
        <v>1773</v>
      </c>
      <c r="W4" s="3818"/>
      <c r="X4" s="1353"/>
      <c r="Y4" s="3792" t="s">
        <v>1775</v>
      </c>
      <c r="Z4" s="3793"/>
      <c r="AA4" s="3787" t="s">
        <v>1771</v>
      </c>
      <c r="AB4" s="3788" t="s">
        <v>1772</v>
      </c>
      <c r="AC4" s="3787" t="s">
        <v>1773</v>
      </c>
    </row>
    <row r="5" spans="1:30" ht="48.75" customHeight="1">
      <c r="A5" s="358"/>
      <c r="B5" s="359"/>
      <c r="C5" s="3798">
        <f>项目基本情况!F10</f>
        <v>0</v>
      </c>
      <c r="D5" s="3799"/>
      <c r="E5" s="3796" t="str">
        <f>土地案例!A2</f>
        <v>北京经济技术开发区亦庄新城0303街区C14C-3地块F3其他类多功能用地</v>
      </c>
      <c r="F5" s="3797"/>
      <c r="G5" s="3802" t="str">
        <f>土地案例!A3</f>
        <v>北京大兴国际机场临空经济区 DX12-0105-6006、6009 地块F3其他类多功能用地</v>
      </c>
      <c r="H5" s="3799"/>
      <c r="I5" s="3802" t="str">
        <f>土地案例!A4</f>
        <v>北京经济技术开发区亦庄新城0902街区JG01-07地块F3其他类多功能用地</v>
      </c>
      <c r="J5" s="3799"/>
      <c r="K5" s="559"/>
      <c r="L5" s="2705"/>
      <c r="M5" s="2706"/>
      <c r="N5" s="2706"/>
      <c r="O5" s="2706"/>
      <c r="P5" s="3812"/>
      <c r="Q5" s="3813"/>
      <c r="R5" s="3794"/>
      <c r="S5" s="3795"/>
      <c r="T5" s="3794"/>
      <c r="U5" s="3795"/>
      <c r="V5" s="3818"/>
      <c r="W5" s="3818"/>
      <c r="X5" s="1353"/>
      <c r="Y5" s="3794"/>
      <c r="Z5" s="3795"/>
      <c r="AA5" s="3788"/>
      <c r="AB5" s="3788"/>
      <c r="AC5" s="3788"/>
    </row>
    <row r="6" spans="1:30" ht="15.75" thickBot="1">
      <c r="A6" s="360"/>
      <c r="B6" s="361"/>
      <c r="C6" s="3800" t="s">
        <v>1677</v>
      </c>
      <c r="D6" s="3801"/>
      <c r="E6" s="3803" t="s">
        <v>1677</v>
      </c>
      <c r="F6" s="3804"/>
      <c r="G6" s="3800" t="s">
        <v>1677</v>
      </c>
      <c r="H6" s="3801"/>
      <c r="I6" s="3800" t="s">
        <v>1677</v>
      </c>
      <c r="J6" s="3801"/>
      <c r="K6" s="559" t="s">
        <v>1678</v>
      </c>
      <c r="L6" s="2705"/>
      <c r="M6" s="2706"/>
      <c r="N6" s="2706"/>
      <c r="O6" s="2706"/>
      <c r="P6" s="3814"/>
      <c r="Q6" s="3815"/>
      <c r="R6" s="3794"/>
      <c r="S6" s="3795"/>
      <c r="T6" s="3816"/>
      <c r="U6" s="3817"/>
      <c r="V6" s="3818"/>
      <c r="W6" s="3818"/>
      <c r="X6" s="1353"/>
      <c r="Y6" s="3816"/>
      <c r="Z6" s="3817"/>
      <c r="AA6" s="3789"/>
      <c r="AB6" s="3789"/>
      <c r="AC6" s="3789"/>
    </row>
    <row r="7" spans="1:30" s="108" customFormat="1" ht="15.75" thickBot="1">
      <c r="A7" s="362" t="s">
        <v>1679</v>
      </c>
      <c r="B7" s="363"/>
      <c r="C7" s="364">
        <f>'数据-取费表'!B2</f>
        <v>45160</v>
      </c>
      <c r="D7" s="365">
        <v>100</v>
      </c>
      <c r="E7" s="366">
        <f>土地案例!AC2</f>
        <v>44735.000497685185</v>
      </c>
      <c r="F7" s="367">
        <f>SUMIF(69:69,YEAR(E7)&amp;"-"&amp;INT((MONTH(E7)+2)/3),70:70)</f>
        <v>97.5</v>
      </c>
      <c r="G7" s="1970">
        <f>土地案例!AC3</f>
        <v>44680.000497685185</v>
      </c>
      <c r="H7" s="365">
        <f>SUMIF(69:69,YEAR(G7)&amp;"-"&amp;INT((MONTH(G7)+2)/3),70:70)</f>
        <v>97.5</v>
      </c>
      <c r="I7" s="1970">
        <f>土地案例!AC4</f>
        <v>44600.000497685185</v>
      </c>
      <c r="J7" s="365">
        <f>SUMIF(69:69,YEAR(I7)&amp;"-"&amp;INT((MONTH(I7)+2)/3),70:70)</f>
        <v>97</v>
      </c>
      <c r="K7" s="560"/>
      <c r="L7" s="2707"/>
      <c r="M7" s="2708"/>
      <c r="N7" s="2708"/>
      <c r="O7" s="2708"/>
      <c r="P7" s="3790" t="s">
        <v>1680</v>
      </c>
      <c r="Q7" s="3819"/>
      <c r="R7" s="701" t="s">
        <v>14</v>
      </c>
      <c r="S7" s="702">
        <f t="shared" ref="S7:S15" si="0">F7</f>
        <v>97.5</v>
      </c>
      <c r="T7" s="701" t="s">
        <v>14</v>
      </c>
      <c r="U7" s="702">
        <f t="shared" ref="U7:U15" si="1">H7</f>
        <v>97.5</v>
      </c>
      <c r="V7" s="701" t="s">
        <v>14</v>
      </c>
      <c r="W7" s="702">
        <f t="shared" ref="W7:W15" si="2">J7</f>
        <v>97</v>
      </c>
      <c r="X7" s="703"/>
      <c r="Y7" s="3790" t="s">
        <v>1680</v>
      </c>
      <c r="Z7" s="3791"/>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7"/>
      <c r="M8" s="2708"/>
      <c r="N8" s="2708"/>
      <c r="O8" s="2708"/>
      <c r="P8" s="3790" t="s">
        <v>1683</v>
      </c>
      <c r="Q8" s="3791"/>
      <c r="R8" s="701" t="s">
        <v>14</v>
      </c>
      <c r="S8" s="702">
        <f t="shared" si="0"/>
        <v>100</v>
      </c>
      <c r="T8" s="701" t="s">
        <v>14</v>
      </c>
      <c r="U8" s="702">
        <f t="shared" si="1"/>
        <v>100</v>
      </c>
      <c r="V8" s="701" t="s">
        <v>14</v>
      </c>
      <c r="W8" s="702">
        <f t="shared" si="2"/>
        <v>100</v>
      </c>
      <c r="X8" s="703"/>
      <c r="Y8" s="3790" t="s">
        <v>1683</v>
      </c>
      <c r="Z8" s="3791"/>
      <c r="AA8" s="704">
        <f t="shared" ref="AA8:AA45" si="3">D8/F8</f>
        <v>1</v>
      </c>
      <c r="AB8" s="704">
        <f t="shared" ref="AB8:AB45" si="4">D8/H8</f>
        <v>1</v>
      </c>
      <c r="AC8" s="704">
        <f t="shared" ref="AC8:AC45" si="5">D8/J8</f>
        <v>1</v>
      </c>
    </row>
    <row r="9" spans="1:30" s="108" customFormat="1">
      <c r="A9" s="369" t="s">
        <v>1684</v>
      </c>
      <c r="B9" s="63" t="s">
        <v>1685</v>
      </c>
      <c r="C9" s="1973" t="s">
        <v>3663</v>
      </c>
      <c r="D9" s="126">
        <v>100</v>
      </c>
      <c r="E9" s="1973" t="s">
        <v>3663</v>
      </c>
      <c r="F9" s="126">
        <f>SUMIF(74:74,E9,75:75)-SUMIF(74:74,C9,75:75)+100</f>
        <v>100</v>
      </c>
      <c r="G9" s="1973" t="s">
        <v>3663</v>
      </c>
      <c r="H9" s="126">
        <f>SUMIF(74:74,G9,75:75)-SUMIF(74:74,C9,75:75)+100</f>
        <v>100</v>
      </c>
      <c r="I9" s="1973" t="s">
        <v>3663</v>
      </c>
      <c r="J9" s="126">
        <f>SUMIF(74:74,I9,75:75)-SUMIF(74:74,C9,75:75)+100</f>
        <v>100</v>
      </c>
      <c r="K9" s="560"/>
      <c r="L9" s="2707"/>
      <c r="M9" s="2708"/>
      <c r="N9" s="2708"/>
      <c r="O9" s="2762"/>
      <c r="P9" s="3805"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3664</v>
      </c>
      <c r="F10" s="127">
        <f>ROUND(100/'数据-取费表'!G16,0)</f>
        <v>101</v>
      </c>
      <c r="G10" s="416" t="s">
        <v>3664</v>
      </c>
      <c r="H10" s="127">
        <f>ROUND(100/'数据-取费表'!G16,0)</f>
        <v>101</v>
      </c>
      <c r="I10" s="416" t="s">
        <v>3664</v>
      </c>
      <c r="J10" s="127">
        <f>ROUND(100/'数据-取费表'!G16,0)</f>
        <v>101</v>
      </c>
      <c r="K10" s="620"/>
      <c r="L10" s="2709"/>
      <c r="M10" s="2710"/>
      <c r="N10" s="2710"/>
      <c r="O10" s="2763"/>
      <c r="P10" s="3805"/>
      <c r="Q10" s="1341" t="str">
        <f t="shared" si="6"/>
        <v>土地使用年限（年）</v>
      </c>
      <c r="R10" s="701" t="s">
        <v>14</v>
      </c>
      <c r="S10" s="702">
        <f t="shared" si="0"/>
        <v>101</v>
      </c>
      <c r="T10" s="701" t="s">
        <v>14</v>
      </c>
      <c r="U10" s="702">
        <f t="shared" si="1"/>
        <v>101</v>
      </c>
      <c r="V10" s="701" t="s">
        <v>14</v>
      </c>
      <c r="W10" s="702">
        <f t="shared" si="2"/>
        <v>101</v>
      </c>
      <c r="X10" s="703"/>
      <c r="Y10" s="3741"/>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'数据-汇总表'!I7</f>
        <v>3.5</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11"/>
      <c r="M11" s="2706"/>
      <c r="N11" s="2706"/>
      <c r="O11" s="2764"/>
      <c r="P11" s="3805"/>
      <c r="Q11" s="1341" t="str">
        <f t="shared" si="6"/>
        <v>容积率</v>
      </c>
      <c r="R11" s="701" t="s">
        <v>14</v>
      </c>
      <c r="S11" s="702">
        <f t="shared" si="0"/>
        <v>94</v>
      </c>
      <c r="T11" s="701" t="s">
        <v>14</v>
      </c>
      <c r="U11" s="702">
        <f t="shared" si="1"/>
        <v>103</v>
      </c>
      <c r="V11" s="701" t="s">
        <v>14</v>
      </c>
      <c r="W11" s="702">
        <f t="shared" si="2"/>
        <v>100</v>
      </c>
      <c r="X11" s="703"/>
      <c r="Y11" s="3741"/>
      <c r="Z11" s="52" t="str">
        <f t="shared" si="7"/>
        <v>容积率</v>
      </c>
      <c r="AA11" s="704">
        <f t="shared" si="3"/>
        <v>1.0638297872340425</v>
      </c>
      <c r="AB11" s="704">
        <f t="shared" si="4"/>
        <v>0.970873786407767</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07"/>
      <c r="M12" s="2708"/>
      <c r="N12" s="2708"/>
      <c r="O12" s="2762"/>
      <c r="P12" s="3805"/>
      <c r="Q12" s="1341" t="str">
        <f t="shared" si="6"/>
        <v>配建</v>
      </c>
      <c r="R12" s="701" t="s">
        <v>14</v>
      </c>
      <c r="S12" s="702">
        <f t="shared" si="0"/>
        <v>100</v>
      </c>
      <c r="T12" s="701" t="s">
        <v>14</v>
      </c>
      <c r="U12" s="702">
        <f t="shared" si="1"/>
        <v>100</v>
      </c>
      <c r="V12" s="701" t="s">
        <v>14</v>
      </c>
      <c r="W12" s="702">
        <f t="shared" si="2"/>
        <v>100</v>
      </c>
      <c r="X12" s="703"/>
      <c r="Y12" s="374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2"/>
      <c r="M13" s="2706"/>
      <c r="N13" s="2706"/>
      <c r="O13" s="2764"/>
      <c r="P13" s="3805"/>
      <c r="Q13" s="1341">
        <f t="shared" si="6"/>
        <v>111</v>
      </c>
      <c r="R13" s="701" t="s">
        <v>14</v>
      </c>
      <c r="S13" s="702">
        <f t="shared" si="0"/>
        <v>100</v>
      </c>
      <c r="T13" s="701" t="s">
        <v>14</v>
      </c>
      <c r="U13" s="702">
        <f t="shared" si="1"/>
        <v>100</v>
      </c>
      <c r="V13" s="701" t="s">
        <v>14</v>
      </c>
      <c r="W13" s="702">
        <f t="shared" si="2"/>
        <v>100</v>
      </c>
      <c r="X13" s="703"/>
      <c r="Y13" s="374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2"/>
      <c r="M14" s="2706"/>
      <c r="N14" s="2706"/>
      <c r="O14" s="2764"/>
      <c r="P14" s="3805"/>
      <c r="Q14" s="1341">
        <f t="shared" si="6"/>
        <v>111</v>
      </c>
      <c r="R14" s="701" t="s">
        <v>14</v>
      </c>
      <c r="S14" s="702">
        <f t="shared" si="0"/>
        <v>100</v>
      </c>
      <c r="T14" s="701" t="s">
        <v>14</v>
      </c>
      <c r="U14" s="702">
        <f t="shared" si="1"/>
        <v>100</v>
      </c>
      <c r="V14" s="701" t="s">
        <v>14</v>
      </c>
      <c r="W14" s="702">
        <f t="shared" si="2"/>
        <v>100</v>
      </c>
      <c r="X14" s="703"/>
      <c r="Y14" s="3741"/>
      <c r="Z14" s="52">
        <f t="shared" si="7"/>
        <v>111</v>
      </c>
      <c r="AA14" s="704">
        <f>D14/F14</f>
        <v>1</v>
      </c>
      <c r="AB14" s="704">
        <f>D14/H14</f>
        <v>1</v>
      </c>
      <c r="AC14" s="704">
        <f>D14/J14</f>
        <v>1</v>
      </c>
    </row>
    <row r="15" spans="1:30" ht="15" hidden="1">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2"/>
      <c r="M15" s="2706"/>
      <c r="N15" s="2706"/>
      <c r="O15" s="2764"/>
      <c r="P15" s="3820" t="s">
        <v>1691</v>
      </c>
      <c r="Q15" s="1350" t="str">
        <f t="shared" si="6"/>
        <v>居住社区成熟度</v>
      </c>
      <c r="R15" s="705" t="s">
        <v>14</v>
      </c>
      <c r="S15" s="706">
        <f t="shared" si="0"/>
        <v>100</v>
      </c>
      <c r="T15" s="705" t="s">
        <v>14</v>
      </c>
      <c r="U15" s="706">
        <f t="shared" si="1"/>
        <v>100</v>
      </c>
      <c r="V15" s="705" t="s">
        <v>14</v>
      </c>
      <c r="W15" s="706">
        <f t="shared" si="2"/>
        <v>100</v>
      </c>
      <c r="X15" s="1353"/>
      <c r="Y15" s="3820" t="s">
        <v>1691</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2"/>
      <c r="M16" s="2706"/>
      <c r="N16" s="2706"/>
      <c r="O16" s="2764"/>
      <c r="P16" s="3821"/>
      <c r="Q16" s="1350"/>
      <c r="R16" s="705"/>
      <c r="S16" s="706"/>
      <c r="T16" s="705"/>
      <c r="U16" s="706"/>
      <c r="V16" s="705"/>
      <c r="W16" s="706"/>
      <c r="X16" s="1353"/>
      <c r="Y16" s="3821"/>
      <c r="Z16" s="1354"/>
      <c r="AA16" s="1351">
        <v>1</v>
      </c>
      <c r="AB16" s="1351">
        <v>1</v>
      </c>
      <c r="AC16" s="1351">
        <v>1</v>
      </c>
    </row>
    <row r="17" spans="1:29" ht="15" hidden="1">
      <c r="A17" s="379"/>
      <c r="B17" s="402" t="s">
        <v>1777</v>
      </c>
      <c r="C17" s="1951"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2"/>
      <c r="M17" s="2706"/>
      <c r="N17" s="2706"/>
      <c r="O17" s="2764"/>
      <c r="P17" s="3821"/>
      <c r="Q17" s="1350" t="str">
        <f>B17</f>
        <v>商业繁华度</v>
      </c>
      <c r="R17" s="705" t="s">
        <v>14</v>
      </c>
      <c r="S17" s="706">
        <f>F17</f>
        <v>100</v>
      </c>
      <c r="T17" s="705" t="s">
        <v>14</v>
      </c>
      <c r="U17" s="706">
        <f>H17</f>
        <v>100</v>
      </c>
      <c r="V17" s="705" t="s">
        <v>14</v>
      </c>
      <c r="W17" s="706">
        <f>J17</f>
        <v>100</v>
      </c>
      <c r="X17" s="1353"/>
      <c r="Y17" s="3821"/>
      <c r="Z17" s="1354" t="str">
        <f>Q17</f>
        <v>商业繁华度</v>
      </c>
      <c r="AA17" s="1351">
        <f t="shared" si="3"/>
        <v>1</v>
      </c>
      <c r="AB17" s="1351">
        <f t="shared" si="4"/>
        <v>1</v>
      </c>
      <c r="AC17" s="1351">
        <f t="shared" si="5"/>
        <v>1</v>
      </c>
    </row>
    <row r="18" spans="1:29" ht="15" hidden="1">
      <c r="A18" s="379"/>
      <c r="B18" s="407"/>
      <c r="C18" s="1899"/>
      <c r="D18" s="401"/>
      <c r="E18" s="1901"/>
      <c r="F18" s="401"/>
      <c r="G18" s="1901"/>
      <c r="H18" s="399"/>
      <c r="I18" s="1900"/>
      <c r="J18" s="399"/>
      <c r="K18" s="620"/>
      <c r="L18" s="2712"/>
      <c r="M18" s="2706"/>
      <c r="N18" s="2706"/>
      <c r="O18" s="2764"/>
      <c r="P18" s="3821"/>
      <c r="Q18" s="1350"/>
      <c r="R18" s="705"/>
      <c r="S18" s="706"/>
      <c r="T18" s="705"/>
      <c r="U18" s="706"/>
      <c r="V18" s="705"/>
      <c r="W18" s="706"/>
      <c r="X18" s="1353"/>
      <c r="Y18" s="3821"/>
      <c r="Z18" s="1354"/>
      <c r="AA18" s="1351">
        <v>1</v>
      </c>
      <c r="AB18" s="1351">
        <v>1</v>
      </c>
      <c r="AC18" s="1351">
        <v>1</v>
      </c>
    </row>
    <row r="19" spans="1:29" ht="15">
      <c r="A19" s="379"/>
      <c r="B19" s="402" t="s">
        <v>1811</v>
      </c>
      <c r="C19" s="1951" t="str">
        <f>估价对象房地状况!C17</f>
        <v>一般</v>
      </c>
      <c r="D19" s="406">
        <v>100</v>
      </c>
      <c r="E19" s="403" t="s">
        <v>3390</v>
      </c>
      <c r="F19" s="406">
        <f>SUMIF(91:91,E20,92:92)-SUMIF(91:91,C20,92:92)+100</f>
        <v>102</v>
      </c>
      <c r="G19" s="3468" t="s">
        <v>3682</v>
      </c>
      <c r="H19" s="401">
        <f>SUMIF(91:91,G20,92:92)-SUMIF(91:91,C20,92:92)+100</f>
        <v>98</v>
      </c>
      <c r="I19" s="408" t="s">
        <v>3465</v>
      </c>
      <c r="J19" s="401">
        <f>SUMIF(91:91,I20,92:92)-SUMIF(91:91,C20,92:92)+100</f>
        <v>100</v>
      </c>
      <c r="K19" s="621">
        <v>2</v>
      </c>
      <c r="L19" s="2712"/>
      <c r="M19" s="2706"/>
      <c r="N19" s="2706"/>
      <c r="O19" s="2764"/>
      <c r="P19" s="3821"/>
      <c r="Q19" s="1350" t="str">
        <f>B19</f>
        <v>办公集聚程度</v>
      </c>
      <c r="R19" s="705" t="s">
        <v>14</v>
      </c>
      <c r="S19" s="706">
        <f>F19</f>
        <v>102</v>
      </c>
      <c r="T19" s="705" t="s">
        <v>14</v>
      </c>
      <c r="U19" s="706">
        <f>H19</f>
        <v>98</v>
      </c>
      <c r="V19" s="705" t="s">
        <v>14</v>
      </c>
      <c r="W19" s="706">
        <f>J19</f>
        <v>100</v>
      </c>
      <c r="X19" s="1353"/>
      <c r="Y19" s="3821"/>
      <c r="Z19" s="1354" t="str">
        <f>Q19</f>
        <v>办公集聚程度</v>
      </c>
      <c r="AA19" s="1351">
        <f t="shared" si="3"/>
        <v>0.98039215686274506</v>
      </c>
      <c r="AB19" s="1351">
        <f t="shared" si="4"/>
        <v>1.0204081632653061</v>
      </c>
      <c r="AC19" s="1351">
        <f t="shared" si="5"/>
        <v>1</v>
      </c>
    </row>
    <row r="20" spans="1:29" ht="15">
      <c r="A20" s="379"/>
      <c r="B20" s="407"/>
      <c r="C20" s="398" t="s">
        <v>3465</v>
      </c>
      <c r="D20" s="399"/>
      <c r="E20" s="1896" t="s">
        <v>3390</v>
      </c>
      <c r="F20" s="399"/>
      <c r="G20" s="1896" t="s">
        <v>3468</v>
      </c>
      <c r="H20" s="399"/>
      <c r="I20" s="1896" t="s">
        <v>3465</v>
      </c>
      <c r="J20" s="399"/>
      <c r="K20" s="620"/>
      <c r="L20" s="2712"/>
      <c r="M20" s="2706"/>
      <c r="N20" s="2706"/>
      <c r="O20" s="2764"/>
      <c r="P20" s="3821"/>
      <c r="Q20" s="1350"/>
      <c r="R20" s="705"/>
      <c r="S20" s="706"/>
      <c r="T20" s="705"/>
      <c r="U20" s="706"/>
      <c r="V20" s="705"/>
      <c r="W20" s="706"/>
      <c r="X20" s="1353"/>
      <c r="Y20" s="3821"/>
      <c r="Z20" s="1354"/>
      <c r="AA20" s="1351">
        <v>1</v>
      </c>
      <c r="AB20" s="1351">
        <v>1</v>
      </c>
      <c r="AC20" s="1351">
        <v>1</v>
      </c>
    </row>
    <row r="21" spans="1:29" ht="15">
      <c r="A21" s="379"/>
      <c r="B21" s="402" t="s">
        <v>1833</v>
      </c>
      <c r="C21" s="1898" t="str">
        <f>估价对象房地状况!C18</f>
        <v>一般</v>
      </c>
      <c r="D21" s="401">
        <v>100</v>
      </c>
      <c r="E21" s="403" t="s">
        <v>3390</v>
      </c>
      <c r="F21" s="406">
        <f>SUMIF(93:93,E22,94:94)-SUMIF(93:93,C22,94:94)+100</f>
        <v>102</v>
      </c>
      <c r="G21" s="3469" t="s">
        <v>3682</v>
      </c>
      <c r="H21" s="401">
        <f>SUMIF(93:93,G22,94:94)-SUMIF(93:93,C22,94:94)+100</f>
        <v>98</v>
      </c>
      <c r="I21" s="403" t="s">
        <v>3390</v>
      </c>
      <c r="J21" s="401">
        <f>SUMIF(93:93,I22,94:94)-SUMIF(93:93,C22,94:94)+100</f>
        <v>102</v>
      </c>
      <c r="K21" s="621">
        <v>2</v>
      </c>
      <c r="L21" s="2712"/>
      <c r="M21" s="2706"/>
      <c r="N21" s="2706"/>
      <c r="O21" s="2764"/>
      <c r="P21" s="3821"/>
      <c r="Q21" s="1350" t="str">
        <f>B21</f>
        <v>交通便捷度</v>
      </c>
      <c r="R21" s="705" t="s">
        <v>14</v>
      </c>
      <c r="S21" s="706">
        <f>F21</f>
        <v>102</v>
      </c>
      <c r="T21" s="705" t="s">
        <v>14</v>
      </c>
      <c r="U21" s="706">
        <f>H21</f>
        <v>98</v>
      </c>
      <c r="V21" s="705" t="s">
        <v>14</v>
      </c>
      <c r="W21" s="706">
        <f>J21</f>
        <v>102</v>
      </c>
      <c r="X21" s="1353"/>
      <c r="Y21" s="3821"/>
      <c r="Z21" s="1354" t="str">
        <f>Q21</f>
        <v>交通便捷度</v>
      </c>
      <c r="AA21" s="1351">
        <f t="shared" si="3"/>
        <v>0.98039215686274506</v>
      </c>
      <c r="AB21" s="1351">
        <f t="shared" si="4"/>
        <v>1.0204081632653061</v>
      </c>
      <c r="AC21" s="1351">
        <f t="shared" si="5"/>
        <v>0.98039215686274506</v>
      </c>
    </row>
    <row r="22" spans="1:29" ht="15">
      <c r="A22" s="379"/>
      <c r="B22" s="1130"/>
      <c r="C22" s="398" t="s">
        <v>3465</v>
      </c>
      <c r="D22" s="401"/>
      <c r="E22" s="1896" t="s">
        <v>3390</v>
      </c>
      <c r="F22" s="399"/>
      <c r="G22" s="1896" t="s">
        <v>3468</v>
      </c>
      <c r="H22" s="399"/>
      <c r="I22" s="1896" t="s">
        <v>3390</v>
      </c>
      <c r="J22" s="399"/>
      <c r="K22" s="620"/>
      <c r="L22" s="2712"/>
      <c r="M22" s="2706"/>
      <c r="N22" s="2706"/>
      <c r="O22" s="2764"/>
      <c r="P22" s="3821"/>
      <c r="Q22" s="1350"/>
      <c r="R22" s="705"/>
      <c r="S22" s="706"/>
      <c r="T22" s="705"/>
      <c r="U22" s="706"/>
      <c r="V22" s="705"/>
      <c r="W22" s="706"/>
      <c r="X22" s="1353"/>
      <c r="Y22" s="3821"/>
      <c r="Z22" s="1354"/>
      <c r="AA22" s="1351">
        <v>1</v>
      </c>
      <c r="AB22" s="1351">
        <v>1</v>
      </c>
      <c r="AC22" s="1351">
        <v>1</v>
      </c>
    </row>
    <row r="23" spans="1:29" ht="15">
      <c r="A23" s="358"/>
      <c r="B23" s="402" t="s">
        <v>1871</v>
      </c>
      <c r="C23" s="1135"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2"/>
      <c r="M23" s="2706"/>
      <c r="N23" s="2706"/>
      <c r="O23" s="2764"/>
      <c r="P23" s="3821"/>
      <c r="Q23" s="1350" t="str">
        <f t="shared" ref="Q23:Q37" si="8">B23</f>
        <v>区域土地利用方向</v>
      </c>
      <c r="R23" s="705" t="s">
        <v>14</v>
      </c>
      <c r="S23" s="706">
        <f>F23</f>
        <v>100</v>
      </c>
      <c r="T23" s="705" t="s">
        <v>14</v>
      </c>
      <c r="U23" s="706">
        <f>H23</f>
        <v>100</v>
      </c>
      <c r="V23" s="705" t="s">
        <v>14</v>
      </c>
      <c r="W23" s="706">
        <f>J23</f>
        <v>100</v>
      </c>
      <c r="X23" s="1353"/>
      <c r="Y23" s="3821"/>
      <c r="Z23" s="1354" t="str">
        <f>Q23</f>
        <v>区域土地利用方向</v>
      </c>
      <c r="AA23" s="1351">
        <f t="shared" si="3"/>
        <v>1</v>
      </c>
      <c r="AB23" s="1351">
        <f t="shared" si="4"/>
        <v>1</v>
      </c>
      <c r="AC23" s="1351">
        <f t="shared" si="5"/>
        <v>1</v>
      </c>
    </row>
    <row r="24" spans="1:29" ht="15">
      <c r="A24" s="358"/>
      <c r="B24" s="407"/>
      <c r="C24" s="565" t="s">
        <v>3390</v>
      </c>
      <c r="D24" s="399"/>
      <c r="E24" s="1896" t="s">
        <v>3390</v>
      </c>
      <c r="F24" s="399"/>
      <c r="G24" s="1896" t="s">
        <v>3390</v>
      </c>
      <c r="H24" s="399"/>
      <c r="I24" s="1896" t="s">
        <v>3390</v>
      </c>
      <c r="J24" s="399"/>
      <c r="K24" s="739"/>
      <c r="L24" s="2712"/>
      <c r="M24" s="2706"/>
      <c r="N24" s="2706"/>
      <c r="O24" s="2764"/>
      <c r="P24" s="3821"/>
      <c r="Q24" s="1350"/>
      <c r="R24" s="705"/>
      <c r="S24" s="706"/>
      <c r="T24" s="705"/>
      <c r="U24" s="706"/>
      <c r="V24" s="705"/>
      <c r="W24" s="706"/>
      <c r="X24" s="1353"/>
      <c r="Y24" s="3821"/>
      <c r="Z24" s="1354"/>
      <c r="AA24" s="1351"/>
      <c r="AB24" s="1351"/>
      <c r="AC24" s="1351"/>
    </row>
    <row r="25" spans="1:29" ht="27">
      <c r="A25" s="358"/>
      <c r="B25" s="1130" t="s">
        <v>1872</v>
      </c>
      <c r="C25" s="1951" t="str">
        <f>估价对象房地状况!C20</f>
        <v>一般</v>
      </c>
      <c r="D25" s="401">
        <v>100</v>
      </c>
      <c r="E25" s="403" t="s">
        <v>3465</v>
      </c>
      <c r="F25" s="401">
        <f>SUMIF(97:97,E26,98:98)-SUMIF(97:97,C26,98:98)+100</f>
        <v>100</v>
      </c>
      <c r="G25" s="403" t="s">
        <v>3465</v>
      </c>
      <c r="H25" s="401">
        <f>SUMIF(97:97,G26,98:98)-SUMIF(97:97,C26,98:98)+100</f>
        <v>100</v>
      </c>
      <c r="I25" s="403" t="s">
        <v>3465</v>
      </c>
      <c r="J25" s="401">
        <f>SUMIF(97:97,I26,98:98)-SUMIF(97:97,C26,98:98)+100</f>
        <v>100</v>
      </c>
      <c r="K25" s="621">
        <v>2</v>
      </c>
      <c r="L25" s="2712"/>
      <c r="M25" s="2706"/>
      <c r="N25" s="2706"/>
      <c r="O25" s="2764"/>
      <c r="P25" s="3821"/>
      <c r="Q25" s="1350" t="str">
        <f t="shared" si="8"/>
        <v>自然及人文环境状况</v>
      </c>
      <c r="R25" s="705" t="s">
        <v>14</v>
      </c>
      <c r="S25" s="706">
        <f>F25</f>
        <v>100</v>
      </c>
      <c r="T25" s="705" t="s">
        <v>14</v>
      </c>
      <c r="U25" s="706">
        <f>H25</f>
        <v>100</v>
      </c>
      <c r="V25" s="705" t="s">
        <v>14</v>
      </c>
      <c r="W25" s="706">
        <f>J25</f>
        <v>100</v>
      </c>
      <c r="X25" s="1353"/>
      <c r="Y25" s="3821"/>
      <c r="Z25" s="1354" t="str">
        <f>Q25</f>
        <v>自然及人文环境状况</v>
      </c>
      <c r="AA25" s="1351">
        <f t="shared" si="3"/>
        <v>1</v>
      </c>
      <c r="AB25" s="1351">
        <f t="shared" si="4"/>
        <v>1</v>
      </c>
      <c r="AC25" s="1351">
        <f t="shared" si="5"/>
        <v>1</v>
      </c>
    </row>
    <row r="26" spans="1:29" ht="15">
      <c r="A26" s="358"/>
      <c r="B26" s="407"/>
      <c r="C26" s="398" t="s">
        <v>3465</v>
      </c>
      <c r="D26" s="399"/>
      <c r="E26" s="1902" t="s">
        <v>3465</v>
      </c>
      <c r="F26" s="399"/>
      <c r="G26" s="1902" t="s">
        <v>3465</v>
      </c>
      <c r="H26" s="399"/>
      <c r="I26" s="1902" t="s">
        <v>3465</v>
      </c>
      <c r="J26" s="399"/>
      <c r="K26" s="620"/>
      <c r="L26" s="2712"/>
      <c r="M26" s="2706"/>
      <c r="N26" s="2706"/>
      <c r="O26" s="2764"/>
      <c r="P26" s="3821"/>
      <c r="Q26" s="1350"/>
      <c r="R26" s="705"/>
      <c r="S26" s="706"/>
      <c r="T26" s="705"/>
      <c r="U26" s="706"/>
      <c r="V26" s="705"/>
      <c r="W26" s="706"/>
      <c r="X26" s="1353"/>
      <c r="Y26" s="3821"/>
      <c r="Z26" s="1354"/>
      <c r="AA26" s="1351">
        <v>1</v>
      </c>
      <c r="AB26" s="1351">
        <v>1</v>
      </c>
      <c r="AC26" s="1351">
        <v>1</v>
      </c>
    </row>
    <row r="27" spans="1:29" s="108" customFormat="1" ht="15">
      <c r="A27" s="597"/>
      <c r="B27" s="1130" t="s">
        <v>1778</v>
      </c>
      <c r="C27" s="1898" t="str">
        <f>估价对象房地状况!C21</f>
        <v>一般</v>
      </c>
      <c r="D27" s="401">
        <v>100</v>
      </c>
      <c r="E27" s="403" t="s">
        <v>3465</v>
      </c>
      <c r="F27" s="401">
        <f>SUMIF(99:99,E28,100:100)-SUMIF(99:99,C28,100:100)+100</f>
        <v>100</v>
      </c>
      <c r="G27" s="3469" t="s">
        <v>3682</v>
      </c>
      <c r="H27" s="401">
        <f>SUMIF(99:99,G28,100:100)-SUMIF(99:99,C28,100:100)+100</f>
        <v>97</v>
      </c>
      <c r="I27" s="403" t="s">
        <v>3465</v>
      </c>
      <c r="J27" s="401">
        <f>SUMIF(99:99,I28,100:100)-SUMIF(99:99,C28,100:100)+100</f>
        <v>100</v>
      </c>
      <c r="K27" s="621">
        <v>3</v>
      </c>
      <c r="L27" s="2707"/>
      <c r="M27" s="2708"/>
      <c r="N27" s="2708"/>
      <c r="O27" s="2762"/>
      <c r="P27" s="3821"/>
      <c r="Q27" s="1341" t="str">
        <f t="shared" si="8"/>
        <v>公共配套设施</v>
      </c>
      <c r="R27" s="701" t="s">
        <v>14</v>
      </c>
      <c r="S27" s="702">
        <f>F27</f>
        <v>100</v>
      </c>
      <c r="T27" s="701" t="s">
        <v>14</v>
      </c>
      <c r="U27" s="702">
        <f>H27</f>
        <v>97</v>
      </c>
      <c r="V27" s="701" t="s">
        <v>14</v>
      </c>
      <c r="W27" s="702">
        <f>J27</f>
        <v>100</v>
      </c>
      <c r="X27" s="703"/>
      <c r="Y27" s="3821"/>
      <c r="Z27" s="52" t="str">
        <f>Q27</f>
        <v>公共配套设施</v>
      </c>
      <c r="AA27" s="1351">
        <f>D27/F27</f>
        <v>1</v>
      </c>
      <c r="AB27" s="1351">
        <f>D27/H27</f>
        <v>1.0309278350515463</v>
      </c>
      <c r="AC27" s="1351">
        <f>D27/J27</f>
        <v>1</v>
      </c>
    </row>
    <row r="28" spans="1:29" s="108" customFormat="1" ht="15">
      <c r="A28" s="597"/>
      <c r="B28" s="407"/>
      <c r="C28" s="1974" t="s">
        <v>3465</v>
      </c>
      <c r="D28" s="399"/>
      <c r="E28" s="1902" t="s">
        <v>3465</v>
      </c>
      <c r="F28" s="399"/>
      <c r="G28" s="1902" t="s">
        <v>3468</v>
      </c>
      <c r="H28" s="399"/>
      <c r="I28" s="1902" t="s">
        <v>3465</v>
      </c>
      <c r="J28" s="399"/>
      <c r="K28" s="620"/>
      <c r="L28" s="2707"/>
      <c r="M28" s="2708"/>
      <c r="N28" s="2708"/>
      <c r="O28" s="2762"/>
      <c r="P28" s="3821"/>
      <c r="Q28" s="1341"/>
      <c r="R28" s="701"/>
      <c r="S28" s="702"/>
      <c r="T28" s="701"/>
      <c r="U28" s="702"/>
      <c r="V28" s="701"/>
      <c r="W28" s="702"/>
      <c r="X28" s="703"/>
      <c r="Y28" s="3821"/>
      <c r="Z28" s="52"/>
      <c r="AA28" s="1351">
        <v>1</v>
      </c>
      <c r="AB28" s="1351">
        <v>1</v>
      </c>
      <c r="AC28" s="1351">
        <v>1</v>
      </c>
    </row>
    <row r="29" spans="1:29" s="108" customFormat="1" ht="15">
      <c r="A29" s="597"/>
      <c r="B29" s="1130" t="s">
        <v>1779</v>
      </c>
      <c r="C29" s="1898"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7"/>
      <c r="M29" s="2708"/>
      <c r="N29" s="2708"/>
      <c r="O29" s="2762"/>
      <c r="P29" s="3821"/>
      <c r="Q29" s="1341" t="str">
        <f t="shared" ref="Q29" si="9">B29</f>
        <v>基础设施水平</v>
      </c>
      <c r="R29" s="701" t="s">
        <v>14</v>
      </c>
      <c r="S29" s="702">
        <f>F29</f>
        <v>100</v>
      </c>
      <c r="T29" s="701" t="s">
        <v>14</v>
      </c>
      <c r="U29" s="702">
        <f>H29</f>
        <v>100</v>
      </c>
      <c r="V29" s="701" t="s">
        <v>14</v>
      </c>
      <c r="W29" s="702">
        <f>J29</f>
        <v>100</v>
      </c>
      <c r="X29" s="703"/>
      <c r="Y29" s="3821"/>
      <c r="Z29" s="52" t="str">
        <f>Q29</f>
        <v>基础设施水平</v>
      </c>
      <c r="AA29" s="1351">
        <f>D29/F29</f>
        <v>1</v>
      </c>
      <c r="AB29" s="1351">
        <f>D29/H29</f>
        <v>1</v>
      </c>
      <c r="AC29" s="1351">
        <f>D29/J29</f>
        <v>1</v>
      </c>
    </row>
    <row r="30" spans="1:29" s="108" customFormat="1" ht="15.75" thickBot="1">
      <c r="A30" s="597"/>
      <c r="B30" s="407"/>
      <c r="C30" s="1974" t="s">
        <v>3393</v>
      </c>
      <c r="D30" s="399"/>
      <c r="E30" s="1975" t="s">
        <v>3393</v>
      </c>
      <c r="F30" s="399"/>
      <c r="G30" s="1975" t="s">
        <v>3393</v>
      </c>
      <c r="H30" s="399"/>
      <c r="I30" s="1975" t="s">
        <v>3393</v>
      </c>
      <c r="J30" s="399"/>
      <c r="K30" s="620"/>
      <c r="L30" s="2707"/>
      <c r="M30" s="2708"/>
      <c r="N30" s="2708"/>
      <c r="O30" s="2762"/>
      <c r="P30" s="3821"/>
      <c r="Q30" s="1341"/>
      <c r="R30" s="701"/>
      <c r="S30" s="702"/>
      <c r="T30" s="701"/>
      <c r="U30" s="702"/>
      <c r="V30" s="701"/>
      <c r="W30" s="702"/>
      <c r="X30" s="703"/>
      <c r="Y30" s="3821"/>
      <c r="Z30" s="52"/>
      <c r="AA30" s="1351">
        <v>1</v>
      </c>
      <c r="AB30" s="1351">
        <v>1</v>
      </c>
      <c r="AC30" s="1351">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2"/>
      <c r="M31" s="2706"/>
      <c r="N31" s="2706"/>
      <c r="O31" s="2764"/>
      <c r="P31" s="3821"/>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821"/>
      <c r="Z31" s="1354" t="str">
        <f t="shared" ref="Z31:Z45" si="13">Q31</f>
        <v>临街状况</v>
      </c>
      <c r="AA31" s="1351">
        <f t="shared" si="3"/>
        <v>1</v>
      </c>
      <c r="AB31" s="1351">
        <f t="shared" si="4"/>
        <v>1</v>
      </c>
      <c r="AC31" s="1351">
        <f t="shared" si="5"/>
        <v>1</v>
      </c>
    </row>
    <row r="32" spans="1:29" ht="27" hidden="1">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2"/>
      <c r="M32" s="2706"/>
      <c r="N32" s="2706"/>
      <c r="O32" s="2764"/>
      <c r="P32" s="3821"/>
      <c r="Q32" s="1350" t="str">
        <f t="shared" si="8"/>
        <v>毗邻道路的类型与等级</v>
      </c>
      <c r="R32" s="705" t="s">
        <v>14</v>
      </c>
      <c r="S32" s="706">
        <f t="shared" si="10"/>
        <v>100</v>
      </c>
      <c r="T32" s="705" t="s">
        <v>14</v>
      </c>
      <c r="U32" s="706">
        <f t="shared" si="11"/>
        <v>100</v>
      </c>
      <c r="V32" s="705" t="s">
        <v>14</v>
      </c>
      <c r="W32" s="706">
        <f t="shared" si="12"/>
        <v>100</v>
      </c>
      <c r="X32" s="1353"/>
      <c r="Y32" s="3821"/>
      <c r="Z32" s="1354" t="str">
        <f t="shared" si="13"/>
        <v>毗邻道路的类型与等级</v>
      </c>
      <c r="AA32" s="1351">
        <f t="shared" si="3"/>
        <v>1</v>
      </c>
      <c r="AB32" s="1351">
        <f t="shared" si="4"/>
        <v>1</v>
      </c>
      <c r="AC32" s="1351">
        <f t="shared" si="5"/>
        <v>1</v>
      </c>
    </row>
    <row r="33" spans="1:29" ht="15" hidden="1">
      <c r="A33" s="379"/>
      <c r="B33" s="407"/>
      <c r="C33" s="398"/>
      <c r="D33" s="399"/>
      <c r="E33" s="1902"/>
      <c r="F33" s="399"/>
      <c r="G33" s="1902"/>
      <c r="H33" s="399"/>
      <c r="I33" s="398"/>
      <c r="J33" s="399"/>
      <c r="K33" s="562"/>
      <c r="L33" s="2712"/>
      <c r="M33" s="2706"/>
      <c r="N33" s="2706"/>
      <c r="O33" s="2764"/>
      <c r="P33" s="3821"/>
      <c r="Q33" s="1350"/>
      <c r="R33" s="705"/>
      <c r="S33" s="706"/>
      <c r="T33" s="705"/>
      <c r="U33" s="706"/>
      <c r="V33" s="705"/>
      <c r="W33" s="706"/>
      <c r="X33" s="1353"/>
      <c r="Y33" s="3821"/>
      <c r="Z33" s="1354"/>
      <c r="AA33" s="1351">
        <v>1</v>
      </c>
      <c r="AB33" s="1351">
        <v>1</v>
      </c>
      <c r="AC33" s="1351">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2"/>
      <c r="M34" s="2706"/>
      <c r="N34" s="2706"/>
      <c r="O34" s="2764"/>
      <c r="P34" s="3821"/>
      <c r="Q34" s="1350" t="str">
        <f t="shared" si="8"/>
        <v>土地级别</v>
      </c>
      <c r="R34" s="705" t="s">
        <v>14</v>
      </c>
      <c r="S34" s="706">
        <f t="shared" si="10"/>
        <v>100</v>
      </c>
      <c r="T34" s="705" t="s">
        <v>14</v>
      </c>
      <c r="U34" s="706">
        <f t="shared" si="11"/>
        <v>100</v>
      </c>
      <c r="V34" s="705" t="s">
        <v>14</v>
      </c>
      <c r="W34" s="706">
        <f t="shared" si="12"/>
        <v>100</v>
      </c>
      <c r="X34" s="1353"/>
      <c r="Y34" s="3821"/>
      <c r="Z34" s="1354" t="str">
        <f t="shared" si="13"/>
        <v>土地级别</v>
      </c>
      <c r="AA34" s="1351">
        <f t="shared" si="3"/>
        <v>1</v>
      </c>
      <c r="AB34" s="1351">
        <f t="shared" si="4"/>
        <v>1</v>
      </c>
      <c r="AC34" s="1351">
        <f t="shared" si="5"/>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2"/>
      <c r="M35" s="2706"/>
      <c r="N35" s="2706"/>
      <c r="O35" s="2764"/>
      <c r="P35" s="3821"/>
      <c r="Q35" s="1350">
        <f t="shared" si="8"/>
        <v>111</v>
      </c>
      <c r="R35" s="705" t="s">
        <v>14</v>
      </c>
      <c r="S35" s="706">
        <f t="shared" si="10"/>
        <v>100</v>
      </c>
      <c r="T35" s="705" t="s">
        <v>14</v>
      </c>
      <c r="U35" s="706">
        <f t="shared" si="11"/>
        <v>100</v>
      </c>
      <c r="V35" s="705" t="s">
        <v>14</v>
      </c>
      <c r="W35" s="706">
        <f t="shared" si="12"/>
        <v>100</v>
      </c>
      <c r="X35" s="1353"/>
      <c r="Y35" s="3821"/>
      <c r="Z35" s="1354">
        <f t="shared" si="13"/>
        <v>111</v>
      </c>
      <c r="AA35" s="1351">
        <f t="shared" si="3"/>
        <v>1</v>
      </c>
      <c r="AB35" s="1351">
        <f t="shared" si="4"/>
        <v>1</v>
      </c>
      <c r="AC35" s="1351">
        <f t="shared" si="5"/>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2"/>
      <c r="M36" s="2706"/>
      <c r="N36" s="2706"/>
      <c r="O36" s="2764"/>
      <c r="P36" s="3822" t="s">
        <v>1696</v>
      </c>
      <c r="Q36" s="1350">
        <f t="shared" si="8"/>
        <v>111</v>
      </c>
      <c r="R36" s="705" t="s">
        <v>14</v>
      </c>
      <c r="S36" s="706">
        <f t="shared" si="10"/>
        <v>100</v>
      </c>
      <c r="T36" s="705" t="s">
        <v>14</v>
      </c>
      <c r="U36" s="706">
        <f t="shared" si="11"/>
        <v>100</v>
      </c>
      <c r="V36" s="705" t="s">
        <v>14</v>
      </c>
      <c r="W36" s="706">
        <f t="shared" si="12"/>
        <v>100</v>
      </c>
      <c r="X36" s="1353"/>
      <c r="Y36" s="3823" t="s">
        <v>1696</v>
      </c>
      <c r="Z36" s="1354">
        <f t="shared" si="13"/>
        <v>111</v>
      </c>
      <c r="AA36" s="1351">
        <f t="shared" si="3"/>
        <v>1</v>
      </c>
      <c r="AB36" s="1351">
        <f t="shared" si="4"/>
        <v>1</v>
      </c>
      <c r="AC36" s="1351">
        <f t="shared" si="5"/>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1"/>
      <c r="M37" s="2713"/>
      <c r="N37" s="2713"/>
      <c r="O37" s="2765"/>
      <c r="P37" s="3823"/>
      <c r="Q37" s="1350">
        <f t="shared" si="8"/>
        <v>111</v>
      </c>
      <c r="R37" s="708" t="s">
        <v>14</v>
      </c>
      <c r="S37" s="709">
        <f t="shared" si="10"/>
        <v>100</v>
      </c>
      <c r="T37" s="708" t="s">
        <v>14</v>
      </c>
      <c r="U37" s="709">
        <f t="shared" si="11"/>
        <v>100</v>
      </c>
      <c r="V37" s="708" t="s">
        <v>14</v>
      </c>
      <c r="W37" s="709">
        <f t="shared" si="12"/>
        <v>100</v>
      </c>
      <c r="X37" s="710"/>
      <c r="Y37" s="3823"/>
      <c r="Z37" s="711">
        <f t="shared" si="13"/>
        <v>111</v>
      </c>
      <c r="AA37" s="1351">
        <f t="shared" si="3"/>
        <v>1</v>
      </c>
      <c r="AB37" s="1351">
        <f t="shared" si="4"/>
        <v>1</v>
      </c>
      <c r="AC37" s="1351">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2"/>
      <c r="M38" s="2706"/>
      <c r="N38" s="2706"/>
      <c r="O38" s="2764"/>
      <c r="P38" s="3823"/>
      <c r="Q38" s="1350" t="str">
        <f>B38</f>
        <v>宗地面积</v>
      </c>
      <c r="R38" s="705" t="s">
        <v>14</v>
      </c>
      <c r="S38" s="706">
        <f t="shared" si="10"/>
        <v>100</v>
      </c>
      <c r="T38" s="705" t="s">
        <v>14</v>
      </c>
      <c r="U38" s="706">
        <f t="shared" si="11"/>
        <v>102</v>
      </c>
      <c r="V38" s="705" t="s">
        <v>14</v>
      </c>
      <c r="W38" s="706">
        <f t="shared" si="12"/>
        <v>100</v>
      </c>
      <c r="X38" s="1353"/>
      <c r="Y38" s="3823"/>
      <c r="Z38" s="1354" t="str">
        <f t="shared" si="13"/>
        <v>宗地面积</v>
      </c>
      <c r="AA38" s="1351">
        <f t="shared" si="3"/>
        <v>1</v>
      </c>
      <c r="AB38" s="1351">
        <f t="shared" si="4"/>
        <v>0.98039215686274506</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v>2</v>
      </c>
      <c r="L39" s="2712"/>
      <c r="M39" s="2706"/>
      <c r="N39" s="2706"/>
      <c r="O39" s="2764"/>
      <c r="P39" s="3823"/>
      <c r="Q39" s="1350" t="str">
        <f t="shared" ref="Q39:Q45" si="14">B39</f>
        <v>宗地形状</v>
      </c>
      <c r="R39" s="705" t="s">
        <v>14</v>
      </c>
      <c r="S39" s="706">
        <f t="shared" si="10"/>
        <v>100</v>
      </c>
      <c r="T39" s="705" t="s">
        <v>14</v>
      </c>
      <c r="U39" s="706">
        <f t="shared" si="11"/>
        <v>100</v>
      </c>
      <c r="V39" s="705" t="s">
        <v>14</v>
      </c>
      <c r="W39" s="706">
        <f t="shared" si="12"/>
        <v>100</v>
      </c>
      <c r="X39" s="1353"/>
      <c r="Y39" s="382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v>2</v>
      </c>
      <c r="L40" s="2712"/>
      <c r="M40" s="2706"/>
      <c r="N40" s="2706"/>
      <c r="O40" s="2764"/>
      <c r="P40" s="3823"/>
      <c r="Q40" s="1350" t="str">
        <f t="shared" si="14"/>
        <v>临街宽度及深度</v>
      </c>
      <c r="R40" s="705" t="s">
        <v>14</v>
      </c>
      <c r="S40" s="706">
        <f t="shared" si="10"/>
        <v>100</v>
      </c>
      <c r="T40" s="705" t="s">
        <v>14</v>
      </c>
      <c r="U40" s="706">
        <f t="shared" si="11"/>
        <v>100</v>
      </c>
      <c r="V40" s="705" t="s">
        <v>14</v>
      </c>
      <c r="W40" s="706">
        <f t="shared" si="12"/>
        <v>100</v>
      </c>
      <c r="X40" s="1353"/>
      <c r="Y40" s="3823"/>
      <c r="Z40" s="1354" t="str">
        <f t="shared" si="13"/>
        <v>临街宽度及深度</v>
      </c>
      <c r="AA40" s="1351">
        <f t="shared" si="3"/>
        <v>1</v>
      </c>
      <c r="AB40" s="1351">
        <f t="shared" si="4"/>
        <v>1</v>
      </c>
      <c r="AC40" s="1351">
        <f t="shared" si="5"/>
        <v>1</v>
      </c>
    </row>
    <row r="41" spans="1:29" s="108" customFormat="1" ht="15">
      <c r="A41" s="424"/>
      <c r="B41" s="375" t="s">
        <v>1877</v>
      </c>
      <c r="C41" s="1976" t="s">
        <v>3393</v>
      </c>
      <c r="D41" s="127">
        <v>100</v>
      </c>
      <c r="E41" s="1976" t="s">
        <v>3393</v>
      </c>
      <c r="F41" s="386">
        <f>SUMIF(122:122,E41,123:123)-SUMIF(122:122,C41,123:123)+100</f>
        <v>100</v>
      </c>
      <c r="G41" s="1976" t="s">
        <v>3673</v>
      </c>
      <c r="H41" s="386">
        <f>SUMIF(122:122,G41,123:123)-SUMIF(122:122,C41,123:123)+100</f>
        <v>98</v>
      </c>
      <c r="I41" s="1976" t="s">
        <v>3676</v>
      </c>
      <c r="J41" s="386">
        <f>SUMIF(122:122,I41,123:123)-SUMIF(122:122,C41,123:123)+100</f>
        <v>96</v>
      </c>
      <c r="K41" s="561">
        <v>2</v>
      </c>
      <c r="L41" s="2707"/>
      <c r="M41" s="2708"/>
      <c r="N41" s="2708"/>
      <c r="O41" s="2762"/>
      <c r="P41" s="3823"/>
      <c r="Q41" s="1350" t="str">
        <f t="shared" si="14"/>
        <v>宗地开发程度</v>
      </c>
      <c r="R41" s="701" t="s">
        <v>14</v>
      </c>
      <c r="S41" s="702">
        <f t="shared" si="10"/>
        <v>100</v>
      </c>
      <c r="T41" s="701" t="s">
        <v>14</v>
      </c>
      <c r="U41" s="702">
        <f t="shared" si="11"/>
        <v>98</v>
      </c>
      <c r="V41" s="701" t="s">
        <v>14</v>
      </c>
      <c r="W41" s="702">
        <f t="shared" si="12"/>
        <v>96</v>
      </c>
      <c r="X41" s="703"/>
      <c r="Y41" s="3823"/>
      <c r="Z41" s="52" t="str">
        <f t="shared" si="13"/>
        <v>宗地开发程度</v>
      </c>
      <c r="AA41" s="704">
        <f t="shared" si="3"/>
        <v>1</v>
      </c>
      <c r="AB41" s="704">
        <f t="shared" si="4"/>
        <v>1.0204081632653061</v>
      </c>
      <c r="AC41" s="704">
        <f t="shared" si="5"/>
        <v>1.0416666666666667</v>
      </c>
    </row>
    <row r="42" spans="1:29" ht="15.75" thickBot="1">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v>2</v>
      </c>
      <c r="L42" s="2712"/>
      <c r="M42" s="2706"/>
      <c r="N42" s="2706"/>
      <c r="O42" s="2764"/>
      <c r="P42" s="3823" t="s">
        <v>1696</v>
      </c>
      <c r="Q42" s="1350" t="str">
        <f t="shared" si="14"/>
        <v>工程地质条件</v>
      </c>
      <c r="R42" s="705" t="s">
        <v>14</v>
      </c>
      <c r="S42" s="706">
        <f t="shared" si="10"/>
        <v>100</v>
      </c>
      <c r="T42" s="705" t="s">
        <v>14</v>
      </c>
      <c r="U42" s="706">
        <f t="shared" si="11"/>
        <v>100</v>
      </c>
      <c r="V42" s="705" t="s">
        <v>14</v>
      </c>
      <c r="W42" s="706">
        <f t="shared" si="12"/>
        <v>100</v>
      </c>
      <c r="X42" s="1353"/>
      <c r="Y42" s="3823" t="s">
        <v>1696</v>
      </c>
      <c r="Z42" s="1354" t="str">
        <f t="shared" si="13"/>
        <v>工程地质条件</v>
      </c>
      <c r="AA42" s="1351">
        <f t="shared" si="3"/>
        <v>1</v>
      </c>
      <c r="AB42" s="1351">
        <f t="shared" si="4"/>
        <v>1</v>
      </c>
      <c r="AC42" s="1351">
        <f t="shared" si="5"/>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2"/>
      <c r="M43" s="2706"/>
      <c r="N43" s="2706"/>
      <c r="O43" s="2764"/>
      <c r="P43" s="3823"/>
      <c r="Q43" s="1350">
        <f t="shared" si="14"/>
        <v>111</v>
      </c>
      <c r="R43" s="705" t="s">
        <v>14</v>
      </c>
      <c r="S43" s="706">
        <f t="shared" si="10"/>
        <v>100</v>
      </c>
      <c r="T43" s="705" t="s">
        <v>14</v>
      </c>
      <c r="U43" s="706">
        <f t="shared" si="11"/>
        <v>100</v>
      </c>
      <c r="V43" s="705" t="s">
        <v>14</v>
      </c>
      <c r="W43" s="706">
        <f t="shared" si="12"/>
        <v>100</v>
      </c>
      <c r="X43" s="1353"/>
      <c r="Y43" s="3823"/>
      <c r="Z43" s="1354">
        <f t="shared" si="13"/>
        <v>111</v>
      </c>
      <c r="AA43" s="1351">
        <f t="shared" si="3"/>
        <v>1</v>
      </c>
      <c r="AB43" s="1351">
        <f t="shared" si="4"/>
        <v>1</v>
      </c>
      <c r="AC43" s="1351">
        <f t="shared" si="5"/>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2"/>
      <c r="M44" s="2706"/>
      <c r="N44" s="2706"/>
      <c r="O44" s="2764"/>
      <c r="P44" s="3823"/>
      <c r="Q44" s="1350">
        <f t="shared" si="14"/>
        <v>111</v>
      </c>
      <c r="R44" s="705" t="s">
        <v>14</v>
      </c>
      <c r="S44" s="706">
        <f t="shared" si="10"/>
        <v>100</v>
      </c>
      <c r="T44" s="705" t="s">
        <v>14</v>
      </c>
      <c r="U44" s="706">
        <f t="shared" si="11"/>
        <v>100</v>
      </c>
      <c r="V44" s="705" t="s">
        <v>14</v>
      </c>
      <c r="W44" s="706">
        <f t="shared" si="12"/>
        <v>100</v>
      </c>
      <c r="X44" s="1353"/>
      <c r="Y44" s="3823"/>
      <c r="Z44" s="1354">
        <f t="shared" si="13"/>
        <v>111</v>
      </c>
      <c r="AA44" s="1351">
        <f t="shared" si="3"/>
        <v>1</v>
      </c>
      <c r="AB44" s="1351">
        <f t="shared" si="4"/>
        <v>1</v>
      </c>
      <c r="AC44" s="1351">
        <f t="shared" si="5"/>
        <v>1</v>
      </c>
    </row>
    <row r="45" spans="1:29" s="422" customFormat="1" ht="15.75" hidden="1" thickBot="1">
      <c r="A45" s="419"/>
      <c r="B45" s="1133">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1"/>
      <c r="M45" s="2713"/>
      <c r="N45" s="2713"/>
      <c r="O45" s="2765"/>
      <c r="P45" s="3823"/>
      <c r="Q45" s="1350">
        <f t="shared" si="14"/>
        <v>111</v>
      </c>
      <c r="R45" s="708" t="s">
        <v>14</v>
      </c>
      <c r="S45" s="709">
        <f t="shared" si="10"/>
        <v>100</v>
      </c>
      <c r="T45" s="708" t="s">
        <v>14</v>
      </c>
      <c r="U45" s="709">
        <f t="shared" si="11"/>
        <v>100</v>
      </c>
      <c r="V45" s="708" t="s">
        <v>14</v>
      </c>
      <c r="W45" s="709">
        <f t="shared" si="12"/>
        <v>100</v>
      </c>
      <c r="X45" s="710"/>
      <c r="Y45" s="3823"/>
      <c r="Z45" s="711">
        <f t="shared" si="13"/>
        <v>111</v>
      </c>
      <c r="AA45" s="1351">
        <f t="shared" si="3"/>
        <v>1</v>
      </c>
      <c r="AB45" s="1351">
        <f t="shared" si="4"/>
        <v>1</v>
      </c>
      <c r="AC45" s="1351">
        <f t="shared" si="5"/>
        <v>1</v>
      </c>
    </row>
    <row r="46" spans="1:29" ht="15">
      <c r="A46" s="430" t="s">
        <v>1844</v>
      </c>
      <c r="B46" s="1978" t="s">
        <v>1879</v>
      </c>
      <c r="C46" s="630" t="s">
        <v>0</v>
      </c>
      <c r="D46" s="432"/>
      <c r="E46" s="433">
        <f>土地案例!AP2</f>
        <v>10561</v>
      </c>
      <c r="F46" s="434"/>
      <c r="G46" s="435">
        <f>土地案例!AP3</f>
        <v>10110</v>
      </c>
      <c r="H46" s="436"/>
      <c r="I46" s="433">
        <f>土地案例!AP4</f>
        <v>12825</v>
      </c>
      <c r="J46" s="436"/>
      <c r="K46" s="714"/>
      <c r="L46" s="2714"/>
      <c r="M46" s="2715"/>
      <c r="N46" s="2706"/>
      <c r="O46" s="2715"/>
      <c r="P46" s="3805" t="str">
        <f>A46</f>
        <v>成交单价</v>
      </c>
      <c r="Q46" s="3805"/>
      <c r="R46" s="3818">
        <f>E46</f>
        <v>10561</v>
      </c>
      <c r="S46" s="3818"/>
      <c r="T46" s="3818">
        <f>G46</f>
        <v>10110</v>
      </c>
      <c r="U46" s="3818"/>
      <c r="V46" s="3818">
        <f>I46</f>
        <v>12825</v>
      </c>
      <c r="W46" s="3818"/>
      <c r="X46" s="690"/>
      <c r="Y46" s="712"/>
      <c r="Z46" s="690"/>
      <c r="AA46" s="690"/>
      <c r="AB46" s="690"/>
      <c r="AC46" s="690"/>
    </row>
    <row r="47" spans="1:29" ht="15.75" thickBot="1">
      <c r="A47" s="437" t="s">
        <v>1793</v>
      </c>
      <c r="B47" s="631"/>
      <c r="C47" s="440">
        <f>R48</f>
        <v>11680</v>
      </c>
      <c r="D47" s="2313" t="s">
        <v>2138</v>
      </c>
      <c r="E47" s="440">
        <f>R47</f>
        <v>10966</v>
      </c>
      <c r="F47" s="2314"/>
      <c r="G47" s="439">
        <f>T47</f>
        <v>10704</v>
      </c>
      <c r="H47" s="2314"/>
      <c r="I47" s="440">
        <f>V47</f>
        <v>13369</v>
      </c>
      <c r="J47" s="2314"/>
      <c r="K47" s="2316">
        <f>F47+H47+J47</f>
        <v>0</v>
      </c>
      <c r="L47" s="2714"/>
      <c r="M47" s="2715"/>
      <c r="N47" s="2715"/>
      <c r="O47" s="2715"/>
      <c r="P47" s="3805" t="str">
        <f>A47</f>
        <v>比较价值（元/平方米）</v>
      </c>
      <c r="Q47" s="3805"/>
      <c r="R47" s="3824">
        <f>ROUND(PRODUCT(R46,AA7:AA45),0)</f>
        <v>10966</v>
      </c>
      <c r="S47" s="3824"/>
      <c r="T47" s="3824">
        <f>ROUND(PRODUCT(T46,AB7:AB45),0)</f>
        <v>10704</v>
      </c>
      <c r="U47" s="3824"/>
      <c r="V47" s="3824">
        <f>ROUND(PRODUCT(V46,AC7:AC45),0)</f>
        <v>13369</v>
      </c>
      <c r="W47" s="3824"/>
      <c r="X47" s="690"/>
      <c r="Y47" s="690"/>
      <c r="Z47" s="690"/>
      <c r="AA47" s="690"/>
      <c r="AB47" s="690"/>
      <c r="AC47" s="690"/>
    </row>
    <row r="48" spans="1:29" ht="15.75" thickBot="1">
      <c r="A48" s="441" t="s">
        <v>1880</v>
      </c>
      <c r="B48" s="442"/>
      <c r="C48" s="443">
        <f>R48</f>
        <v>11680</v>
      </c>
      <c r="D48" s="443"/>
      <c r="E48" s="443"/>
      <c r="F48" s="443"/>
      <c r="G48" s="443"/>
      <c r="H48" s="443"/>
      <c r="I48" s="443"/>
      <c r="J48" s="443"/>
      <c r="K48" s="715"/>
      <c r="L48" s="2714"/>
      <c r="M48" s="2715"/>
      <c r="N48" s="2715"/>
      <c r="O48" s="2715"/>
      <c r="P48" s="3825" t="str">
        <f>A48</f>
        <v>估价对象XX用房的比较价值（楼面单价，元/平方米）</v>
      </c>
      <c r="Q48" s="3826"/>
      <c r="R48" s="3827">
        <f>ROUND(IF(D47="简单平均",AVERAGE(R47:W47),R47*F47+T47*H47+V47*J47),0)</f>
        <v>11680</v>
      </c>
      <c r="S48" s="3827"/>
      <c r="T48" s="3827"/>
      <c r="U48" s="3827"/>
      <c r="V48" s="3827"/>
      <c r="W48" s="3827"/>
      <c r="X48" s="690"/>
      <c r="Y48" s="690"/>
      <c r="Z48" s="690"/>
      <c r="AA48" s="690"/>
      <c r="AB48" s="690"/>
      <c r="AC48" s="690"/>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1795</v>
      </c>
      <c r="D51" s="447"/>
      <c r="E51" s="448">
        <f>IF(E46&lt;E47,E47/E46-1,E46/E47-1)</f>
        <v>3.8348641227156532E-2</v>
      </c>
      <c r="F51" s="449" t="str">
        <f>IF(OR(E51&gt;=0.3,E51&lt;=-0.3),"超过30%","")</f>
        <v/>
      </c>
      <c r="G51" s="448">
        <f>IF(G46&lt;G47,G47/G46-1,G46/G47-1)</f>
        <v>5.8753709198813064E-2</v>
      </c>
      <c r="H51" s="449" t="str">
        <f>IF(OR(G51&gt;=0.3,G51&lt;=-0.3),"超过30%","")</f>
        <v/>
      </c>
      <c r="I51" s="448">
        <f>IF(I46&lt;I47,I47/I46-1,I46/I47-1)</f>
        <v>4.2417153996101353E-2</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1796</v>
      </c>
      <c r="D52" s="450"/>
      <c r="E52" s="448">
        <f>IF(E47&lt;G47,G47/E47-1,E47/G47-1)</f>
        <v>2.4476831091180928E-2</v>
      </c>
      <c r="F52" s="449" t="str">
        <f>IF(OR(E52&gt;=0.2,E52&lt;=-0.2),"超过20%","")</f>
        <v/>
      </c>
      <c r="G52" s="448">
        <f>IF(G47&lt;I47,I47/G47-1,G47/I47-1)</f>
        <v>0.24897234678624813</v>
      </c>
      <c r="H52" s="449" t="str">
        <f>IF(OR(G52&gt;=0.2,G52&lt;=-0.2),"超过20%","")</f>
        <v>超过20%</v>
      </c>
      <c r="I52" s="448">
        <f>IF(I47&lt;E47,E47/I47-1,I47/E47-1)</f>
        <v>0.21913186211927771</v>
      </c>
      <c r="J52" s="449" t="str">
        <f>IF(OR(I52&gt;=0.2,I52&lt;=-0.2),"超过20%","")</f>
        <v>超过20%</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3"/>
      <c r="D54" s="691"/>
      <c r="E54" s="691"/>
      <c r="F54" s="691"/>
      <c r="G54" s="691"/>
      <c r="H54" s="691"/>
      <c r="I54" s="691"/>
      <c r="J54" s="691"/>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2" t="s">
        <v>1881</v>
      </c>
      <c r="B55" s="633" t="s">
        <v>1882</v>
      </c>
      <c r="C55" s="1979" t="s">
        <v>1883</v>
      </c>
      <c r="D55" s="1980" t="s">
        <v>1884</v>
      </c>
      <c r="E55" s="634" t="s">
        <v>1885</v>
      </c>
      <c r="F55" s="889" t="s">
        <v>1886</v>
      </c>
      <c r="G55" s="3806" t="s">
        <v>1887</v>
      </c>
      <c r="H55" s="3828"/>
      <c r="I55" s="135" t="s">
        <v>1888</v>
      </c>
      <c r="J55" s="1981">
        <f>项目基本情况!F35</f>
        <v>0</v>
      </c>
      <c r="K55" s="1982" t="s">
        <v>1889</v>
      </c>
      <c r="L55" s="2716"/>
      <c r="M55" s="2715"/>
      <c r="N55" s="2715"/>
      <c r="O55" s="2715"/>
      <c r="P55" s="2715"/>
      <c r="Q55" s="2715"/>
      <c r="R55" s="2715"/>
      <c r="S55" s="2715"/>
      <c r="T55" s="2715"/>
      <c r="U55" s="2715"/>
      <c r="V55" s="2715"/>
      <c r="W55" s="2715"/>
      <c r="X55" s="2715"/>
      <c r="Y55" s="2715"/>
      <c r="Z55" s="2715"/>
      <c r="AA55" s="2715"/>
      <c r="AB55" s="2715"/>
      <c r="AC55" s="2715"/>
    </row>
    <row r="56" spans="1:29" s="640" customFormat="1">
      <c r="A56" s="636" t="s">
        <v>1890</v>
      </c>
      <c r="B56" s="637">
        <f>C48</f>
        <v>11680</v>
      </c>
      <c r="C56" s="638">
        <v>1</v>
      </c>
      <c r="D56" s="943">
        <v>1</v>
      </c>
      <c r="E56" s="638">
        <f>'数据-汇总表'!E8+'数据-汇总表'!E9</f>
        <v>34681.870000000003</v>
      </c>
      <c r="F56" s="885">
        <f t="shared" ref="F56:F64" si="15">ROUND(B56*E56/10000,0)</f>
        <v>40508</v>
      </c>
      <c r="G56" s="3829"/>
      <c r="H56" s="3805"/>
      <c r="I56" s="890">
        <v>1</v>
      </c>
      <c r="J56" s="893">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40" customFormat="1">
      <c r="A57" s="641" t="s">
        <v>1891</v>
      </c>
      <c r="B57" s="218">
        <f>ROUND($C$48*C57*D57,0)</f>
        <v>1752</v>
      </c>
      <c r="C57" s="171">
        <f t="shared" ref="C57:C64" si="16">IF($C$55="北京市系数",I57,J57)</f>
        <v>0.6</v>
      </c>
      <c r="D57" s="944">
        <v>0.25</v>
      </c>
      <c r="E57" s="642"/>
      <c r="F57" s="885">
        <f t="shared" si="15"/>
        <v>0</v>
      </c>
      <c r="G57" s="2996" t="s">
        <v>1892</v>
      </c>
      <c r="H57" s="886" t="str">
        <f>项目基本情况!B37</f>
        <v>七级</v>
      </c>
      <c r="I57" s="890">
        <f>SUMIF(修正!A57:A68,H57,修正!B57:B68)</f>
        <v>0.6</v>
      </c>
      <c r="J57" s="894"/>
      <c r="K57" s="2715"/>
      <c r="L57" s="2772"/>
      <c r="M57" s="2772"/>
      <c r="N57" s="2772"/>
      <c r="O57" s="2772"/>
      <c r="P57" s="2772"/>
      <c r="Q57" s="2772"/>
      <c r="R57" s="2772"/>
      <c r="S57" s="2772"/>
      <c r="T57" s="2772"/>
      <c r="U57" s="2772"/>
      <c r="V57" s="2772"/>
      <c r="W57" s="2772"/>
      <c r="X57" s="2772"/>
      <c r="Y57" s="2772"/>
      <c r="Z57" s="2772"/>
      <c r="AA57" s="2772"/>
      <c r="AB57" s="2772"/>
      <c r="AC57" s="2772"/>
    </row>
    <row r="58" spans="1:29" s="640" customFormat="1">
      <c r="A58" s="641" t="s">
        <v>1893</v>
      </c>
      <c r="B58" s="218">
        <f t="shared" ref="B58:B64" si="17">ROUND($C$48*C58*D58,0)</f>
        <v>876</v>
      </c>
      <c r="C58" s="171">
        <f t="shared" si="16"/>
        <v>0.3</v>
      </c>
      <c r="D58" s="944">
        <v>0.25</v>
      </c>
      <c r="E58" s="642"/>
      <c r="F58" s="885">
        <f t="shared" si="15"/>
        <v>0</v>
      </c>
      <c r="G58" s="2997"/>
      <c r="H58" s="886" t="str">
        <f>项目基本情况!B37</f>
        <v>七级</v>
      </c>
      <c r="I58" s="890">
        <f>SUMIF(修正!A57:A68,H58,修正!C57:C68)</f>
        <v>0.3</v>
      </c>
      <c r="J58" s="894"/>
      <c r="K58" s="2718"/>
      <c r="L58" s="2772"/>
      <c r="M58" s="2772"/>
      <c r="N58" s="2772"/>
      <c r="O58" s="2772"/>
      <c r="P58" s="2772"/>
      <c r="Q58" s="2772"/>
      <c r="R58" s="2772"/>
      <c r="S58" s="2772"/>
      <c r="T58" s="2772"/>
      <c r="U58" s="2772"/>
      <c r="V58" s="2772"/>
      <c r="W58" s="2772"/>
      <c r="X58" s="2772"/>
      <c r="Y58" s="2772"/>
      <c r="Z58" s="2772"/>
      <c r="AA58" s="2772"/>
      <c r="AB58" s="2772"/>
      <c r="AC58" s="2772"/>
    </row>
    <row r="59" spans="1:29" s="640" customFormat="1">
      <c r="A59" s="641" t="s">
        <v>1894</v>
      </c>
      <c r="B59" s="218">
        <f t="shared" si="17"/>
        <v>730</v>
      </c>
      <c r="C59" s="171">
        <f t="shared" si="16"/>
        <v>0.25</v>
      </c>
      <c r="D59" s="944">
        <v>0.25</v>
      </c>
      <c r="E59" s="642"/>
      <c r="F59" s="885">
        <f t="shared" si="15"/>
        <v>0</v>
      </c>
      <c r="G59" s="2997"/>
      <c r="H59" s="886" t="str">
        <f>项目基本情况!B37</f>
        <v>七级</v>
      </c>
      <c r="I59" s="890">
        <f>SUMIF(修正!A57:A68,H59,修正!D57:D68)</f>
        <v>0.25</v>
      </c>
      <c r="J59" s="894"/>
      <c r="K59" s="2715"/>
      <c r="L59" s="2772"/>
      <c r="M59" s="2772"/>
      <c r="N59" s="2772"/>
      <c r="O59" s="2772"/>
      <c r="P59" s="2772"/>
      <c r="Q59" s="2772"/>
      <c r="R59" s="2772"/>
      <c r="S59" s="2772"/>
      <c r="T59" s="2772"/>
      <c r="U59" s="2772"/>
      <c r="V59" s="2772"/>
      <c r="W59" s="2772"/>
      <c r="X59" s="2772"/>
      <c r="Y59" s="2772"/>
      <c r="Z59" s="2772"/>
      <c r="AA59" s="2772"/>
      <c r="AB59" s="2772"/>
      <c r="AC59" s="2772"/>
    </row>
    <row r="60" spans="1:29" s="640" customFormat="1">
      <c r="A60" s="641" t="s">
        <v>1895</v>
      </c>
      <c r="B60" s="218">
        <f t="shared" si="17"/>
        <v>730</v>
      </c>
      <c r="C60" s="171">
        <f t="shared" si="16"/>
        <v>0.25</v>
      </c>
      <c r="D60" s="944">
        <v>0.25</v>
      </c>
      <c r="E60" s="217">
        <f>'数据-汇总表'!E11</f>
        <v>0</v>
      </c>
      <c r="F60" s="885">
        <f t="shared" si="15"/>
        <v>0</v>
      </c>
      <c r="G60" s="1983" t="s">
        <v>1896</v>
      </c>
      <c r="H60" s="886" t="str">
        <f>项目基本情况!C37</f>
        <v>七级</v>
      </c>
      <c r="I60" s="890">
        <f>SUMIF(修正!A57:A68,H60,修正!E57:E68)</f>
        <v>0.25</v>
      </c>
      <c r="J60" s="894"/>
      <c r="K60" s="2715"/>
      <c r="L60" s="2772"/>
      <c r="M60" s="2772"/>
      <c r="N60" s="2772"/>
      <c r="O60" s="2772"/>
      <c r="P60" s="2772"/>
      <c r="Q60" s="2772"/>
      <c r="R60" s="2772"/>
      <c r="S60" s="2772"/>
      <c r="T60" s="2772"/>
      <c r="U60" s="2772"/>
      <c r="V60" s="2772"/>
      <c r="W60" s="2772"/>
      <c r="X60" s="2772"/>
      <c r="Y60" s="2772"/>
      <c r="Z60" s="2772"/>
      <c r="AA60" s="2772"/>
      <c r="AB60" s="2772"/>
      <c r="AC60" s="2772"/>
    </row>
    <row r="61" spans="1:29" s="640" customFormat="1">
      <c r="A61" s="641" t="s">
        <v>1897</v>
      </c>
      <c r="B61" s="218">
        <f t="shared" si="17"/>
        <v>730</v>
      </c>
      <c r="C61" s="171">
        <f t="shared" si="16"/>
        <v>0.25</v>
      </c>
      <c r="D61" s="944">
        <v>0.25</v>
      </c>
      <c r="E61" s="217">
        <f>'数据-汇总表'!E12</f>
        <v>0</v>
      </c>
      <c r="F61" s="885">
        <f t="shared" si="15"/>
        <v>0</v>
      </c>
      <c r="G61" s="891" t="s">
        <v>1898</v>
      </c>
      <c r="H61" s="886" t="str">
        <f>IF(G61="商业",项目基本情况!B37,IF(G61="办公",项目基本情况!C37,IF(G61="住宅",项目基本情况!D37,项目基本情况!E37)))</f>
        <v>七级</v>
      </c>
      <c r="I61" s="890">
        <f>SUMIF(修正!A57:A68,H61,修正!F57:F68)</f>
        <v>0.25</v>
      </c>
      <c r="J61" s="894"/>
      <c r="K61" s="2718"/>
      <c r="L61" s="2772"/>
      <c r="M61" s="2772"/>
      <c r="N61" s="2772"/>
      <c r="O61" s="2772"/>
      <c r="P61" s="2772"/>
      <c r="Q61" s="2772"/>
      <c r="R61" s="2772"/>
      <c r="S61" s="2772"/>
      <c r="T61" s="2772"/>
      <c r="U61" s="2772"/>
      <c r="V61" s="2772"/>
      <c r="W61" s="2772"/>
      <c r="X61" s="2772"/>
      <c r="Y61" s="2772"/>
      <c r="Z61" s="2772"/>
      <c r="AA61" s="2772"/>
      <c r="AB61" s="2772"/>
      <c r="AC61" s="2772"/>
    </row>
    <row r="62" spans="1:29" s="640" customFormat="1">
      <c r="A62" s="641" t="s">
        <v>1899</v>
      </c>
      <c r="B62" s="218">
        <f t="shared" si="17"/>
        <v>438</v>
      </c>
      <c r="C62" s="171">
        <f t="shared" si="16"/>
        <v>0.15</v>
      </c>
      <c r="D62" s="944">
        <v>0.25</v>
      </c>
      <c r="E62" s="217">
        <f>'数据-汇总表'!E13</f>
        <v>453.68</v>
      </c>
      <c r="F62" s="885">
        <f t="shared" si="15"/>
        <v>20</v>
      </c>
      <c r="G62" s="891" t="s">
        <v>1900</v>
      </c>
      <c r="H62" s="886" t="str">
        <f>IF(G62="商业",项目基本情况!B37,IF(G62="办公",项目基本情况!C37,IF(G62="住宅",项目基本情况!D37,项目基本情况!E37)))</f>
        <v>七级</v>
      </c>
      <c r="I62" s="890">
        <f>SUMIF(修正!A57:A68,H62,修正!G57:G68)</f>
        <v>0.15</v>
      </c>
      <c r="J62" s="894"/>
      <c r="K62" s="2715"/>
      <c r="L62" s="2772"/>
      <c r="M62" s="2772"/>
      <c r="N62" s="2772"/>
      <c r="O62" s="2772"/>
      <c r="P62" s="2772"/>
      <c r="Q62" s="2772"/>
      <c r="R62" s="2772"/>
      <c r="S62" s="2772"/>
      <c r="T62" s="2772"/>
      <c r="U62" s="2772"/>
      <c r="V62" s="2772"/>
      <c r="W62" s="2772"/>
      <c r="X62" s="2772"/>
      <c r="Y62" s="2772"/>
      <c r="Z62" s="2772"/>
      <c r="AA62" s="2772"/>
      <c r="AB62" s="2772"/>
      <c r="AC62" s="2772"/>
    </row>
    <row r="63" spans="1:29" s="640" customFormat="1">
      <c r="A63" s="641" t="s">
        <v>1901</v>
      </c>
      <c r="B63" s="218">
        <f t="shared" si="17"/>
        <v>438</v>
      </c>
      <c r="C63" s="171">
        <f t="shared" si="16"/>
        <v>0.15</v>
      </c>
      <c r="D63" s="944">
        <v>0.25</v>
      </c>
      <c r="E63" s="217">
        <f>'数据-汇总表'!E14</f>
        <v>0</v>
      </c>
      <c r="F63" s="885">
        <f t="shared" si="15"/>
        <v>0</v>
      </c>
      <c r="G63" s="1983" t="s">
        <v>1892</v>
      </c>
      <c r="H63" s="886" t="str">
        <f>项目基本情况!B37</f>
        <v>七级</v>
      </c>
      <c r="I63" s="890">
        <f>SUMIF(修正!A57:A68,H63,修正!G57:G68)</f>
        <v>0.15</v>
      </c>
      <c r="J63" s="894"/>
      <c r="K63" s="2718"/>
      <c r="L63" s="2772"/>
      <c r="M63" s="2772"/>
      <c r="N63" s="2772"/>
      <c r="O63" s="2772"/>
      <c r="P63" s="2772"/>
      <c r="Q63" s="2772"/>
      <c r="R63" s="2772"/>
      <c r="S63" s="2772"/>
      <c r="T63" s="2772"/>
      <c r="U63" s="2772"/>
      <c r="V63" s="2772"/>
      <c r="W63" s="2772"/>
      <c r="X63" s="2772"/>
      <c r="Y63" s="2772"/>
      <c r="Z63" s="2772"/>
      <c r="AA63" s="2772"/>
      <c r="AB63" s="2772"/>
      <c r="AC63" s="2772"/>
    </row>
    <row r="64" spans="1:29" s="640" customFormat="1" ht="15" thickBot="1">
      <c r="A64" s="641" t="s">
        <v>1902</v>
      </c>
      <c r="B64" s="218">
        <f t="shared" si="17"/>
        <v>438</v>
      </c>
      <c r="C64" s="171">
        <f t="shared" si="16"/>
        <v>0.15</v>
      </c>
      <c r="D64" s="944">
        <v>0.25</v>
      </c>
      <c r="E64" s="217">
        <f>'数据-汇总表'!E15</f>
        <v>0</v>
      </c>
      <c r="F64" s="885">
        <f t="shared" si="15"/>
        <v>0</v>
      </c>
      <c r="G64" s="1984" t="s">
        <v>1896</v>
      </c>
      <c r="H64" s="896" t="str">
        <f>项目基本情况!C37</f>
        <v>七级</v>
      </c>
      <c r="I64" s="892">
        <f>SUMIF(修正!A57:A68,H64,修正!G57:G68)</f>
        <v>0.15</v>
      </c>
      <c r="J64" s="895"/>
      <c r="K64" s="2715"/>
      <c r="L64" s="2772"/>
      <c r="M64" s="2772"/>
      <c r="N64" s="2772"/>
      <c r="O64" s="2772"/>
      <c r="P64" s="2772"/>
      <c r="Q64" s="2772"/>
      <c r="R64" s="2772"/>
      <c r="S64" s="2772"/>
      <c r="T64" s="2772"/>
      <c r="U64" s="2772"/>
      <c r="V64" s="2772"/>
      <c r="W64" s="2772"/>
      <c r="X64" s="2772"/>
      <c r="Y64" s="2772"/>
      <c r="Z64" s="2772"/>
      <c r="AA64" s="2772"/>
      <c r="AB64" s="2772"/>
      <c r="AC64" s="2772"/>
    </row>
    <row r="65" spans="1:29" s="640" customFormat="1" ht="13.5" thickBot="1">
      <c r="A65" s="643" t="s">
        <v>1903</v>
      </c>
      <c r="B65" s="644" t="s">
        <v>22</v>
      </c>
      <c r="C65" s="644" t="s">
        <v>23</v>
      </c>
      <c r="D65" s="644" t="s">
        <v>392</v>
      </c>
      <c r="E65" s="644">
        <f>IF(B46="楼面地价",SUM(E56:E64),'数据-汇总表'!D3)</f>
        <v>35135.550000000003</v>
      </c>
      <c r="F65" s="645">
        <f>IF(B46="楼面地价",SUM(F56:F64),ROUND(C48*E65/10000,0))</f>
        <v>40528</v>
      </c>
      <c r="G65" s="717"/>
      <c r="H65" s="717"/>
      <c r="I65" s="717"/>
      <c r="J65" s="717"/>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90"/>
      <c r="B66" s="692"/>
      <c r="C66" s="693"/>
      <c r="D66" s="690"/>
      <c r="E66" s="690"/>
      <c r="F66" s="690"/>
      <c r="G66" s="690"/>
      <c r="H66" s="690"/>
      <c r="I66" s="690"/>
      <c r="J66" s="926"/>
      <c r="K66" s="887"/>
      <c r="L66" s="888"/>
      <c r="M66" s="926"/>
      <c r="N66" s="926"/>
      <c r="O66" s="926"/>
      <c r="P66" s="2715"/>
      <c r="Q66" s="2715"/>
      <c r="R66" s="2715"/>
      <c r="S66" s="2715"/>
      <c r="T66" s="2715"/>
      <c r="U66" s="2715"/>
      <c r="V66" s="2715"/>
      <c r="W66" s="2715"/>
      <c r="X66" s="2715"/>
      <c r="Y66" s="2715"/>
      <c r="Z66" s="2715"/>
      <c r="AA66" s="2715"/>
      <c r="AB66" s="2715"/>
      <c r="AC66" s="271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5"/>
      <c r="Q67" s="2715"/>
      <c r="R67" s="2715"/>
      <c r="S67" s="2715"/>
      <c r="T67" s="2715"/>
      <c r="U67" s="2715"/>
      <c r="V67" s="2715"/>
      <c r="W67" s="2715"/>
      <c r="X67" s="2715"/>
      <c r="Y67" s="2715"/>
      <c r="Z67" s="2715"/>
      <c r="AA67" s="2715"/>
      <c r="AB67" s="2715"/>
      <c r="AC67" s="2715"/>
    </row>
    <row r="68" spans="1:29" ht="21.75" thickBot="1">
      <c r="A68" s="694" t="s">
        <v>1798</v>
      </c>
      <c r="B68" s="690"/>
      <c r="C68" s="695"/>
      <c r="D68" s="695"/>
      <c r="E68" s="695"/>
      <c r="F68" s="696"/>
      <c r="G68" s="696"/>
      <c r="H68" s="695"/>
      <c r="I68" s="695"/>
      <c r="J68" s="939"/>
      <c r="K68" s="940"/>
      <c r="L68" s="941"/>
      <c r="M68" s="939"/>
      <c r="N68" s="2759"/>
      <c r="O68" s="2759"/>
      <c r="P68" s="2759"/>
      <c r="Q68" s="2729"/>
      <c r="R68" s="2715"/>
      <c r="S68" s="2715"/>
      <c r="T68" s="2715"/>
      <c r="U68" s="2715"/>
      <c r="V68" s="2715"/>
      <c r="W68" s="2715"/>
      <c r="X68" s="2715"/>
      <c r="Y68" s="2715"/>
      <c r="Z68" s="2715"/>
      <c r="AA68" s="2715"/>
      <c r="AB68" s="2715"/>
      <c r="AC68" s="2715"/>
    </row>
    <row r="69" spans="1:29" s="457" customFormat="1" ht="15">
      <c r="A69" s="1985"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6"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1716</v>
      </c>
      <c r="B71" s="465"/>
      <c r="C71" s="466"/>
      <c r="D71" s="467"/>
      <c r="E71" s="467"/>
      <c r="F71" s="467"/>
      <c r="G71" s="467"/>
      <c r="H71" s="467"/>
      <c r="I71" s="467"/>
      <c r="J71" s="467"/>
      <c r="K71" s="467"/>
      <c r="L71" s="467"/>
      <c r="M71" s="468"/>
      <c r="N71" s="467"/>
      <c r="O71" s="942"/>
      <c r="P71" s="2729"/>
      <c r="Q71" s="2729"/>
      <c r="R71" s="2651"/>
      <c r="S71" s="2651"/>
      <c r="T71" s="2651"/>
      <c r="U71" s="2651"/>
      <c r="V71" s="2651"/>
      <c r="W71" s="2651"/>
      <c r="X71" s="2651"/>
      <c r="Y71" s="2651"/>
      <c r="Z71" s="2651"/>
      <c r="AA71" s="2651"/>
      <c r="AB71" s="2651"/>
      <c r="AC71" s="2651"/>
    </row>
    <row r="72" spans="1:29" s="108" customFormat="1" ht="15">
      <c r="A72" s="470" t="s">
        <v>1681</v>
      </c>
      <c r="B72" s="459"/>
      <c r="C72" s="471" t="s">
        <v>1776</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7">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1719</v>
      </c>
      <c r="B74" s="477" t="s">
        <v>1685</v>
      </c>
      <c r="C74" s="479" t="s">
        <v>3662</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1688</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1</v>
      </c>
      <c r="E79" s="498">
        <v>2</v>
      </c>
      <c r="F79" s="498">
        <v>3</v>
      </c>
      <c r="G79" s="498">
        <v>4</v>
      </c>
      <c r="H79" s="498">
        <v>5</v>
      </c>
      <c r="I79" s="498">
        <v>6</v>
      </c>
      <c r="J79" s="498"/>
      <c r="K79" s="499"/>
      <c r="L79" s="500"/>
      <c r="M79" s="501"/>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1690</v>
      </c>
      <c r="B87" s="477" t="s">
        <v>1720</v>
      </c>
      <c r="C87" s="522" t="s">
        <v>1721</v>
      </c>
      <c r="D87" s="522" t="s">
        <v>1722</v>
      </c>
      <c r="E87" s="522" t="s">
        <v>1723</v>
      </c>
      <c r="F87" s="522" t="s">
        <v>1724</v>
      </c>
      <c r="G87" s="522" t="s">
        <v>1725</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1906</v>
      </c>
      <c r="C89" s="527" t="s">
        <v>1721</v>
      </c>
      <c r="D89" s="527" t="s">
        <v>1722</v>
      </c>
      <c r="E89" s="527" t="s">
        <v>1723</v>
      </c>
      <c r="F89" s="527" t="s">
        <v>1724</v>
      </c>
      <c r="G89" s="527" t="s">
        <v>1725</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1821</v>
      </c>
      <c r="C91" s="527" t="s">
        <v>1721</v>
      </c>
      <c r="D91" s="527" t="s">
        <v>1722</v>
      </c>
      <c r="E91" s="527" t="s">
        <v>1723</v>
      </c>
      <c r="F91" s="527" t="s">
        <v>1724</v>
      </c>
      <c r="G91" s="527" t="s">
        <v>1725</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98</v>
      </c>
      <c r="E92" s="493">
        <f>D92-$K19</f>
        <v>96</v>
      </c>
      <c r="F92" s="493">
        <f>E92-$K19</f>
        <v>94</v>
      </c>
      <c r="G92" s="493">
        <f>F92-$K19</f>
        <v>92</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1726</v>
      </c>
      <c r="C93" s="527" t="s">
        <v>1721</v>
      </c>
      <c r="D93" s="527" t="s">
        <v>1722</v>
      </c>
      <c r="E93" s="527" t="s">
        <v>1723</v>
      </c>
      <c r="F93" s="527" t="s">
        <v>1724</v>
      </c>
      <c r="G93" s="527" t="s">
        <v>1725</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98</v>
      </c>
      <c r="E94" s="493">
        <f>D94-$K21</f>
        <v>96</v>
      </c>
      <c r="F94" s="493">
        <f>E94-$K21</f>
        <v>94</v>
      </c>
      <c r="G94" s="493">
        <f>F94-$K21</f>
        <v>92</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1815</v>
      </c>
      <c r="C105" s="503"/>
      <c r="D105" s="503"/>
      <c r="E105" s="503"/>
      <c r="F105" s="503"/>
      <c r="G105" s="503"/>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1873</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3"/>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5"/>
      <c r="E114" s="625"/>
      <c r="F114" s="625"/>
      <c r="G114" s="625"/>
      <c r="H114" s="625"/>
      <c r="I114" s="625"/>
      <c r="J114" s="625"/>
      <c r="K114" s="625"/>
      <c r="L114" s="625"/>
      <c r="M114" s="647"/>
      <c r="N114" s="2744"/>
      <c r="O114" s="2744"/>
      <c r="P114" s="2769"/>
      <c r="Q114" s="2736"/>
      <c r="R114" s="2737"/>
      <c r="S114" s="2737"/>
      <c r="T114" s="2737"/>
      <c r="U114" s="2737"/>
      <c r="V114" s="2737"/>
      <c r="W114" s="2737"/>
      <c r="X114" s="2737"/>
      <c r="Y114" s="2737"/>
      <c r="Z114" s="2737"/>
      <c r="AA114" s="2737"/>
      <c r="AB114" s="2737"/>
      <c r="AC114" s="2737"/>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10000</v>
      </c>
      <c r="E116" s="544">
        <v>20000</v>
      </c>
      <c r="F116" s="544">
        <v>30000</v>
      </c>
      <c r="G116" s="544">
        <v>50000</v>
      </c>
      <c r="H116" s="544">
        <v>100000</v>
      </c>
      <c r="I116" s="544">
        <v>200000</v>
      </c>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1914</v>
      </c>
      <c r="C118" s="3464" t="s">
        <v>3665</v>
      </c>
      <c r="D118" s="3464" t="s">
        <v>3666</v>
      </c>
      <c r="E118" s="3464" t="s">
        <v>3667</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1915</v>
      </c>
      <c r="C120" s="3465" t="s">
        <v>3668</v>
      </c>
      <c r="D120" s="3465" t="s">
        <v>3669</v>
      </c>
      <c r="E120" s="503"/>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8"/>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28" zoomScale="80" zoomScaleNormal="80" workbookViewId="0">
      <selection activeCell="A4" sqref="A4"/>
    </sheetView>
  </sheetViews>
  <sheetFormatPr defaultRowHeight="14.25"/>
  <cols>
    <col min="1" max="1" width="38.5" style="3460" customWidth="1"/>
    <col min="2" max="4" width="20" style="3460" hidden="1" customWidth="1"/>
    <col min="5" max="5" width="10.875" style="3460" customWidth="1"/>
    <col min="6" max="6" width="11.5" style="3460" customWidth="1"/>
    <col min="7" max="7" width="20" style="3460" hidden="1" customWidth="1"/>
    <col min="8" max="8" width="20" style="3460" customWidth="1"/>
    <col min="9" max="9" width="10.375" style="3460" customWidth="1"/>
    <col min="10" max="10" width="12.25" style="3460" customWidth="1"/>
    <col min="11" max="11" width="11.375" style="3460" customWidth="1"/>
    <col min="12" max="12" width="20" style="3460" hidden="1" customWidth="1"/>
    <col min="13" max="14" width="20" style="3460" customWidth="1"/>
    <col min="15" max="28" width="20" style="3460" hidden="1" customWidth="1"/>
    <col min="29" max="29" width="13.75" style="3460" customWidth="1"/>
    <col min="30" max="31" width="20" style="3460" hidden="1" customWidth="1"/>
    <col min="32" max="34" width="20" style="3460" customWidth="1"/>
    <col min="35" max="37" width="20" style="3460" hidden="1" customWidth="1"/>
    <col min="38" max="38" width="11.875" style="3460" customWidth="1"/>
    <col min="39" max="39" width="20" style="3460" hidden="1" customWidth="1"/>
    <col min="40" max="40" width="12.125" style="3460" customWidth="1"/>
    <col min="41" max="41" width="20" style="3460" hidden="1" customWidth="1"/>
    <col min="42" max="42" width="8.25" style="3460" customWidth="1"/>
    <col min="43" max="44" width="20" style="3460" hidden="1" customWidth="1"/>
    <col min="45" max="45" width="9.375" style="3460" customWidth="1"/>
    <col min="46" max="46" width="20" style="3460" customWidth="1"/>
    <col min="47" max="51" width="20" style="3460" hidden="1" customWidth="1"/>
    <col min="52" max="52" width="7.125" style="3460" customWidth="1"/>
    <col min="53" max="53" width="20" style="3460" customWidth="1"/>
    <col min="54" max="16384" width="9" style="3460"/>
  </cols>
  <sheetData>
    <row r="1" spans="1:52">
      <c r="A1" s="3460" t="s">
        <v>3471</v>
      </c>
      <c r="B1" s="3460" t="s">
        <v>3472</v>
      </c>
      <c r="C1" s="3460" t="s">
        <v>3473</v>
      </c>
      <c r="D1" s="3460" t="s">
        <v>3474</v>
      </c>
      <c r="E1" s="3460" t="s">
        <v>3475</v>
      </c>
      <c r="F1" s="3460" t="s">
        <v>3476</v>
      </c>
      <c r="G1" s="3460" t="s">
        <v>3477</v>
      </c>
      <c r="H1" s="3460" t="s">
        <v>3478</v>
      </c>
      <c r="I1" s="3460" t="s">
        <v>3479</v>
      </c>
      <c r="J1" s="3460" t="s">
        <v>3480</v>
      </c>
      <c r="K1" s="3460" t="s">
        <v>3481</v>
      </c>
      <c r="L1" s="3460" t="s">
        <v>3482</v>
      </c>
      <c r="M1" s="3460" t="s">
        <v>3483</v>
      </c>
      <c r="N1" s="3460" t="s">
        <v>3484</v>
      </c>
      <c r="O1" s="3460" t="s">
        <v>3485</v>
      </c>
      <c r="P1" s="3460" t="s">
        <v>3486</v>
      </c>
      <c r="Q1" s="3460" t="s">
        <v>3487</v>
      </c>
      <c r="R1" s="3460" t="s">
        <v>3488</v>
      </c>
      <c r="S1" s="3460" t="s">
        <v>3489</v>
      </c>
      <c r="T1" s="3460" t="s">
        <v>3490</v>
      </c>
      <c r="U1" s="3460" t="s">
        <v>3491</v>
      </c>
      <c r="V1" s="3460" t="s">
        <v>3492</v>
      </c>
      <c r="W1" s="3460" t="s">
        <v>3493</v>
      </c>
      <c r="X1" s="3460" t="s">
        <v>3494</v>
      </c>
      <c r="Y1" s="3460" t="s">
        <v>3495</v>
      </c>
      <c r="Z1" s="3460" t="s">
        <v>3496</v>
      </c>
      <c r="AA1" s="3460" t="s">
        <v>3497</v>
      </c>
      <c r="AB1" s="3460" t="s">
        <v>3498</v>
      </c>
      <c r="AC1" s="3460" t="s">
        <v>3499</v>
      </c>
      <c r="AD1" s="3460" t="s">
        <v>3500</v>
      </c>
      <c r="AE1" s="3460" t="s">
        <v>3501</v>
      </c>
      <c r="AF1" s="3460" t="s">
        <v>3502</v>
      </c>
      <c r="AG1" s="3460" t="s">
        <v>3503</v>
      </c>
      <c r="AH1" s="3460" t="s">
        <v>3504</v>
      </c>
      <c r="AI1" s="3460" t="s">
        <v>3505</v>
      </c>
      <c r="AJ1" s="3460" t="s">
        <v>3506</v>
      </c>
      <c r="AK1" s="3460" t="s">
        <v>3507</v>
      </c>
      <c r="AL1" s="3460" t="s">
        <v>3508</v>
      </c>
      <c r="AM1" s="3460" t="s">
        <v>3509</v>
      </c>
      <c r="AN1" s="3460" t="s">
        <v>3510</v>
      </c>
      <c r="AO1" s="3460" t="s">
        <v>3511</v>
      </c>
      <c r="AP1" s="3460" t="s">
        <v>3512</v>
      </c>
      <c r="AQ1" s="3460" t="s">
        <v>3513</v>
      </c>
      <c r="AR1" s="3460" t="s">
        <v>3514</v>
      </c>
      <c r="AS1" s="3460" t="s">
        <v>3515</v>
      </c>
      <c r="AT1" s="3460" t="s">
        <v>3516</v>
      </c>
      <c r="AU1" s="3460" t="s">
        <v>3517</v>
      </c>
      <c r="AV1" s="3460" t="s">
        <v>3518</v>
      </c>
      <c r="AW1" s="3460" t="s">
        <v>3519</v>
      </c>
      <c r="AX1" s="3460" t="s">
        <v>3520</v>
      </c>
      <c r="AY1" s="3460" t="s">
        <v>3521</v>
      </c>
      <c r="AZ1" s="3460" t="s">
        <v>3522</v>
      </c>
    </row>
    <row r="2" spans="1:52" s="3462" customFormat="1">
      <c r="A2" s="3462" t="s">
        <v>3670</v>
      </c>
      <c r="B2" s="3462" t="s">
        <v>3375</v>
      </c>
      <c r="C2" s="3462" t="s">
        <v>3551</v>
      </c>
      <c r="D2" s="3462" t="s">
        <v>3525</v>
      </c>
      <c r="E2" s="3462" t="s">
        <v>3526</v>
      </c>
      <c r="F2" s="3462" t="s">
        <v>3552</v>
      </c>
      <c r="G2" s="3462" t="s">
        <v>3553</v>
      </c>
      <c r="H2" s="3462" t="s">
        <v>3529</v>
      </c>
      <c r="I2" s="3462">
        <v>17308.8</v>
      </c>
      <c r="J2" s="3462">
        <v>86544</v>
      </c>
      <c r="K2" s="3462">
        <v>5</v>
      </c>
      <c r="L2" s="3462" t="s">
        <v>3530</v>
      </c>
      <c r="M2" s="3462" t="s">
        <v>3555</v>
      </c>
      <c r="N2" s="3462" t="s">
        <v>3532</v>
      </c>
      <c r="O2" s="3462" t="s">
        <v>3533</v>
      </c>
      <c r="P2" s="3462" t="s">
        <v>3556</v>
      </c>
      <c r="Q2" s="3462">
        <v>100</v>
      </c>
      <c r="R2" s="3462" t="s">
        <v>3534</v>
      </c>
      <c r="S2" s="3462" t="s">
        <v>3534</v>
      </c>
      <c r="T2" s="3462" t="s">
        <v>3534</v>
      </c>
      <c r="U2" s="3462" t="s">
        <v>3534</v>
      </c>
      <c r="V2" s="3462" t="s">
        <v>3534</v>
      </c>
      <c r="W2" s="3462" t="s">
        <v>3534</v>
      </c>
      <c r="X2" s="3462">
        <v>0</v>
      </c>
      <c r="Y2" s="3462">
        <v>0</v>
      </c>
      <c r="Z2" s="3463">
        <v>44701.000497685185</v>
      </c>
      <c r="AA2" s="3463">
        <v>44721.000497685185</v>
      </c>
      <c r="AB2" s="3463">
        <v>44735.000497685185</v>
      </c>
      <c r="AC2" s="3463">
        <v>44735.000497685185</v>
      </c>
      <c r="AD2" s="3462" t="s">
        <v>3557</v>
      </c>
      <c r="AE2" s="3462" t="s">
        <v>3536</v>
      </c>
      <c r="AF2" s="3462" t="s">
        <v>3558</v>
      </c>
      <c r="AG2" s="3462" t="s">
        <v>3559</v>
      </c>
      <c r="AH2" s="3462" t="s">
        <v>3534</v>
      </c>
      <c r="AI2" s="3462">
        <v>91400</v>
      </c>
      <c r="AJ2" s="3462">
        <v>18300</v>
      </c>
      <c r="AK2" s="3462" t="s">
        <v>3560</v>
      </c>
      <c r="AL2" s="3462">
        <v>91400</v>
      </c>
      <c r="AM2" s="3462">
        <v>3520.37</v>
      </c>
      <c r="AN2" s="3462">
        <v>3520.37</v>
      </c>
      <c r="AO2" s="3462">
        <v>10561</v>
      </c>
      <c r="AP2" s="3462">
        <v>10561</v>
      </c>
      <c r="AQ2" s="3462" t="s">
        <v>3534</v>
      </c>
      <c r="AR2" s="3462" t="s">
        <v>3534</v>
      </c>
      <c r="AS2" s="3462">
        <v>0</v>
      </c>
      <c r="AT2" s="3462" t="s">
        <v>3561</v>
      </c>
      <c r="AU2" s="3462" t="s">
        <v>3533</v>
      </c>
      <c r="AV2" s="3462" t="s">
        <v>3534</v>
      </c>
      <c r="AW2" s="3462" t="s">
        <v>3533</v>
      </c>
      <c r="AX2" s="3462" t="s">
        <v>3534</v>
      </c>
      <c r="AY2" s="3462" t="s">
        <v>3534</v>
      </c>
      <c r="AZ2" s="3462" t="s">
        <v>3534</v>
      </c>
    </row>
    <row r="3" spans="1:52" s="3462" customFormat="1">
      <c r="A3" s="3462" t="s">
        <v>3672</v>
      </c>
      <c r="B3" s="3462" t="s">
        <v>3375</v>
      </c>
      <c r="C3" s="3462" t="s">
        <v>3563</v>
      </c>
      <c r="D3" s="3462" t="s">
        <v>3525</v>
      </c>
      <c r="E3" s="3462" t="s">
        <v>3526</v>
      </c>
      <c r="F3" s="3462" t="s">
        <v>3564</v>
      </c>
      <c r="G3" s="3462" t="s">
        <v>3543</v>
      </c>
      <c r="H3" s="3462" t="s">
        <v>3529</v>
      </c>
      <c r="I3" s="3462">
        <v>59169.74</v>
      </c>
      <c r="J3" s="3462">
        <v>130173.43</v>
      </c>
      <c r="K3" s="3462">
        <v>2.2000000000000002</v>
      </c>
      <c r="L3" s="3462" t="s">
        <v>3530</v>
      </c>
      <c r="M3" s="3462" t="s">
        <v>3555</v>
      </c>
      <c r="N3" s="3462" t="s">
        <v>3532</v>
      </c>
      <c r="O3" s="3462" t="s">
        <v>3533</v>
      </c>
      <c r="P3" s="3462" t="s">
        <v>3534</v>
      </c>
      <c r="Q3" s="3462" t="s">
        <v>3534</v>
      </c>
      <c r="R3" s="3462" t="s">
        <v>3534</v>
      </c>
      <c r="S3" s="3462" t="s">
        <v>3534</v>
      </c>
      <c r="T3" s="3462" t="s">
        <v>3534</v>
      </c>
      <c r="U3" s="3462" t="s">
        <v>3534</v>
      </c>
      <c r="V3" s="3462" t="s">
        <v>3534</v>
      </c>
      <c r="W3" s="3462" t="s">
        <v>3534</v>
      </c>
      <c r="X3" s="3462">
        <v>0</v>
      </c>
      <c r="Y3" s="3462">
        <v>0</v>
      </c>
      <c r="Z3" s="3463">
        <v>44648.000497685185</v>
      </c>
      <c r="AA3" s="3463">
        <v>44669.000497685185</v>
      </c>
      <c r="AB3" s="3463">
        <v>44680.000497685185</v>
      </c>
      <c r="AC3" s="3463">
        <v>44680.000497685185</v>
      </c>
      <c r="AD3" s="3462" t="s">
        <v>3566</v>
      </c>
      <c r="AE3" s="3462" t="s">
        <v>3536</v>
      </c>
      <c r="AF3" s="3462" t="s">
        <v>3567</v>
      </c>
      <c r="AG3" s="3462" t="s">
        <v>3568</v>
      </c>
      <c r="AH3" s="3462" t="s">
        <v>3569</v>
      </c>
      <c r="AI3" s="3462">
        <v>131600</v>
      </c>
      <c r="AJ3" s="3462">
        <v>27000</v>
      </c>
      <c r="AK3" s="3462" t="s">
        <v>3570</v>
      </c>
      <c r="AL3" s="3462">
        <v>131600</v>
      </c>
      <c r="AM3" s="3462">
        <v>1482.74</v>
      </c>
      <c r="AN3" s="3462">
        <v>1482.74</v>
      </c>
      <c r="AO3" s="3462">
        <v>10110</v>
      </c>
      <c r="AP3" s="3462">
        <v>10110</v>
      </c>
      <c r="AQ3" s="3462" t="s">
        <v>3534</v>
      </c>
      <c r="AR3" s="3462" t="s">
        <v>3534</v>
      </c>
      <c r="AS3" s="3462">
        <v>0</v>
      </c>
      <c r="AT3" s="3462" t="s">
        <v>3571</v>
      </c>
      <c r="AU3" s="3462" t="s">
        <v>3533</v>
      </c>
      <c r="AV3" s="3462" t="s">
        <v>3534</v>
      </c>
      <c r="AW3" s="3462" t="s">
        <v>3533</v>
      </c>
      <c r="AX3" s="3462" t="s">
        <v>3534</v>
      </c>
      <c r="AY3" s="3462" t="s">
        <v>3534</v>
      </c>
      <c r="AZ3" s="3462" t="s">
        <v>3534</v>
      </c>
    </row>
    <row r="4" spans="1:52" s="3462" customFormat="1">
      <c r="A4" s="3462" t="s">
        <v>3675</v>
      </c>
      <c r="B4" s="3462" t="s">
        <v>3375</v>
      </c>
      <c r="C4" s="3462" t="s">
        <v>3581</v>
      </c>
      <c r="D4" s="3462" t="s">
        <v>3525</v>
      </c>
      <c r="E4" s="3462" t="s">
        <v>3526</v>
      </c>
      <c r="F4" s="3462" t="s">
        <v>3582</v>
      </c>
      <c r="G4" s="3462" t="s">
        <v>3583</v>
      </c>
      <c r="H4" s="3462" t="s">
        <v>3529</v>
      </c>
      <c r="I4" s="3462">
        <v>15178.6</v>
      </c>
      <c r="J4" s="3462">
        <v>45535.8</v>
      </c>
      <c r="K4" s="3462">
        <v>3</v>
      </c>
      <c r="L4" s="3462" t="s">
        <v>3530</v>
      </c>
      <c r="M4" s="3462" t="s">
        <v>3555</v>
      </c>
      <c r="N4" s="3462" t="s">
        <v>3532</v>
      </c>
      <c r="O4" s="3462" t="s">
        <v>3533</v>
      </c>
      <c r="P4" s="3462" t="s">
        <v>3534</v>
      </c>
      <c r="Q4" s="3462" t="s">
        <v>3534</v>
      </c>
      <c r="R4" s="3462" t="s">
        <v>3534</v>
      </c>
      <c r="S4" s="3462" t="s">
        <v>3534</v>
      </c>
      <c r="T4" s="3462" t="s">
        <v>3534</v>
      </c>
      <c r="U4" s="3462" t="s">
        <v>3534</v>
      </c>
      <c r="V4" s="3462" t="s">
        <v>3534</v>
      </c>
      <c r="W4" s="3462" t="s">
        <v>3534</v>
      </c>
      <c r="X4" s="3462">
        <v>0</v>
      </c>
      <c r="Y4" s="3462">
        <v>0</v>
      </c>
      <c r="Z4" s="3463">
        <v>44561.000497685185</v>
      </c>
      <c r="AA4" s="3463">
        <v>44581.000497685185</v>
      </c>
      <c r="AB4" s="3463">
        <v>44600.000497685185</v>
      </c>
      <c r="AC4" s="3463">
        <v>44600.000497685185</v>
      </c>
      <c r="AD4" s="3462" t="s">
        <v>3584</v>
      </c>
      <c r="AE4" s="3462" t="s">
        <v>3536</v>
      </c>
      <c r="AF4" s="3462" t="s">
        <v>3585</v>
      </c>
      <c r="AG4" s="3462" t="s">
        <v>3586</v>
      </c>
      <c r="AH4" s="3462" t="s">
        <v>3569</v>
      </c>
      <c r="AI4" s="3462">
        <v>58400</v>
      </c>
      <c r="AJ4" s="3462">
        <v>11700</v>
      </c>
      <c r="AK4" s="3462" t="s">
        <v>633</v>
      </c>
      <c r="AL4" s="3462">
        <v>58400</v>
      </c>
      <c r="AM4" s="3462">
        <v>2565.0100000000002</v>
      </c>
      <c r="AN4" s="3462">
        <v>2565.0100000000002</v>
      </c>
      <c r="AO4" s="3462">
        <v>12825</v>
      </c>
      <c r="AP4" s="3462">
        <v>12825</v>
      </c>
      <c r="AQ4" s="3462" t="s">
        <v>3534</v>
      </c>
      <c r="AR4" s="3462" t="s">
        <v>3534</v>
      </c>
      <c r="AS4" s="3462">
        <v>0</v>
      </c>
      <c r="AT4" s="3462" t="s">
        <v>3587</v>
      </c>
      <c r="AU4" s="3462" t="s">
        <v>3533</v>
      </c>
      <c r="AV4" s="3462" t="s">
        <v>3534</v>
      </c>
      <c r="AW4" s="3462" t="s">
        <v>3533</v>
      </c>
      <c r="AX4" s="3462" t="s">
        <v>3534</v>
      </c>
      <c r="AY4" s="3462" t="s">
        <v>3534</v>
      </c>
      <c r="AZ4" s="3462" t="s">
        <v>3534</v>
      </c>
    </row>
    <row r="6" spans="1:52">
      <c r="A6" s="3460" t="s">
        <v>3471</v>
      </c>
      <c r="B6" s="3460" t="s">
        <v>3472</v>
      </c>
      <c r="C6" s="3460" t="s">
        <v>3473</v>
      </c>
      <c r="D6" s="3460" t="s">
        <v>3474</v>
      </c>
      <c r="E6" s="3460" t="s">
        <v>3475</v>
      </c>
      <c r="F6" s="3460" t="s">
        <v>3476</v>
      </c>
      <c r="G6" s="3460" t="s">
        <v>3477</v>
      </c>
      <c r="H6" s="3460" t="s">
        <v>3478</v>
      </c>
      <c r="I6" s="3460" t="s">
        <v>3479</v>
      </c>
      <c r="J6" s="3460" t="s">
        <v>3480</v>
      </c>
      <c r="K6" s="3460" t="s">
        <v>3481</v>
      </c>
      <c r="L6" s="3460" t="s">
        <v>3482</v>
      </c>
      <c r="M6" s="3460" t="s">
        <v>3483</v>
      </c>
      <c r="N6" s="3460" t="s">
        <v>3484</v>
      </c>
      <c r="O6" s="3460" t="s">
        <v>3485</v>
      </c>
      <c r="P6" s="3460" t="s">
        <v>3486</v>
      </c>
      <c r="Q6" s="3460" t="s">
        <v>3487</v>
      </c>
      <c r="R6" s="3460" t="s">
        <v>3488</v>
      </c>
      <c r="S6" s="3460" t="s">
        <v>3489</v>
      </c>
      <c r="T6" s="3460" t="s">
        <v>3490</v>
      </c>
      <c r="U6" s="3460" t="s">
        <v>3491</v>
      </c>
      <c r="V6" s="3460" t="s">
        <v>3492</v>
      </c>
      <c r="W6" s="3460" t="s">
        <v>3493</v>
      </c>
      <c r="X6" s="3460" t="s">
        <v>3494</v>
      </c>
      <c r="Y6" s="3460" t="s">
        <v>3495</v>
      </c>
      <c r="Z6" s="3460" t="s">
        <v>3496</v>
      </c>
      <c r="AA6" s="3460" t="s">
        <v>3497</v>
      </c>
      <c r="AB6" s="3460" t="s">
        <v>3498</v>
      </c>
      <c r="AC6" s="3460" t="s">
        <v>3499</v>
      </c>
      <c r="AD6" s="3460" t="s">
        <v>3500</v>
      </c>
      <c r="AE6" s="3460" t="s">
        <v>3501</v>
      </c>
      <c r="AF6" s="3460" t="s">
        <v>3502</v>
      </c>
      <c r="AG6" s="3460" t="s">
        <v>3503</v>
      </c>
      <c r="AH6" s="3460" t="s">
        <v>3504</v>
      </c>
      <c r="AI6" s="3460" t="s">
        <v>3505</v>
      </c>
      <c r="AJ6" s="3460" t="s">
        <v>3506</v>
      </c>
      <c r="AK6" s="3460" t="s">
        <v>3507</v>
      </c>
      <c r="AL6" s="3460" t="s">
        <v>3508</v>
      </c>
      <c r="AM6" s="3460" t="s">
        <v>3509</v>
      </c>
      <c r="AN6" s="3460" t="s">
        <v>3510</v>
      </c>
      <c r="AO6" s="3460" t="s">
        <v>3511</v>
      </c>
      <c r="AP6" s="3460" t="s">
        <v>3512</v>
      </c>
      <c r="AQ6" s="3460" t="s">
        <v>3513</v>
      </c>
      <c r="AR6" s="3460" t="s">
        <v>3514</v>
      </c>
      <c r="AS6" s="3460" t="s">
        <v>3515</v>
      </c>
      <c r="AT6" s="3460" t="s">
        <v>3516</v>
      </c>
      <c r="AU6" s="3460" t="s">
        <v>3517</v>
      </c>
      <c r="AV6" s="3460" t="s">
        <v>3518</v>
      </c>
      <c r="AW6" s="3460" t="s">
        <v>3519</v>
      </c>
      <c r="AX6" s="3460" t="s">
        <v>3520</v>
      </c>
      <c r="AY6" s="3460" t="s">
        <v>3521</v>
      </c>
      <c r="AZ6" s="3460" t="s">
        <v>3522</v>
      </c>
    </row>
    <row r="7" spans="1:52">
      <c r="A7" s="3460" t="s">
        <v>3523</v>
      </c>
      <c r="B7" s="3460" t="s">
        <v>3375</v>
      </c>
      <c r="C7" s="3460" t="s">
        <v>3524</v>
      </c>
      <c r="D7" s="3460" t="s">
        <v>3525</v>
      </c>
      <c r="E7" s="3460" t="s">
        <v>3526</v>
      </c>
      <c r="F7" s="3460" t="s">
        <v>3527</v>
      </c>
      <c r="G7" s="3460" t="s">
        <v>3528</v>
      </c>
      <c r="H7" s="3460" t="s">
        <v>3529</v>
      </c>
      <c r="I7" s="3460">
        <v>82500</v>
      </c>
      <c r="J7" s="3460">
        <v>165000</v>
      </c>
      <c r="K7" s="3460">
        <v>2</v>
      </c>
      <c r="L7" s="3460" t="s">
        <v>3530</v>
      </c>
      <c r="M7" s="3460" t="s">
        <v>3531</v>
      </c>
      <c r="N7" s="3460" t="s">
        <v>3532</v>
      </c>
      <c r="O7" s="3460" t="s">
        <v>3533</v>
      </c>
      <c r="P7" s="3460" t="s">
        <v>3534</v>
      </c>
      <c r="Q7" s="3460" t="s">
        <v>3534</v>
      </c>
      <c r="R7" s="3460" t="s">
        <v>3534</v>
      </c>
      <c r="S7" s="3460" t="s">
        <v>3534</v>
      </c>
      <c r="T7" s="3460" t="s">
        <v>3534</v>
      </c>
      <c r="U7" s="3460" t="s">
        <v>3534</v>
      </c>
      <c r="V7" s="3460" t="s">
        <v>3534</v>
      </c>
      <c r="W7" s="3460" t="s">
        <v>3534</v>
      </c>
      <c r="X7" s="3460">
        <v>0</v>
      </c>
      <c r="Y7" s="3460">
        <v>0</v>
      </c>
      <c r="Z7" s="3461">
        <v>44978.000497685185</v>
      </c>
      <c r="AA7" s="3461">
        <v>44997.000497685185</v>
      </c>
      <c r="AB7" s="3461">
        <v>45012.000497685185</v>
      </c>
      <c r="AC7" s="3461">
        <v>45012.000497685185</v>
      </c>
      <c r="AD7" s="3460" t="s">
        <v>3535</v>
      </c>
      <c r="AE7" s="3460" t="s">
        <v>3536</v>
      </c>
      <c r="AF7" s="3460" t="s">
        <v>3537</v>
      </c>
      <c r="AG7" s="3460" t="s">
        <v>3538</v>
      </c>
      <c r="AH7" s="3460" t="s">
        <v>3539</v>
      </c>
      <c r="AI7" s="3460">
        <v>260700</v>
      </c>
      <c r="AJ7" s="3460">
        <v>78000</v>
      </c>
      <c r="AK7" s="3460" t="s">
        <v>633</v>
      </c>
      <c r="AL7" s="3460">
        <v>260700</v>
      </c>
      <c r="AM7" s="3460">
        <v>2106.67</v>
      </c>
      <c r="AN7" s="3460">
        <v>2106.67</v>
      </c>
      <c r="AO7" s="3460">
        <v>15800</v>
      </c>
      <c r="AP7" s="3460">
        <v>15800</v>
      </c>
      <c r="AQ7" s="3460" t="s">
        <v>3534</v>
      </c>
      <c r="AR7" s="3460" t="s">
        <v>3534</v>
      </c>
      <c r="AS7" s="3460">
        <v>0</v>
      </c>
      <c r="AT7" s="3460">
        <v>40</v>
      </c>
      <c r="AU7" s="3460" t="s">
        <v>3533</v>
      </c>
      <c r="AV7" s="3460" t="s">
        <v>3534</v>
      </c>
      <c r="AW7" s="3460" t="s">
        <v>3533</v>
      </c>
      <c r="AX7" s="3460" t="s">
        <v>3534</v>
      </c>
      <c r="AY7" s="3460" t="s">
        <v>3534</v>
      </c>
      <c r="AZ7" s="3460" t="s">
        <v>3534</v>
      </c>
    </row>
    <row r="8" spans="1:52">
      <c r="A8" s="3460" t="s">
        <v>3540</v>
      </c>
      <c r="B8" s="3460" t="s">
        <v>3375</v>
      </c>
      <c r="C8" s="3460" t="s">
        <v>3541</v>
      </c>
      <c r="D8" s="3460" t="s">
        <v>3525</v>
      </c>
      <c r="E8" s="3460" t="s">
        <v>3526</v>
      </c>
      <c r="F8" s="3460" t="s">
        <v>3542</v>
      </c>
      <c r="G8" s="3460" t="s">
        <v>3543</v>
      </c>
      <c r="H8" s="3460" t="s">
        <v>3529</v>
      </c>
      <c r="I8" s="3460">
        <v>4800</v>
      </c>
      <c r="J8" s="3460">
        <v>1920</v>
      </c>
      <c r="K8" s="3460" t="s">
        <v>3544</v>
      </c>
      <c r="L8" s="3460" t="s">
        <v>3530</v>
      </c>
      <c r="M8" s="3460" t="s">
        <v>3545</v>
      </c>
      <c r="N8" s="3460" t="s">
        <v>3532</v>
      </c>
      <c r="O8" s="3460" t="s">
        <v>3533</v>
      </c>
      <c r="P8" s="3460" t="s">
        <v>3534</v>
      </c>
      <c r="Q8" s="3460" t="s">
        <v>3534</v>
      </c>
      <c r="R8" s="3460" t="s">
        <v>3534</v>
      </c>
      <c r="S8" s="3460" t="s">
        <v>3534</v>
      </c>
      <c r="T8" s="3460" t="s">
        <v>3534</v>
      </c>
      <c r="U8" s="3460" t="s">
        <v>3534</v>
      </c>
      <c r="V8" s="3460" t="s">
        <v>3534</v>
      </c>
      <c r="W8" s="3460" t="s">
        <v>3534</v>
      </c>
      <c r="X8" s="3460">
        <v>0</v>
      </c>
      <c r="Y8" s="3460">
        <v>0</v>
      </c>
      <c r="Z8" s="3461">
        <v>44911.000497685185</v>
      </c>
      <c r="AA8" s="3461">
        <v>44931.000497685185</v>
      </c>
      <c r="AB8" s="3461">
        <v>44945.000497685185</v>
      </c>
      <c r="AC8" s="3461">
        <v>44945.000497685185</v>
      </c>
      <c r="AD8" s="3460" t="s">
        <v>3546</v>
      </c>
      <c r="AE8" s="3460" t="s">
        <v>3536</v>
      </c>
      <c r="AF8" s="3460" t="s">
        <v>3547</v>
      </c>
      <c r="AG8" s="3460" t="s">
        <v>3534</v>
      </c>
      <c r="AH8" s="3460" t="s">
        <v>3534</v>
      </c>
      <c r="AI8" s="3460">
        <v>5800</v>
      </c>
      <c r="AJ8" s="3460">
        <v>1200</v>
      </c>
      <c r="AK8" s="3460" t="s">
        <v>3548</v>
      </c>
      <c r="AL8" s="3460">
        <v>5800</v>
      </c>
      <c r="AM8" s="3460">
        <v>805.56</v>
      </c>
      <c r="AN8" s="3460">
        <v>805.56</v>
      </c>
      <c r="AO8" s="3460">
        <v>30208</v>
      </c>
      <c r="AP8" s="3460">
        <v>30208</v>
      </c>
      <c r="AQ8" s="3460" t="s">
        <v>3534</v>
      </c>
      <c r="AR8" s="3460" t="s">
        <v>3534</v>
      </c>
      <c r="AS8" s="3460">
        <v>0</v>
      </c>
      <c r="AT8" s="3460" t="s">
        <v>3549</v>
      </c>
      <c r="AU8" s="3460" t="s">
        <v>3533</v>
      </c>
      <c r="AV8" s="3460" t="s">
        <v>3534</v>
      </c>
      <c r="AW8" s="3460" t="s">
        <v>3533</v>
      </c>
      <c r="AX8" s="3460" t="s">
        <v>3534</v>
      </c>
      <c r="AY8" s="3460" t="s">
        <v>3534</v>
      </c>
      <c r="AZ8" s="3460" t="s">
        <v>3534</v>
      </c>
    </row>
    <row r="9" spans="1:52" s="3462" customFormat="1">
      <c r="A9" s="3462" t="s">
        <v>3550</v>
      </c>
      <c r="B9" s="3462" t="s">
        <v>3375</v>
      </c>
      <c r="C9" s="3462" t="s">
        <v>3551</v>
      </c>
      <c r="D9" s="3462" t="s">
        <v>3525</v>
      </c>
      <c r="E9" s="3462" t="s">
        <v>3526</v>
      </c>
      <c r="F9" s="3462" t="s">
        <v>3552</v>
      </c>
      <c r="G9" s="3462" t="s">
        <v>3553</v>
      </c>
      <c r="H9" s="3462" t="s">
        <v>3529</v>
      </c>
      <c r="I9" s="3462">
        <v>17308.8</v>
      </c>
      <c r="J9" s="3462">
        <v>86544</v>
      </c>
      <c r="K9" s="3462" t="s">
        <v>3554</v>
      </c>
      <c r="L9" s="3462" t="s">
        <v>3530</v>
      </c>
      <c r="M9" s="3462" t="s">
        <v>3555</v>
      </c>
      <c r="N9" s="3462" t="s">
        <v>3532</v>
      </c>
      <c r="O9" s="3462" t="s">
        <v>3533</v>
      </c>
      <c r="P9" s="3462" t="s">
        <v>3556</v>
      </c>
      <c r="Q9" s="3462">
        <v>100</v>
      </c>
      <c r="R9" s="3462" t="s">
        <v>3534</v>
      </c>
      <c r="S9" s="3462" t="s">
        <v>3534</v>
      </c>
      <c r="T9" s="3462" t="s">
        <v>3534</v>
      </c>
      <c r="U9" s="3462" t="s">
        <v>3534</v>
      </c>
      <c r="V9" s="3462" t="s">
        <v>3534</v>
      </c>
      <c r="W9" s="3462" t="s">
        <v>3534</v>
      </c>
      <c r="X9" s="3462">
        <v>0</v>
      </c>
      <c r="Y9" s="3462">
        <v>0</v>
      </c>
      <c r="Z9" s="3463">
        <v>44701.000497685185</v>
      </c>
      <c r="AA9" s="3463">
        <v>44721.000497685185</v>
      </c>
      <c r="AB9" s="3463">
        <v>44735.000497685185</v>
      </c>
      <c r="AC9" s="3463">
        <v>44735.000497685185</v>
      </c>
      <c r="AD9" s="3462" t="s">
        <v>3557</v>
      </c>
      <c r="AE9" s="3462" t="s">
        <v>3536</v>
      </c>
      <c r="AF9" s="3462" t="s">
        <v>3558</v>
      </c>
      <c r="AG9" s="3462" t="s">
        <v>3559</v>
      </c>
      <c r="AH9" s="3462" t="s">
        <v>3534</v>
      </c>
      <c r="AI9" s="3462">
        <v>91400</v>
      </c>
      <c r="AJ9" s="3462">
        <v>18300</v>
      </c>
      <c r="AK9" s="3462" t="s">
        <v>3560</v>
      </c>
      <c r="AL9" s="3462">
        <v>91400</v>
      </c>
      <c r="AM9" s="3462">
        <v>3520.37</v>
      </c>
      <c r="AN9" s="3462">
        <v>3520.37</v>
      </c>
      <c r="AO9" s="3462">
        <v>10561</v>
      </c>
      <c r="AP9" s="3462">
        <v>10561</v>
      </c>
      <c r="AQ9" s="3462" t="s">
        <v>3534</v>
      </c>
      <c r="AR9" s="3462" t="s">
        <v>3534</v>
      </c>
      <c r="AS9" s="3462">
        <v>0</v>
      </c>
      <c r="AT9" s="3462" t="s">
        <v>3561</v>
      </c>
      <c r="AU9" s="3462" t="s">
        <v>3533</v>
      </c>
      <c r="AV9" s="3462" t="s">
        <v>3534</v>
      </c>
      <c r="AW9" s="3462" t="s">
        <v>3533</v>
      </c>
      <c r="AX9" s="3462" t="s">
        <v>3534</v>
      </c>
      <c r="AY9" s="3462" t="s">
        <v>3534</v>
      </c>
      <c r="AZ9" s="3462" t="s">
        <v>3534</v>
      </c>
    </row>
    <row r="10" spans="1:52" s="3462" customFormat="1">
      <c r="A10" s="3462" t="s">
        <v>3562</v>
      </c>
      <c r="B10" s="3462" t="s">
        <v>3375</v>
      </c>
      <c r="C10" s="3462" t="s">
        <v>3563</v>
      </c>
      <c r="D10" s="3462" t="s">
        <v>3525</v>
      </c>
      <c r="E10" s="3462" t="s">
        <v>3526</v>
      </c>
      <c r="F10" s="3462" t="s">
        <v>3564</v>
      </c>
      <c r="G10" s="3462" t="s">
        <v>3543</v>
      </c>
      <c r="H10" s="3462" t="s">
        <v>3529</v>
      </c>
      <c r="I10" s="3462">
        <v>59169.74</v>
      </c>
      <c r="J10" s="3462">
        <v>130173.43</v>
      </c>
      <c r="K10" s="3462" t="s">
        <v>3565</v>
      </c>
      <c r="L10" s="3462" t="s">
        <v>3530</v>
      </c>
      <c r="M10" s="3462" t="s">
        <v>3555</v>
      </c>
      <c r="N10" s="3462" t="s">
        <v>3532</v>
      </c>
      <c r="O10" s="3462" t="s">
        <v>3533</v>
      </c>
      <c r="P10" s="3462" t="s">
        <v>3534</v>
      </c>
      <c r="Q10" s="3462" t="s">
        <v>3534</v>
      </c>
      <c r="R10" s="3462" t="s">
        <v>3534</v>
      </c>
      <c r="S10" s="3462" t="s">
        <v>3534</v>
      </c>
      <c r="T10" s="3462" t="s">
        <v>3534</v>
      </c>
      <c r="U10" s="3462" t="s">
        <v>3534</v>
      </c>
      <c r="V10" s="3462" t="s">
        <v>3534</v>
      </c>
      <c r="W10" s="3462" t="s">
        <v>3534</v>
      </c>
      <c r="X10" s="3462">
        <v>0</v>
      </c>
      <c r="Y10" s="3462">
        <v>0</v>
      </c>
      <c r="Z10" s="3463">
        <v>44648.000497685185</v>
      </c>
      <c r="AA10" s="3463">
        <v>44669.000497685185</v>
      </c>
      <c r="AB10" s="3463">
        <v>44680.000497685185</v>
      </c>
      <c r="AC10" s="3463">
        <v>44680.000497685185</v>
      </c>
      <c r="AD10" s="3462" t="s">
        <v>3566</v>
      </c>
      <c r="AE10" s="3462" t="s">
        <v>3536</v>
      </c>
      <c r="AF10" s="3462" t="s">
        <v>3567</v>
      </c>
      <c r="AG10" s="3462" t="s">
        <v>3568</v>
      </c>
      <c r="AH10" s="3462" t="s">
        <v>3569</v>
      </c>
      <c r="AI10" s="3462">
        <v>131600</v>
      </c>
      <c r="AJ10" s="3462">
        <v>27000</v>
      </c>
      <c r="AK10" s="3462" t="s">
        <v>3570</v>
      </c>
      <c r="AL10" s="3462">
        <v>131600</v>
      </c>
      <c r="AM10" s="3462">
        <v>1482.74</v>
      </c>
      <c r="AN10" s="3462">
        <v>1482.74</v>
      </c>
      <c r="AO10" s="3462">
        <v>10110</v>
      </c>
      <c r="AP10" s="3462">
        <v>10110</v>
      </c>
      <c r="AQ10" s="3462" t="s">
        <v>3534</v>
      </c>
      <c r="AR10" s="3462" t="s">
        <v>3534</v>
      </c>
      <c r="AS10" s="3462">
        <v>0</v>
      </c>
      <c r="AT10" s="3462" t="s">
        <v>3571</v>
      </c>
      <c r="AU10" s="3462" t="s">
        <v>3533</v>
      </c>
      <c r="AV10" s="3462" t="s">
        <v>3534</v>
      </c>
      <c r="AW10" s="3462" t="s">
        <v>3533</v>
      </c>
      <c r="AX10" s="3462" t="s">
        <v>3534</v>
      </c>
      <c r="AY10" s="3462" t="s">
        <v>3534</v>
      </c>
      <c r="AZ10" s="3462" t="s">
        <v>3534</v>
      </c>
    </row>
    <row r="11" spans="1:52">
      <c r="A11" s="3460" t="s">
        <v>3572</v>
      </c>
      <c r="B11" s="3460" t="s">
        <v>3375</v>
      </c>
      <c r="C11" s="3460" t="s">
        <v>3573</v>
      </c>
      <c r="D11" s="3460" t="s">
        <v>3525</v>
      </c>
      <c r="E11" s="3460" t="s">
        <v>3526</v>
      </c>
      <c r="F11" s="3460" t="s">
        <v>3542</v>
      </c>
      <c r="G11" s="3460" t="s">
        <v>3574</v>
      </c>
      <c r="H11" s="3460" t="s">
        <v>3529</v>
      </c>
      <c r="I11" s="3460">
        <v>12066.9</v>
      </c>
      <c r="J11" s="3460">
        <v>18100.349999999999</v>
      </c>
      <c r="K11" s="3460">
        <v>1.5</v>
      </c>
      <c r="L11" s="3460" t="s">
        <v>3530</v>
      </c>
      <c r="M11" s="3460" t="s">
        <v>3575</v>
      </c>
      <c r="N11" s="3460" t="s">
        <v>3532</v>
      </c>
      <c r="O11" s="3460" t="s">
        <v>3533</v>
      </c>
      <c r="P11" s="3460" t="s">
        <v>3576</v>
      </c>
      <c r="Q11" s="3460" t="s">
        <v>3577</v>
      </c>
      <c r="R11" s="3460" t="s">
        <v>3534</v>
      </c>
      <c r="S11" s="3460" t="s">
        <v>3534</v>
      </c>
      <c r="T11" s="3460" t="s">
        <v>3534</v>
      </c>
      <c r="U11" s="3460" t="s">
        <v>3534</v>
      </c>
      <c r="V11" s="3460">
        <v>0</v>
      </c>
      <c r="W11" s="3460">
        <v>0</v>
      </c>
      <c r="X11" s="3460">
        <v>0</v>
      </c>
      <c r="Y11" s="3460">
        <v>0</v>
      </c>
      <c r="Z11" s="3461">
        <v>44587.000497685185</v>
      </c>
      <c r="AA11" s="3461">
        <v>44607.000497685185</v>
      </c>
      <c r="AB11" s="3461">
        <v>44621.000497685185</v>
      </c>
      <c r="AC11" s="3461">
        <v>44621.000497685185</v>
      </c>
      <c r="AD11" s="3460" t="s">
        <v>3578</v>
      </c>
      <c r="AE11" s="3460" t="s">
        <v>3536</v>
      </c>
      <c r="AF11" s="3460" t="s">
        <v>3567</v>
      </c>
      <c r="AG11" s="3460" t="s">
        <v>3534</v>
      </c>
      <c r="AH11" s="3460" t="s">
        <v>3534</v>
      </c>
      <c r="AI11" s="3460">
        <v>9400</v>
      </c>
      <c r="AJ11" s="3460">
        <v>1900</v>
      </c>
      <c r="AK11" s="3460" t="s">
        <v>633</v>
      </c>
      <c r="AL11" s="3460">
        <v>9400</v>
      </c>
      <c r="AM11" s="3460">
        <v>519.33000000000004</v>
      </c>
      <c r="AN11" s="3460">
        <v>519.33000000000004</v>
      </c>
      <c r="AO11" s="3460">
        <v>5193</v>
      </c>
      <c r="AP11" s="3460">
        <v>5193</v>
      </c>
      <c r="AQ11" s="3460" t="s">
        <v>3534</v>
      </c>
      <c r="AR11" s="3460" t="s">
        <v>3534</v>
      </c>
      <c r="AS11" s="3460">
        <v>0</v>
      </c>
      <c r="AT11" s="3460" t="s">
        <v>3579</v>
      </c>
      <c r="AU11" s="3460" t="s">
        <v>3533</v>
      </c>
      <c r="AV11" s="3460" t="s">
        <v>3534</v>
      </c>
      <c r="AW11" s="3460" t="s">
        <v>3533</v>
      </c>
      <c r="AX11" s="3460" t="s">
        <v>3534</v>
      </c>
      <c r="AY11" s="3460" t="s">
        <v>3534</v>
      </c>
      <c r="AZ11" s="3460" t="s">
        <v>3534</v>
      </c>
    </row>
    <row r="12" spans="1:52" s="3462" customFormat="1">
      <c r="A12" s="3462" t="s">
        <v>3580</v>
      </c>
      <c r="B12" s="3462" t="s">
        <v>3375</v>
      </c>
      <c r="C12" s="3462" t="s">
        <v>3581</v>
      </c>
      <c r="D12" s="3462" t="s">
        <v>3525</v>
      </c>
      <c r="E12" s="3462" t="s">
        <v>3526</v>
      </c>
      <c r="F12" s="3462" t="s">
        <v>3582</v>
      </c>
      <c r="G12" s="3462" t="s">
        <v>3583</v>
      </c>
      <c r="H12" s="3462" t="s">
        <v>3529</v>
      </c>
      <c r="I12" s="3462">
        <v>15178.6</v>
      </c>
      <c r="J12" s="3462">
        <v>45535.8</v>
      </c>
      <c r="K12" s="3462">
        <v>3</v>
      </c>
      <c r="L12" s="3462" t="s">
        <v>3530</v>
      </c>
      <c r="M12" s="3462" t="s">
        <v>3555</v>
      </c>
      <c r="N12" s="3462" t="s">
        <v>3532</v>
      </c>
      <c r="O12" s="3462" t="s">
        <v>3533</v>
      </c>
      <c r="P12" s="3462" t="s">
        <v>3534</v>
      </c>
      <c r="Q12" s="3462" t="s">
        <v>3534</v>
      </c>
      <c r="R12" s="3462" t="s">
        <v>3534</v>
      </c>
      <c r="S12" s="3462" t="s">
        <v>3534</v>
      </c>
      <c r="T12" s="3462" t="s">
        <v>3534</v>
      </c>
      <c r="U12" s="3462" t="s">
        <v>3534</v>
      </c>
      <c r="V12" s="3462" t="s">
        <v>3534</v>
      </c>
      <c r="W12" s="3462" t="s">
        <v>3534</v>
      </c>
      <c r="X12" s="3462">
        <v>0</v>
      </c>
      <c r="Y12" s="3462">
        <v>0</v>
      </c>
      <c r="Z12" s="3463">
        <v>44561.000497685185</v>
      </c>
      <c r="AA12" s="3463">
        <v>44581.000497685185</v>
      </c>
      <c r="AB12" s="3463">
        <v>44600.000497685185</v>
      </c>
      <c r="AC12" s="3463">
        <v>44600.000497685185</v>
      </c>
      <c r="AD12" s="3462" t="s">
        <v>3584</v>
      </c>
      <c r="AE12" s="3462" t="s">
        <v>3536</v>
      </c>
      <c r="AF12" s="3462" t="s">
        <v>3585</v>
      </c>
      <c r="AG12" s="3462" t="s">
        <v>3586</v>
      </c>
      <c r="AH12" s="3462" t="s">
        <v>3569</v>
      </c>
      <c r="AI12" s="3462">
        <v>58400</v>
      </c>
      <c r="AJ12" s="3462">
        <v>11700</v>
      </c>
      <c r="AK12" s="3462" t="s">
        <v>633</v>
      </c>
      <c r="AL12" s="3462">
        <v>58400</v>
      </c>
      <c r="AM12" s="3462">
        <v>2565.0100000000002</v>
      </c>
      <c r="AN12" s="3462">
        <v>2565.0100000000002</v>
      </c>
      <c r="AO12" s="3462">
        <v>12825</v>
      </c>
      <c r="AP12" s="3462">
        <v>12825</v>
      </c>
      <c r="AQ12" s="3462" t="s">
        <v>3534</v>
      </c>
      <c r="AR12" s="3462" t="s">
        <v>3534</v>
      </c>
      <c r="AS12" s="3462">
        <v>0</v>
      </c>
      <c r="AT12" s="3462" t="s">
        <v>3587</v>
      </c>
      <c r="AU12" s="3462" t="s">
        <v>3533</v>
      </c>
      <c r="AV12" s="3462" t="s">
        <v>3534</v>
      </c>
      <c r="AW12" s="3462" t="s">
        <v>3533</v>
      </c>
      <c r="AX12" s="3462" t="s">
        <v>3534</v>
      </c>
      <c r="AY12" s="3462" t="s">
        <v>3534</v>
      </c>
      <c r="AZ12" s="3462" t="s">
        <v>3534</v>
      </c>
    </row>
    <row r="13" spans="1:52">
      <c r="A13" s="3460" t="s">
        <v>3588</v>
      </c>
      <c r="B13" s="3460" t="s">
        <v>3375</v>
      </c>
      <c r="C13" s="3460" t="s">
        <v>3589</v>
      </c>
      <c r="D13" s="3460" t="s">
        <v>3525</v>
      </c>
      <c r="E13" s="3460" t="s">
        <v>3526</v>
      </c>
      <c r="F13" s="3460" t="s">
        <v>3590</v>
      </c>
      <c r="G13" s="3460" t="s">
        <v>3591</v>
      </c>
      <c r="H13" s="3460" t="s">
        <v>3529</v>
      </c>
      <c r="I13" s="3460">
        <v>15197.52</v>
      </c>
      <c r="J13" s="3460">
        <v>30395.05</v>
      </c>
      <c r="K13" s="3460">
        <v>2</v>
      </c>
      <c r="L13" s="3460" t="s">
        <v>3530</v>
      </c>
      <c r="M13" s="3460" t="s">
        <v>3592</v>
      </c>
      <c r="N13" s="3460" t="s">
        <v>3593</v>
      </c>
      <c r="O13" s="3460" t="s">
        <v>3533</v>
      </c>
      <c r="P13" s="3460" t="s">
        <v>3534</v>
      </c>
      <c r="Q13" s="3460">
        <v>36</v>
      </c>
      <c r="R13" s="3460" t="s">
        <v>3534</v>
      </c>
      <c r="S13" s="3460" t="s">
        <v>3534</v>
      </c>
      <c r="T13" s="3460" t="s">
        <v>3534</v>
      </c>
      <c r="U13" s="3460" t="s">
        <v>3534</v>
      </c>
      <c r="V13" s="3460" t="s">
        <v>3534</v>
      </c>
      <c r="W13" s="3460" t="s">
        <v>3534</v>
      </c>
      <c r="X13" s="3460">
        <v>0</v>
      </c>
      <c r="Y13" s="3460">
        <v>0</v>
      </c>
      <c r="Z13" s="3461">
        <v>44519.000497685185</v>
      </c>
      <c r="AA13" s="3461">
        <v>44540.000497685185</v>
      </c>
      <c r="AB13" s="3461">
        <v>44554.000497685185</v>
      </c>
      <c r="AC13" s="3461">
        <v>44554.000497685185</v>
      </c>
      <c r="AD13" s="3460" t="s">
        <v>3594</v>
      </c>
      <c r="AE13" s="3460" t="s">
        <v>3536</v>
      </c>
      <c r="AF13" s="3460" t="s">
        <v>3595</v>
      </c>
      <c r="AG13" s="3460" t="s">
        <v>3596</v>
      </c>
      <c r="AH13" s="3460" t="s">
        <v>3569</v>
      </c>
      <c r="AI13" s="3460">
        <v>42600</v>
      </c>
      <c r="AJ13" s="3460">
        <v>8600</v>
      </c>
      <c r="AK13" s="3460" t="s">
        <v>3597</v>
      </c>
      <c r="AL13" s="3460">
        <v>42600</v>
      </c>
      <c r="AM13" s="3460">
        <v>1868.73</v>
      </c>
      <c r="AN13" s="3460">
        <v>1868.73</v>
      </c>
      <c r="AO13" s="3460">
        <v>14015</v>
      </c>
      <c r="AP13" s="3460">
        <v>14015</v>
      </c>
      <c r="AQ13" s="3460" t="s">
        <v>3534</v>
      </c>
      <c r="AR13" s="3460" t="s">
        <v>3534</v>
      </c>
      <c r="AS13" s="3460">
        <v>0</v>
      </c>
      <c r="AT13" s="3460" t="s">
        <v>3587</v>
      </c>
      <c r="AU13" s="3460" t="s">
        <v>3533</v>
      </c>
      <c r="AV13" s="3460" t="s">
        <v>3534</v>
      </c>
      <c r="AW13" s="3460" t="s">
        <v>3533</v>
      </c>
      <c r="AX13" s="3460" t="s">
        <v>3534</v>
      </c>
      <c r="AY13" s="3460" t="s">
        <v>3534</v>
      </c>
      <c r="AZ13" s="3460" t="s">
        <v>3534</v>
      </c>
    </row>
    <row r="14" spans="1:52" s="3462" customFormat="1">
      <c r="A14" s="3462" t="s">
        <v>3598</v>
      </c>
      <c r="B14" s="3462" t="s">
        <v>3375</v>
      </c>
      <c r="C14" s="3462" t="s">
        <v>3599</v>
      </c>
      <c r="D14" s="3462" t="s">
        <v>3525</v>
      </c>
      <c r="E14" s="3462" t="s">
        <v>3526</v>
      </c>
      <c r="F14" s="3462" t="s">
        <v>3552</v>
      </c>
      <c r="G14" s="3462" t="s">
        <v>3600</v>
      </c>
      <c r="H14" s="3462" t="s">
        <v>3529</v>
      </c>
      <c r="I14" s="3462">
        <v>265269.8</v>
      </c>
      <c r="J14" s="3462">
        <v>665975.69999999995</v>
      </c>
      <c r="K14" s="3462" t="s">
        <v>3601</v>
      </c>
      <c r="L14" s="3462" t="s">
        <v>3530</v>
      </c>
      <c r="M14" s="3462" t="s">
        <v>3555</v>
      </c>
      <c r="N14" s="3462" t="s">
        <v>3532</v>
      </c>
      <c r="O14" s="3462" t="s">
        <v>3533</v>
      </c>
      <c r="P14" s="3462" t="s">
        <v>3602</v>
      </c>
      <c r="Q14" s="3462" t="s">
        <v>3603</v>
      </c>
      <c r="R14" s="3462" t="s">
        <v>3534</v>
      </c>
      <c r="S14" s="3462" t="s">
        <v>3534</v>
      </c>
      <c r="T14" s="3462" t="s">
        <v>3534</v>
      </c>
      <c r="U14" s="3462" t="s">
        <v>3534</v>
      </c>
      <c r="V14" s="3462">
        <v>0</v>
      </c>
      <c r="W14" s="3462">
        <v>0</v>
      </c>
      <c r="X14" s="3462">
        <v>0</v>
      </c>
      <c r="Y14" s="3462">
        <v>0</v>
      </c>
      <c r="Z14" s="3463">
        <v>44012.000497685185</v>
      </c>
      <c r="AA14" s="3463">
        <v>44032.000497685185</v>
      </c>
      <c r="AB14" s="3463">
        <v>44046.000497685185</v>
      </c>
      <c r="AC14" s="3463">
        <v>44046.000497685185</v>
      </c>
      <c r="AD14" s="3462" t="s">
        <v>3604</v>
      </c>
      <c r="AE14" s="3462" t="s">
        <v>3536</v>
      </c>
      <c r="AF14" s="3462" t="s">
        <v>3605</v>
      </c>
      <c r="AG14" s="3462" t="s">
        <v>3606</v>
      </c>
      <c r="AH14" s="3462" t="s">
        <v>3569</v>
      </c>
      <c r="AI14" s="3462">
        <v>699300</v>
      </c>
      <c r="AJ14" s="3462">
        <v>139900</v>
      </c>
      <c r="AK14" s="3462" t="s">
        <v>3607</v>
      </c>
      <c r="AL14" s="3462">
        <v>699300</v>
      </c>
      <c r="AM14" s="3462">
        <v>1757.46</v>
      </c>
      <c r="AN14" s="3462">
        <v>1757.46</v>
      </c>
      <c r="AO14" s="3462">
        <v>10500</v>
      </c>
      <c r="AP14" s="3462">
        <v>10500</v>
      </c>
      <c r="AQ14" s="3462" t="s">
        <v>3534</v>
      </c>
      <c r="AR14" s="3462" t="s">
        <v>3534</v>
      </c>
      <c r="AS14" s="3462">
        <v>0</v>
      </c>
      <c r="AT14" s="3462" t="s">
        <v>3587</v>
      </c>
      <c r="AU14" s="3462" t="s">
        <v>3533</v>
      </c>
      <c r="AV14" s="3462" t="s">
        <v>3534</v>
      </c>
      <c r="AW14" s="3462" t="s">
        <v>3533</v>
      </c>
      <c r="AX14" s="3462" t="s">
        <v>3534</v>
      </c>
      <c r="AY14" s="3462" t="s">
        <v>3534</v>
      </c>
      <c r="AZ14" s="3462" t="s">
        <v>3534</v>
      </c>
    </row>
    <row r="15" spans="1:52">
      <c r="A15" s="3460" t="s">
        <v>3608</v>
      </c>
      <c r="B15" s="3460" t="s">
        <v>3375</v>
      </c>
      <c r="C15" s="3460" t="s">
        <v>3609</v>
      </c>
      <c r="D15" s="3460" t="s">
        <v>3525</v>
      </c>
      <c r="E15" s="3460" t="s">
        <v>3526</v>
      </c>
      <c r="F15" s="3460" t="s">
        <v>3610</v>
      </c>
      <c r="G15" s="3460" t="s">
        <v>3611</v>
      </c>
      <c r="H15" s="3460" t="s">
        <v>3529</v>
      </c>
      <c r="I15" s="3460">
        <v>42276.47</v>
      </c>
      <c r="J15" s="3460">
        <v>84552.93</v>
      </c>
      <c r="K15" s="3460" t="s">
        <v>3612</v>
      </c>
      <c r="L15" s="3460" t="s">
        <v>3530</v>
      </c>
      <c r="M15" s="3460" t="s">
        <v>3575</v>
      </c>
      <c r="N15" s="3460" t="s">
        <v>3532</v>
      </c>
      <c r="O15" s="3460" t="s">
        <v>3533</v>
      </c>
      <c r="P15" s="3460" t="s">
        <v>3613</v>
      </c>
      <c r="Q15" s="3460" t="s">
        <v>3614</v>
      </c>
      <c r="R15" s="3460" t="s">
        <v>3534</v>
      </c>
      <c r="S15" s="3460" t="s">
        <v>3534</v>
      </c>
      <c r="T15" s="3460" t="s">
        <v>3534</v>
      </c>
      <c r="U15" s="3460" t="s">
        <v>3534</v>
      </c>
      <c r="V15" s="3460">
        <v>0</v>
      </c>
      <c r="W15" s="3460">
        <v>0</v>
      </c>
      <c r="X15" s="3460">
        <v>0</v>
      </c>
      <c r="Y15" s="3460">
        <v>0</v>
      </c>
      <c r="Z15" s="3461">
        <v>43672.000497685185</v>
      </c>
      <c r="AA15" s="3461">
        <v>43692.000497685185</v>
      </c>
      <c r="AB15" s="3461">
        <v>43706.000497685185</v>
      </c>
      <c r="AC15" s="3461">
        <v>43706.000497685185</v>
      </c>
      <c r="AD15" s="3460" t="s">
        <v>3615</v>
      </c>
      <c r="AE15" s="3460" t="s">
        <v>3536</v>
      </c>
      <c r="AF15" s="3460" t="s">
        <v>3616</v>
      </c>
      <c r="AG15" s="3460" t="s">
        <v>3617</v>
      </c>
      <c r="AH15" s="3460" t="s">
        <v>3618</v>
      </c>
      <c r="AI15" s="3460">
        <v>95000</v>
      </c>
      <c r="AJ15" s="3460">
        <v>19000</v>
      </c>
      <c r="AK15" s="3460" t="s">
        <v>3619</v>
      </c>
      <c r="AL15" s="3460">
        <v>96500</v>
      </c>
      <c r="AM15" s="3460">
        <v>1498.08</v>
      </c>
      <c r="AN15" s="3460">
        <v>1521.73</v>
      </c>
      <c r="AO15" s="3460">
        <v>11236</v>
      </c>
      <c r="AP15" s="3460">
        <v>11413</v>
      </c>
      <c r="AQ15" s="3460" t="s">
        <v>3534</v>
      </c>
      <c r="AR15" s="3460" t="s">
        <v>3534</v>
      </c>
      <c r="AS15" s="3460">
        <v>1.58</v>
      </c>
      <c r="AT15" s="3460" t="s">
        <v>3620</v>
      </c>
      <c r="AU15" s="3460" t="s">
        <v>3533</v>
      </c>
      <c r="AV15" s="3460" t="s">
        <v>3534</v>
      </c>
      <c r="AW15" s="3460" t="s">
        <v>3533</v>
      </c>
      <c r="AX15" s="3460" t="s">
        <v>3534</v>
      </c>
      <c r="AY15" s="3460" t="s">
        <v>3534</v>
      </c>
      <c r="AZ15" s="3460" t="s">
        <v>3534</v>
      </c>
    </row>
    <row r="16" spans="1:52" s="3462" customFormat="1">
      <c r="A16" s="3462" t="s">
        <v>3621</v>
      </c>
      <c r="B16" s="3462" t="s">
        <v>3375</v>
      </c>
      <c r="C16" s="3462" t="s">
        <v>3622</v>
      </c>
      <c r="D16" s="3462" t="s">
        <v>3525</v>
      </c>
      <c r="E16" s="3462" t="s">
        <v>3526</v>
      </c>
      <c r="F16" s="3462" t="s">
        <v>3582</v>
      </c>
      <c r="G16" s="3462" t="s">
        <v>3623</v>
      </c>
      <c r="H16" s="3462" t="s">
        <v>3529</v>
      </c>
      <c r="I16" s="3462">
        <v>51736.9</v>
      </c>
      <c r="J16" s="3462">
        <v>81600.05</v>
      </c>
      <c r="K16" s="3462" t="s">
        <v>3624</v>
      </c>
      <c r="L16" s="3462" t="s">
        <v>3530</v>
      </c>
      <c r="M16" s="3462" t="s">
        <v>3555</v>
      </c>
      <c r="N16" s="3462" t="s">
        <v>3532</v>
      </c>
      <c r="O16" s="3462" t="s">
        <v>3533</v>
      </c>
      <c r="P16" s="3462" t="s">
        <v>3613</v>
      </c>
      <c r="Q16" s="3462" t="s">
        <v>3625</v>
      </c>
      <c r="R16" s="3462" t="s">
        <v>3534</v>
      </c>
      <c r="S16" s="3462" t="s">
        <v>3534</v>
      </c>
      <c r="T16" s="3462" t="s">
        <v>3534</v>
      </c>
      <c r="U16" s="3462" t="s">
        <v>3534</v>
      </c>
      <c r="V16" s="3462">
        <v>0</v>
      </c>
      <c r="W16" s="3462">
        <v>0</v>
      </c>
      <c r="X16" s="3462">
        <v>0</v>
      </c>
      <c r="Y16" s="3462">
        <v>0</v>
      </c>
      <c r="Z16" s="3463">
        <v>43579.000497685185</v>
      </c>
      <c r="AA16" s="3463">
        <v>43599.000497685185</v>
      </c>
      <c r="AB16" s="3463">
        <v>43613.000497685185</v>
      </c>
      <c r="AC16" s="3463">
        <v>43613.000497685185</v>
      </c>
      <c r="AD16" s="3462" t="s">
        <v>3626</v>
      </c>
      <c r="AE16" s="3462" t="s">
        <v>3536</v>
      </c>
      <c r="AF16" s="3462" t="s">
        <v>3627</v>
      </c>
      <c r="AG16" s="3462" t="s">
        <v>3628</v>
      </c>
      <c r="AH16" s="3462" t="s">
        <v>3629</v>
      </c>
      <c r="AI16" s="3462">
        <v>150000</v>
      </c>
      <c r="AJ16" s="3462">
        <v>30000</v>
      </c>
      <c r="AK16" s="3462" t="s">
        <v>633</v>
      </c>
      <c r="AL16" s="3462">
        <v>150000</v>
      </c>
      <c r="AM16" s="3462">
        <v>1932.86</v>
      </c>
      <c r="AN16" s="3462">
        <v>1932.86</v>
      </c>
      <c r="AO16" s="3462">
        <v>18382</v>
      </c>
      <c r="AP16" s="3462">
        <v>18382</v>
      </c>
      <c r="AQ16" s="3462" t="s">
        <v>3534</v>
      </c>
      <c r="AR16" s="3462" t="s">
        <v>3534</v>
      </c>
      <c r="AS16" s="3462">
        <v>0</v>
      </c>
      <c r="AT16" s="3462" t="s">
        <v>3587</v>
      </c>
      <c r="AU16" s="3462" t="s">
        <v>3533</v>
      </c>
      <c r="AV16" s="3462" t="s">
        <v>3534</v>
      </c>
      <c r="AW16" s="3462" t="s">
        <v>3533</v>
      </c>
      <c r="AX16" s="3462" t="s">
        <v>3534</v>
      </c>
      <c r="AY16" s="3462" t="s">
        <v>3534</v>
      </c>
      <c r="AZ16" s="3462" t="s">
        <v>3534</v>
      </c>
    </row>
    <row r="17" spans="1:52">
      <c r="A17" s="3460" t="s">
        <v>3630</v>
      </c>
      <c r="B17" s="3460" t="s">
        <v>3375</v>
      </c>
      <c r="C17" s="3460" t="s">
        <v>3631</v>
      </c>
      <c r="D17" s="3460" t="s">
        <v>3525</v>
      </c>
      <c r="E17" s="3460" t="s">
        <v>3526</v>
      </c>
      <c r="F17" s="3460" t="s">
        <v>3552</v>
      </c>
      <c r="G17" s="3460" t="s">
        <v>3632</v>
      </c>
      <c r="H17" s="3460" t="s">
        <v>3529</v>
      </c>
      <c r="I17" s="3460">
        <v>33071.620000000003</v>
      </c>
      <c r="J17" s="3460">
        <v>122423.9</v>
      </c>
      <c r="K17" s="3460">
        <v>3.7</v>
      </c>
      <c r="L17" s="3460" t="s">
        <v>3530</v>
      </c>
      <c r="M17" s="3460" t="s">
        <v>3633</v>
      </c>
      <c r="N17" s="3460" t="s">
        <v>3532</v>
      </c>
      <c r="O17" s="3460" t="s">
        <v>3533</v>
      </c>
      <c r="P17" s="3460" t="s">
        <v>3534</v>
      </c>
      <c r="Q17" s="3460" t="s">
        <v>3634</v>
      </c>
      <c r="R17" s="3460" t="s">
        <v>3534</v>
      </c>
      <c r="S17" s="3460" t="s">
        <v>3534</v>
      </c>
      <c r="T17" s="3460" t="s">
        <v>3534</v>
      </c>
      <c r="U17" s="3460" t="s">
        <v>3534</v>
      </c>
      <c r="V17" s="3460">
        <v>0</v>
      </c>
      <c r="W17" s="3460">
        <v>0</v>
      </c>
      <c r="X17" s="3460">
        <v>0</v>
      </c>
      <c r="Y17" s="3460">
        <v>0</v>
      </c>
      <c r="Z17" s="3461">
        <v>43231.000497685185</v>
      </c>
      <c r="AA17" s="3461">
        <v>43251.000497685185</v>
      </c>
      <c r="AB17" s="3461">
        <v>43265.000497685185</v>
      </c>
      <c r="AC17" s="3461">
        <v>43265.000497685185</v>
      </c>
      <c r="AD17" s="3460" t="s">
        <v>3635</v>
      </c>
      <c r="AE17" s="3460" t="s">
        <v>3536</v>
      </c>
      <c r="AF17" s="3460" t="s">
        <v>3636</v>
      </c>
      <c r="AG17" s="3460" t="s">
        <v>3637</v>
      </c>
      <c r="AH17" s="3460" t="s">
        <v>3618</v>
      </c>
      <c r="AI17" s="3460">
        <v>183000</v>
      </c>
      <c r="AJ17" s="3460">
        <v>55000</v>
      </c>
      <c r="AK17" s="3460" t="s">
        <v>633</v>
      </c>
      <c r="AL17" s="3460">
        <v>183000</v>
      </c>
      <c r="AM17" s="3460">
        <v>3688.96</v>
      </c>
      <c r="AN17" s="3460">
        <v>3688.96</v>
      </c>
      <c r="AO17" s="3460">
        <v>14948</v>
      </c>
      <c r="AP17" s="3460">
        <v>14948</v>
      </c>
      <c r="AQ17" s="3460" t="s">
        <v>3534</v>
      </c>
      <c r="AR17" s="3460" t="s">
        <v>3534</v>
      </c>
      <c r="AS17" s="3460">
        <v>0</v>
      </c>
      <c r="AT17" s="3460" t="s">
        <v>3620</v>
      </c>
      <c r="AU17" s="3460" t="s">
        <v>3533</v>
      </c>
      <c r="AV17" s="3460" t="s">
        <v>3534</v>
      </c>
      <c r="AW17" s="3460" t="s">
        <v>3533</v>
      </c>
      <c r="AX17" s="3460" t="s">
        <v>3534</v>
      </c>
      <c r="AY17" s="3460" t="s">
        <v>3534</v>
      </c>
      <c r="AZ17" s="3460">
        <v>1120130816</v>
      </c>
    </row>
    <row r="18" spans="1:52">
      <c r="A18" s="3460" t="s">
        <v>3638</v>
      </c>
      <c r="B18" s="3460" t="s">
        <v>3375</v>
      </c>
      <c r="C18" s="3460" t="s">
        <v>3639</v>
      </c>
      <c r="D18" s="3460" t="s">
        <v>3525</v>
      </c>
      <c r="E18" s="3460" t="s">
        <v>3526</v>
      </c>
      <c r="F18" s="3460" t="s">
        <v>3552</v>
      </c>
      <c r="G18" s="3460" t="s">
        <v>3640</v>
      </c>
      <c r="H18" s="3460" t="s">
        <v>3529</v>
      </c>
      <c r="I18" s="3460">
        <v>66237.2</v>
      </c>
      <c r="J18" s="3460">
        <v>264058.7</v>
      </c>
      <c r="K18" s="3460">
        <v>3.99</v>
      </c>
      <c r="L18" s="3460" t="s">
        <v>3530</v>
      </c>
      <c r="M18" s="3460" t="s">
        <v>3633</v>
      </c>
      <c r="N18" s="3460" t="s">
        <v>3532</v>
      </c>
      <c r="O18" s="3460" t="s">
        <v>3533</v>
      </c>
      <c r="P18" s="3460" t="s">
        <v>3613</v>
      </c>
      <c r="Q18" s="3460" t="s">
        <v>3534</v>
      </c>
      <c r="R18" s="3460" t="s">
        <v>3534</v>
      </c>
      <c r="S18" s="3460" t="s">
        <v>3534</v>
      </c>
      <c r="T18" s="3460" t="s">
        <v>3534</v>
      </c>
      <c r="U18" s="3460" t="s">
        <v>3534</v>
      </c>
      <c r="V18" s="3460">
        <v>0</v>
      </c>
      <c r="W18" s="3460">
        <v>0</v>
      </c>
      <c r="X18" s="3460">
        <v>0</v>
      </c>
      <c r="Y18" s="3460">
        <v>0</v>
      </c>
      <c r="Z18" s="3461">
        <v>42916.000497685185</v>
      </c>
      <c r="AA18" s="3461">
        <v>42941.000497685185</v>
      </c>
      <c r="AB18" s="3461">
        <v>42955.000497685185</v>
      </c>
      <c r="AC18" s="3461">
        <v>42955.000497685185</v>
      </c>
      <c r="AD18" s="3460" t="s">
        <v>3641</v>
      </c>
      <c r="AE18" s="3460" t="s">
        <v>3536</v>
      </c>
      <c r="AF18" s="3460" t="s">
        <v>3642</v>
      </c>
      <c r="AG18" s="3460" t="s">
        <v>3534</v>
      </c>
      <c r="AH18" s="3460" t="s">
        <v>3534</v>
      </c>
      <c r="AI18" s="3460">
        <v>385000</v>
      </c>
      <c r="AJ18" s="3460">
        <v>115500</v>
      </c>
      <c r="AK18" s="3460" t="s">
        <v>633</v>
      </c>
      <c r="AL18" s="3460">
        <v>385000</v>
      </c>
      <c r="AM18" s="3460">
        <v>3874.96</v>
      </c>
      <c r="AN18" s="3460">
        <v>3874.96</v>
      </c>
      <c r="AO18" s="3460">
        <v>14580</v>
      </c>
      <c r="AP18" s="3460">
        <v>14580</v>
      </c>
      <c r="AQ18" s="3460" t="s">
        <v>3534</v>
      </c>
      <c r="AR18" s="3460" t="s">
        <v>3534</v>
      </c>
      <c r="AS18" s="3460">
        <v>0</v>
      </c>
      <c r="AT18" s="3460" t="s">
        <v>3620</v>
      </c>
      <c r="AU18" s="3460" t="s">
        <v>3533</v>
      </c>
      <c r="AV18" s="3460" t="s">
        <v>3534</v>
      </c>
      <c r="AW18" s="3460" t="s">
        <v>3533</v>
      </c>
      <c r="AX18" s="3460" t="s">
        <v>3534</v>
      </c>
      <c r="AY18" s="3460" t="s">
        <v>3534</v>
      </c>
      <c r="AZ18" s="3460">
        <v>-51568555</v>
      </c>
    </row>
    <row r="19" spans="1:52">
      <c r="A19" s="3460" t="s">
        <v>3643</v>
      </c>
      <c r="B19" s="3460" t="s">
        <v>3375</v>
      </c>
      <c r="C19" s="3460" t="s">
        <v>3644</v>
      </c>
      <c r="D19" s="3460" t="s">
        <v>3525</v>
      </c>
      <c r="E19" s="3460" t="s">
        <v>3526</v>
      </c>
      <c r="F19" s="3460" t="s">
        <v>3645</v>
      </c>
      <c r="G19" s="3460" t="s">
        <v>3591</v>
      </c>
      <c r="H19" s="3460" t="s">
        <v>3529</v>
      </c>
      <c r="I19" s="3460">
        <v>18303.330000000002</v>
      </c>
      <c r="J19" s="3460">
        <v>58571</v>
      </c>
      <c r="K19" s="3460">
        <v>3.2</v>
      </c>
      <c r="L19" s="3460" t="s">
        <v>3530</v>
      </c>
      <c r="M19" s="3460" t="s">
        <v>3555</v>
      </c>
      <c r="N19" s="3460" t="s">
        <v>3532</v>
      </c>
      <c r="O19" s="3460" t="s">
        <v>3533</v>
      </c>
      <c r="P19" s="3460" t="s">
        <v>3534</v>
      </c>
      <c r="Q19" s="3460" t="s">
        <v>3534</v>
      </c>
      <c r="R19" s="3460" t="s">
        <v>3534</v>
      </c>
      <c r="S19" s="3460" t="s">
        <v>3534</v>
      </c>
      <c r="T19" s="3460" t="s">
        <v>3534</v>
      </c>
      <c r="U19" s="3460" t="s">
        <v>3534</v>
      </c>
      <c r="V19" s="3460">
        <v>0</v>
      </c>
      <c r="W19" s="3460">
        <v>0</v>
      </c>
      <c r="X19" s="3460">
        <v>0</v>
      </c>
      <c r="Y19" s="3460">
        <v>0</v>
      </c>
      <c r="Z19" s="3461">
        <v>42796.000497685185</v>
      </c>
      <c r="AA19" s="3461">
        <v>42816.000497685185</v>
      </c>
      <c r="AB19" s="3461">
        <v>42831.000497685185</v>
      </c>
      <c r="AC19" s="3461">
        <v>42831.000497685185</v>
      </c>
      <c r="AD19" s="3460" t="s">
        <v>3646</v>
      </c>
      <c r="AE19" s="3460" t="s">
        <v>3536</v>
      </c>
      <c r="AF19" s="3460" t="s">
        <v>3647</v>
      </c>
      <c r="AG19" s="3460" t="s">
        <v>3648</v>
      </c>
      <c r="AH19" s="3460" t="s">
        <v>3618</v>
      </c>
      <c r="AI19" s="3460">
        <v>79600</v>
      </c>
      <c r="AJ19" s="3460">
        <v>24000</v>
      </c>
      <c r="AK19" s="3460" t="s">
        <v>633</v>
      </c>
      <c r="AL19" s="3460">
        <v>129000</v>
      </c>
      <c r="AM19" s="3460">
        <v>2899.29</v>
      </c>
      <c r="AN19" s="3460">
        <v>4698.6000000000004</v>
      </c>
      <c r="AO19" s="3460">
        <v>13590</v>
      </c>
      <c r="AP19" s="3460">
        <v>22025</v>
      </c>
      <c r="AQ19" s="3460" t="s">
        <v>3534</v>
      </c>
      <c r="AR19" s="3460" t="s">
        <v>3534</v>
      </c>
      <c r="AS19" s="3460">
        <v>62.06</v>
      </c>
      <c r="AT19" s="3460" t="s">
        <v>3587</v>
      </c>
      <c r="AU19" s="3460" t="s">
        <v>3533</v>
      </c>
      <c r="AV19" s="3460" t="s">
        <v>3534</v>
      </c>
      <c r="AW19" s="3460" t="s">
        <v>3533</v>
      </c>
      <c r="AX19" s="3460" t="s">
        <v>3534</v>
      </c>
      <c r="AY19" s="3460" t="s">
        <v>3534</v>
      </c>
      <c r="AZ19" s="3460" t="s">
        <v>3534</v>
      </c>
    </row>
    <row r="20" spans="1:52">
      <c r="A20" s="3460" t="s">
        <v>3649</v>
      </c>
      <c r="B20" s="3460" t="s">
        <v>3375</v>
      </c>
      <c r="C20" s="3460" t="s">
        <v>3650</v>
      </c>
      <c r="D20" s="3460" t="s">
        <v>3525</v>
      </c>
      <c r="E20" s="3460" t="s">
        <v>3526</v>
      </c>
      <c r="F20" s="3460" t="s">
        <v>3651</v>
      </c>
      <c r="G20" s="3460" t="s">
        <v>3652</v>
      </c>
      <c r="H20" s="3460" t="s">
        <v>3529</v>
      </c>
      <c r="I20" s="3460">
        <v>29183.54</v>
      </c>
      <c r="J20" s="3460">
        <v>72959</v>
      </c>
      <c r="K20" s="3460">
        <v>2.5</v>
      </c>
      <c r="L20" s="3460" t="s">
        <v>3530</v>
      </c>
      <c r="M20" s="3460" t="s">
        <v>3555</v>
      </c>
      <c r="N20" s="3460" t="s">
        <v>3532</v>
      </c>
      <c r="O20" s="3460" t="s">
        <v>3533</v>
      </c>
      <c r="P20" s="3460" t="s">
        <v>3534</v>
      </c>
      <c r="Q20" s="3460" t="s">
        <v>3534</v>
      </c>
      <c r="R20" s="3460" t="s">
        <v>3534</v>
      </c>
      <c r="S20" s="3460" t="s">
        <v>3534</v>
      </c>
      <c r="T20" s="3460" t="s">
        <v>3534</v>
      </c>
      <c r="U20" s="3460" t="s">
        <v>3534</v>
      </c>
      <c r="V20" s="3460">
        <v>0</v>
      </c>
      <c r="W20" s="3460">
        <v>0</v>
      </c>
      <c r="X20" s="3460">
        <v>0</v>
      </c>
      <c r="Y20" s="3460">
        <v>0</v>
      </c>
      <c r="Z20" s="3461">
        <v>42790.000497685185</v>
      </c>
      <c r="AA20" s="3461">
        <v>42810.000497685185</v>
      </c>
      <c r="AB20" s="3461">
        <v>42824.000497685185</v>
      </c>
      <c r="AC20" s="3461">
        <v>42824.000497685185</v>
      </c>
      <c r="AD20" s="3460" t="s">
        <v>3653</v>
      </c>
      <c r="AE20" s="3460" t="s">
        <v>3536</v>
      </c>
      <c r="AF20" s="3460" t="s">
        <v>3654</v>
      </c>
      <c r="AG20" s="3460" t="s">
        <v>3655</v>
      </c>
      <c r="AH20" s="3460" t="s">
        <v>3618</v>
      </c>
      <c r="AI20" s="3460">
        <v>83000</v>
      </c>
      <c r="AJ20" s="3460">
        <v>25000</v>
      </c>
      <c r="AK20" s="3460" t="s">
        <v>633</v>
      </c>
      <c r="AL20" s="3460">
        <v>106000</v>
      </c>
      <c r="AM20" s="3460">
        <v>1896.05</v>
      </c>
      <c r="AN20" s="3460">
        <v>2421.46</v>
      </c>
      <c r="AO20" s="3460">
        <v>11376</v>
      </c>
      <c r="AP20" s="3460">
        <v>14529</v>
      </c>
      <c r="AQ20" s="3460" t="s">
        <v>3534</v>
      </c>
      <c r="AR20" s="3460" t="s">
        <v>3534</v>
      </c>
      <c r="AS20" s="3460">
        <v>27.71</v>
      </c>
      <c r="AT20" s="3460" t="s">
        <v>3587</v>
      </c>
      <c r="AU20" s="3460" t="s">
        <v>3533</v>
      </c>
      <c r="AV20" s="3460" t="s">
        <v>3534</v>
      </c>
      <c r="AW20" s="3460" t="s">
        <v>3533</v>
      </c>
      <c r="AX20" s="3460" t="s">
        <v>3534</v>
      </c>
      <c r="AY20" s="3460" t="s">
        <v>3534</v>
      </c>
      <c r="AZ20" s="3460" t="s">
        <v>3534</v>
      </c>
    </row>
    <row r="21" spans="1:52">
      <c r="A21" s="3460" t="s">
        <v>3656</v>
      </c>
      <c r="B21" s="3460" t="s">
        <v>3375</v>
      </c>
      <c r="C21" s="3460" t="s">
        <v>3657</v>
      </c>
      <c r="D21" s="3460" t="s">
        <v>3525</v>
      </c>
      <c r="E21" s="3460" t="s">
        <v>3526</v>
      </c>
      <c r="F21" s="3460" t="s">
        <v>3645</v>
      </c>
      <c r="G21" s="3460" t="s">
        <v>3591</v>
      </c>
      <c r="H21" s="3460" t="s">
        <v>3529</v>
      </c>
      <c r="I21" s="3460">
        <v>23639.39</v>
      </c>
      <c r="J21" s="3460">
        <v>75646</v>
      </c>
      <c r="K21" s="3460">
        <v>3.2</v>
      </c>
      <c r="L21" s="3460" t="s">
        <v>3530</v>
      </c>
      <c r="M21" s="3460" t="s">
        <v>3555</v>
      </c>
      <c r="N21" s="3460" t="s">
        <v>3532</v>
      </c>
      <c r="O21" s="3460" t="s">
        <v>3533</v>
      </c>
      <c r="P21" s="3460" t="s">
        <v>3534</v>
      </c>
      <c r="Q21" s="3460" t="s">
        <v>3534</v>
      </c>
      <c r="R21" s="3460" t="s">
        <v>3534</v>
      </c>
      <c r="S21" s="3460" t="s">
        <v>3534</v>
      </c>
      <c r="T21" s="3460" t="s">
        <v>3534</v>
      </c>
      <c r="U21" s="3460" t="s">
        <v>3534</v>
      </c>
      <c r="V21" s="3460">
        <v>0</v>
      </c>
      <c r="W21" s="3460">
        <v>0</v>
      </c>
      <c r="X21" s="3460">
        <v>0</v>
      </c>
      <c r="Y21" s="3460">
        <v>0</v>
      </c>
      <c r="Z21" s="3461">
        <v>42690.000497685185</v>
      </c>
      <c r="AA21" s="3461">
        <v>42710.000497685185</v>
      </c>
      <c r="AB21" s="3461">
        <v>42724.000497685185</v>
      </c>
      <c r="AC21" s="3461">
        <v>42724.000497685185</v>
      </c>
      <c r="AD21" s="3460" t="s">
        <v>3658</v>
      </c>
      <c r="AE21" s="3460" t="s">
        <v>3536</v>
      </c>
      <c r="AF21" s="3460" t="s">
        <v>3659</v>
      </c>
      <c r="AG21" s="3460" t="s">
        <v>3660</v>
      </c>
      <c r="AH21" s="3460" t="s">
        <v>3661</v>
      </c>
      <c r="AI21" s="3460">
        <v>102000</v>
      </c>
      <c r="AJ21" s="3460">
        <v>30600</v>
      </c>
      <c r="AK21" s="3460" t="s">
        <v>633</v>
      </c>
      <c r="AL21" s="3460">
        <v>103020</v>
      </c>
      <c r="AM21" s="3460">
        <v>2876.55</v>
      </c>
      <c r="AN21" s="3460">
        <v>2905.32</v>
      </c>
      <c r="AO21" s="3460">
        <v>13484</v>
      </c>
      <c r="AP21" s="3460">
        <v>13619</v>
      </c>
      <c r="AQ21" s="3460" t="s">
        <v>3534</v>
      </c>
      <c r="AR21" s="3460" t="s">
        <v>3534</v>
      </c>
      <c r="AS21" s="3460">
        <v>1</v>
      </c>
      <c r="AT21" s="3460" t="s">
        <v>3587</v>
      </c>
      <c r="AU21" s="3460" t="s">
        <v>3533</v>
      </c>
      <c r="AV21" s="3460" t="s">
        <v>3534</v>
      </c>
      <c r="AW21" s="3460" t="s">
        <v>3533</v>
      </c>
      <c r="AX21" s="3460" t="s">
        <v>3534</v>
      </c>
      <c r="AY21" s="3460" t="s">
        <v>3534</v>
      </c>
      <c r="AZ21" s="3460" t="s">
        <v>3534</v>
      </c>
    </row>
    <row r="27" spans="1:52">
      <c r="AH27" s="3460" t="s">
        <v>3671</v>
      </c>
    </row>
    <row r="39" spans="38:38">
      <c r="AL39" s="3460" t="s">
        <v>3674</v>
      </c>
    </row>
    <row r="61" spans="34:34">
      <c r="AH61" s="3460" t="s">
        <v>3677</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E8" sqref="E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697"/>
      <c r="G1" s="1487"/>
      <c r="H1" s="1487"/>
      <c r="I1" s="1487"/>
      <c r="J1" s="1487"/>
      <c r="K1" s="1487"/>
      <c r="L1" s="1487"/>
      <c r="M1" s="1487"/>
      <c r="N1" s="1487"/>
      <c r="O1" s="1487"/>
      <c r="P1" s="1487"/>
      <c r="Q1" s="1487"/>
      <c r="R1" s="1487"/>
      <c r="S1" s="1487"/>
    </row>
    <row r="2" spans="1:22" ht="15.75">
      <c r="A2" s="1868" t="s">
        <v>1462</v>
      </c>
      <c r="B2" s="1869">
        <f ca="1">SUMIF(B6:B13,"&lt;&gt;#ref!",B6:B13)</f>
        <v>86627</v>
      </c>
      <c r="C2" s="1870" t="s">
        <v>1651</v>
      </c>
      <c r="D2" s="1871" t="s">
        <v>1652</v>
      </c>
      <c r="E2" s="2597">
        <f>SUM(E6:E13)</f>
        <v>35356.130000000005</v>
      </c>
      <c r="F2" s="2697"/>
      <c r="G2" s="1487"/>
      <c r="H2" s="1487"/>
      <c r="I2" s="1487"/>
      <c r="J2" s="1487"/>
      <c r="K2" s="1487"/>
      <c r="L2" s="1487"/>
      <c r="M2" s="1487"/>
      <c r="N2" s="1487"/>
      <c r="O2" s="1487"/>
      <c r="P2" s="1487"/>
      <c r="Q2" s="1487"/>
      <c r="R2" s="1487"/>
      <c r="S2" s="1487"/>
    </row>
    <row r="3" spans="1:22" ht="15.75">
      <c r="A3" s="1868" t="s">
        <v>686</v>
      </c>
      <c r="B3" s="2591">
        <f ca="1">ROUND(B2*10000/E2,0)</f>
        <v>24501</v>
      </c>
      <c r="C3" s="1870" t="s">
        <v>1659</v>
      </c>
      <c r="D3" s="2699"/>
      <c r="E3" s="2701"/>
      <c r="F3" s="2697"/>
      <c r="G3" s="1487"/>
      <c r="H3" s="1487"/>
      <c r="I3" s="1487"/>
      <c r="J3" s="1487"/>
      <c r="K3" s="1487"/>
      <c r="L3" s="1487"/>
      <c r="M3" s="1487"/>
      <c r="N3" s="1487"/>
      <c r="O3" s="1487"/>
      <c r="P3" s="1487"/>
      <c r="Q3" s="1487"/>
      <c r="R3" s="1487"/>
      <c r="S3" s="1487"/>
    </row>
    <row r="4" spans="1:22" ht="15.75">
      <c r="A4" s="2702"/>
      <c r="B4" s="2699"/>
      <c r="C4" s="2699"/>
      <c r="D4" s="2699"/>
      <c r="E4" s="2701"/>
      <c r="F4" s="2697"/>
      <c r="G4" s="1487"/>
      <c r="H4" s="1487"/>
      <c r="I4" s="1487"/>
      <c r="J4" s="1487"/>
      <c r="K4" s="1487"/>
      <c r="L4" s="1487"/>
      <c r="M4" s="1487"/>
      <c r="N4" s="1487"/>
      <c r="O4" s="1487"/>
      <c r="P4" s="1487"/>
      <c r="Q4" s="1487"/>
      <c r="R4" s="1487"/>
      <c r="S4" s="1487"/>
    </row>
    <row r="5" spans="1:22" ht="15">
      <c r="A5" s="2593" t="s">
        <v>1653</v>
      </c>
      <c r="B5" s="3830" t="s">
        <v>1654</v>
      </c>
      <c r="C5" s="3831"/>
      <c r="D5" s="2698"/>
      <c r="E5" s="1872" t="s">
        <v>1655</v>
      </c>
      <c r="F5" s="1873" t="s">
        <v>1656</v>
      </c>
      <c r="G5" s="1487"/>
      <c r="H5" s="1487"/>
      <c r="I5" s="1487"/>
      <c r="J5" s="1487"/>
      <c r="K5" s="1487"/>
      <c r="L5" s="1487"/>
      <c r="M5" s="1487"/>
      <c r="N5" s="1487"/>
      <c r="O5" s="1487"/>
      <c r="P5" s="1487"/>
      <c r="Q5" s="1487"/>
      <c r="R5" s="1487"/>
      <c r="S5" s="1487"/>
    </row>
    <row r="6" spans="1:22">
      <c r="A6" s="2594" t="str">
        <f>'数据-取费表'!AN6</f>
        <v>收益法-长租公寓</v>
      </c>
      <c r="B6" s="2592">
        <f ca="1">IF(F6="是",'数据-取费表'!AO6,0)</f>
        <v>82104</v>
      </c>
      <c r="C6" s="1870" t="s">
        <v>1651</v>
      </c>
      <c r="D6" s="2699"/>
      <c r="E6" s="2596">
        <f>IF(OR(A6=0,F6="否"),0,'数据-取费表'!K6+'数据-取费表'!S6)</f>
        <v>33296.990000000005</v>
      </c>
      <c r="F6" s="1874" t="s">
        <v>1657</v>
      </c>
      <c r="G6" s="1487"/>
      <c r="H6" s="1487"/>
      <c r="I6" s="1487"/>
      <c r="J6" s="1487"/>
      <c r="K6" s="1487"/>
      <c r="L6" s="1487"/>
      <c r="M6" s="1487"/>
      <c r="N6" s="1487"/>
      <c r="O6" s="1487"/>
      <c r="P6" s="1487"/>
      <c r="Q6" s="1487"/>
      <c r="R6" s="1487"/>
      <c r="S6" s="1487"/>
    </row>
    <row r="7" spans="1:22">
      <c r="A7" s="2594" t="str">
        <f>'数据-取费表'!AN7</f>
        <v>收益法-商业</v>
      </c>
      <c r="B7" s="2592">
        <f ca="1">IF(F7="是",'数据-取费表'!AO7,0)</f>
        <v>4493</v>
      </c>
      <c r="C7" s="1870" t="s">
        <v>1651</v>
      </c>
      <c r="D7" s="2699"/>
      <c r="E7" s="2596">
        <f>IF(OR(A7=0,F7="否"),0,'数据-取费表'!K7+'数据-取费表'!S7)</f>
        <v>1602.61</v>
      </c>
      <c r="F7" s="1874" t="s">
        <v>1657</v>
      </c>
      <c r="G7" s="1487"/>
      <c r="H7" s="1487"/>
      <c r="I7" s="1487"/>
      <c r="J7" s="1487"/>
      <c r="K7" s="1487"/>
      <c r="L7" s="1487"/>
      <c r="M7" s="1487"/>
      <c r="N7" s="1487"/>
      <c r="O7" s="1487"/>
      <c r="P7" s="1487"/>
      <c r="Q7" s="1487"/>
      <c r="R7" s="1487"/>
      <c r="S7" s="1487"/>
    </row>
    <row r="8" spans="1:22">
      <c r="A8" s="2594" t="str">
        <f>'数据-取费表'!AN8</f>
        <v>收益法-车库</v>
      </c>
      <c r="B8" s="2592">
        <f ca="1">IF(F8="是",'数据-取费表'!AO8,0)</f>
        <v>30</v>
      </c>
      <c r="C8" s="1870" t="s">
        <v>1651</v>
      </c>
      <c r="D8" s="2699"/>
      <c r="E8" s="2596">
        <f>IF(OR(A8=0,F8="否"),0,'数据-取费表'!K8+'数据-取费表'!S8)</f>
        <v>456.53000000000003</v>
      </c>
      <c r="F8" s="1874" t="s">
        <v>3442</v>
      </c>
      <c r="G8" s="1487"/>
      <c r="H8" s="1487"/>
      <c r="I8" s="1487"/>
      <c r="J8" s="1487"/>
      <c r="K8" s="1487"/>
      <c r="L8" s="1487"/>
      <c r="M8" s="1487"/>
      <c r="N8" s="1487"/>
      <c r="O8" s="1487"/>
      <c r="P8" s="1487"/>
      <c r="Q8" s="1487"/>
      <c r="R8" s="1487"/>
      <c r="S8" s="1487"/>
    </row>
    <row r="9" spans="1:22">
      <c r="A9" s="2594">
        <f>'数据-取费表'!AN9</f>
        <v>0</v>
      </c>
      <c r="B9" s="2592">
        <f>IF(F9="是",'数据-取费表'!AO9,0)</f>
        <v>0</v>
      </c>
      <c r="C9" s="1870" t="s">
        <v>1651</v>
      </c>
      <c r="D9" s="2699"/>
      <c r="E9" s="2596">
        <f>IF(OR(A9=0,F9="否"),0,'数据-取费表'!K9+'数据-取费表'!S9)</f>
        <v>0</v>
      </c>
      <c r="F9" s="1874"/>
      <c r="G9" s="1487"/>
      <c r="H9" s="1487"/>
      <c r="I9" s="1487"/>
      <c r="J9" s="1487"/>
      <c r="K9" s="1487"/>
      <c r="L9" s="1487"/>
      <c r="M9" s="1487"/>
      <c r="N9" s="1487"/>
      <c r="O9" s="1487"/>
      <c r="P9" s="1487"/>
      <c r="Q9" s="1487"/>
      <c r="R9" s="1487"/>
      <c r="S9" s="1487"/>
    </row>
    <row r="10" spans="1:22">
      <c r="A10" s="2594">
        <f>'数据-取费表'!AN10</f>
        <v>0</v>
      </c>
      <c r="B10" s="2592">
        <f>IF(F10="是",'数据-取费表'!AO10,0)</f>
        <v>0</v>
      </c>
      <c r="C10" s="1870" t="s">
        <v>1651</v>
      </c>
      <c r="D10" s="2699"/>
      <c r="E10" s="2596">
        <f>IF(OR(A10=0,F10="否"),0,'数据-取费表'!K10+'数据-取费表'!S10)</f>
        <v>0</v>
      </c>
      <c r="F10" s="1874"/>
      <c r="G10" s="1487"/>
      <c r="H10" s="1487"/>
      <c r="I10" s="1487"/>
      <c r="J10" s="1487"/>
      <c r="K10" s="1487"/>
      <c r="L10" s="1487"/>
      <c r="M10" s="1487"/>
      <c r="N10" s="1487"/>
      <c r="O10" s="1487"/>
      <c r="P10" s="1487"/>
      <c r="Q10" s="1487"/>
      <c r="R10" s="1487"/>
      <c r="S10" s="1487"/>
    </row>
    <row r="11" spans="1:22">
      <c r="A11" s="2594">
        <f>'数据-取费表'!AN11</f>
        <v>0</v>
      </c>
      <c r="B11" s="2592">
        <f>IF(F11="是",'数据-取费表'!AO11,0)</f>
        <v>0</v>
      </c>
      <c r="C11" s="1870" t="s">
        <v>1651</v>
      </c>
      <c r="D11" s="2699"/>
      <c r="E11" s="2596">
        <f>IF(OR(A11=0,F11="否"),0,'数据-取费表'!K11+'数据-取费表'!S11)</f>
        <v>0</v>
      </c>
      <c r="F11" s="1874"/>
      <c r="G11" s="1487"/>
      <c r="H11" s="1487"/>
      <c r="I11" s="1487"/>
      <c r="J11" s="1487"/>
      <c r="K11" s="1487"/>
      <c r="L11" s="1487"/>
      <c r="M11" s="1487"/>
      <c r="N11" s="1487"/>
      <c r="O11" s="1487"/>
      <c r="P11" s="1487"/>
      <c r="Q11" s="1487"/>
      <c r="R11" s="1487"/>
      <c r="S11" s="1487"/>
    </row>
    <row r="12" spans="1:22">
      <c r="A12" s="2594">
        <f>'数据-取费表'!AN12</f>
        <v>0</v>
      </c>
      <c r="B12" s="2592">
        <f>IF(F12="是",'数据-取费表'!AO12,0)</f>
        <v>0</v>
      </c>
      <c r="C12" s="1870" t="s">
        <v>1651</v>
      </c>
      <c r="D12" s="2699"/>
      <c r="E12" s="2596">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5">
        <f>'数据-取费表'!AN13</f>
        <v>0</v>
      </c>
      <c r="B13" s="2592">
        <f>IF(F13="是",'数据-取费表'!AO13,0)</f>
        <v>0</v>
      </c>
      <c r="C13" s="1875" t="s">
        <v>1651</v>
      </c>
      <c r="D13" s="2700"/>
      <c r="E13" s="2596">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6" sqref="K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3446</v>
      </c>
      <c r="D1" s="1360" t="s">
        <v>43</v>
      </c>
      <c r="E1" s="1361" t="s">
        <v>678</v>
      </c>
      <c r="F1" s="1061">
        <f ca="1">J53</f>
        <v>47.75</v>
      </c>
      <c r="G1" s="1376">
        <f>MATCH(C1,'数据-取费表'!A6:A16,0)+5</f>
        <v>6</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82104</v>
      </c>
      <c r="C2" s="1385" t="s">
        <v>805</v>
      </c>
      <c r="D2" s="1385"/>
      <c r="E2" s="1386"/>
      <c r="F2" s="1387"/>
      <c r="G2" s="2696"/>
      <c r="H2" s="2685"/>
      <c r="I2" s="2685"/>
      <c r="J2" s="2685"/>
      <c r="K2" s="2686"/>
      <c r="L2" s="2685"/>
      <c r="M2" s="2685"/>
    </row>
    <row r="3" spans="1:37" ht="18" customHeight="1" thickBot="1">
      <c r="A3" s="1388" t="s">
        <v>806</v>
      </c>
      <c r="B3" s="1389">
        <f ca="1">IF(ISERROR(B2*10000/F43),0,ROUND(B2*10000/F43,0))</f>
        <v>24813</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4410</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4360</v>
      </c>
      <c r="K6" s="155" t="s">
        <v>2108</v>
      </c>
      <c r="L6" s="302" t="s">
        <v>696</v>
      </c>
      <c r="M6" s="303">
        <f ca="1">INDIRECT("'数据-取费表'!z"&amp;$G$1)</f>
        <v>3.8</v>
      </c>
    </row>
    <row r="7" spans="1:37" ht="18" customHeight="1">
      <c r="A7" s="1072"/>
      <c r="B7" s="3835"/>
      <c r="C7" s="1074"/>
      <c r="D7" s="307"/>
      <c r="E7" s="1075" t="s">
        <v>697</v>
      </c>
      <c r="F7" s="303">
        <f ca="1">IF(INDIRECT("'数据-取费表'!ah"&amp;$G$1)="",INDIRECT("'数据-取费表'!k"&amp;$G$1),INDIRECT("'数据-取费表'!ah"&amp;$G$1))</f>
        <v>33089.26</v>
      </c>
      <c r="G7" s="1382"/>
      <c r="H7" s="304"/>
      <c r="I7" s="3835"/>
      <c r="J7" s="306"/>
      <c r="K7" s="307"/>
      <c r="L7" s="302" t="s">
        <v>697</v>
      </c>
      <c r="M7" s="303">
        <f ca="1">F7</f>
        <v>33089.26</v>
      </c>
    </row>
    <row r="8" spans="1:37" ht="18" customHeight="1">
      <c r="A8" s="304"/>
      <c r="B8" s="3835"/>
      <c r="C8" s="306"/>
      <c r="D8" s="307"/>
      <c r="E8" s="302" t="s">
        <v>698</v>
      </c>
      <c r="F8" s="303">
        <f ca="1">INDIRECT("'数据-取费表'!ai"&amp;$G$1)</f>
        <v>365</v>
      </c>
      <c r="G8" s="1382"/>
      <c r="H8" s="304"/>
      <c r="I8" s="3835"/>
      <c r="J8" s="306"/>
      <c r="K8" s="307"/>
      <c r="L8" s="302" t="s">
        <v>698</v>
      </c>
      <c r="M8" s="303">
        <f ca="1">INDIRECT("'数据-取费表'!ai"&amp;$G$1)</f>
        <v>365</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2117</v>
      </c>
      <c r="E10" s="313" t="s">
        <v>701</v>
      </c>
      <c r="F10" s="1115" t="s">
        <v>3402</v>
      </c>
      <c r="G10" s="1382"/>
      <c r="H10" s="1068" t="s">
        <v>402</v>
      </c>
      <c r="I10" s="1363" t="s">
        <v>700</v>
      </c>
      <c r="J10" s="301">
        <f ca="1">ROUND(IF(M10="押一",J6/12*M11,IF(M10="押二",J6/12*2*M11,IF(M10="押三",J6/12*3*M11,J11*M11))),0)</f>
        <v>5</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f>ROUND('数据-取费表'!AJ20/10000,0)</f>
        <v>45</v>
      </c>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25525</v>
      </c>
      <c r="K13" s="1086" t="s">
        <v>705</v>
      </c>
      <c r="L13" s="1390"/>
      <c r="M13" s="1391"/>
    </row>
    <row r="14" spans="1:37" ht="18" customHeight="1">
      <c r="A14" s="981" t="s">
        <v>397</v>
      </c>
      <c r="B14" s="302" t="s">
        <v>707</v>
      </c>
      <c r="C14" s="318">
        <f ca="1">INDIRECT("'数据-取费表'!m"&amp;$G$1)+INDIRECT("'数据-取费表'!t"&amp;$G$1)</f>
        <v>17293</v>
      </c>
      <c r="D14" s="1343" t="s">
        <v>708</v>
      </c>
      <c r="E14" s="1340"/>
      <c r="F14" s="319"/>
      <c r="G14" s="1382"/>
      <c r="H14" s="981" t="s">
        <v>398</v>
      </c>
      <c r="I14" s="302" t="s">
        <v>709</v>
      </c>
      <c r="J14" s="21">
        <f ca="1">C29</f>
        <v>25525</v>
      </c>
      <c r="K14" s="12"/>
      <c r="L14" s="806"/>
      <c r="M14" s="807"/>
    </row>
    <row r="15" spans="1:37" s="1395" customFormat="1" ht="18" customHeight="1" thickBot="1">
      <c r="A15" s="981" t="s">
        <v>399</v>
      </c>
      <c r="B15" s="302" t="s">
        <v>710</v>
      </c>
      <c r="C15" s="21">
        <f ca="1">ROUND(C14*F15,0)</f>
        <v>865</v>
      </c>
      <c r="D15" s="320" t="s">
        <v>711</v>
      </c>
      <c r="E15" s="320"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1052</v>
      </c>
      <c r="K16" s="1086" t="s">
        <v>715</v>
      </c>
      <c r="L16" s="1087"/>
      <c r="M16" s="1071"/>
    </row>
    <row r="17" spans="1:37" s="1395" customFormat="1" ht="18" customHeight="1">
      <c r="A17" s="981" t="s">
        <v>681</v>
      </c>
      <c r="B17" s="302" t="s">
        <v>716</v>
      </c>
      <c r="C17" s="21">
        <f ca="1">ROUND(F17*(F43+INDIRECT("'数据-取费表'!S"&amp;$G$1))/10000,0)</f>
        <v>666</v>
      </c>
      <c r="D17" s="302" t="s">
        <v>717</v>
      </c>
      <c r="E17" s="302" t="s">
        <v>718</v>
      </c>
      <c r="F17" s="23">
        <f>'数据-取费表'!B35</f>
        <v>200</v>
      </c>
      <c r="G17" s="1394"/>
      <c r="H17" s="981" t="s">
        <v>398</v>
      </c>
      <c r="I17" s="302" t="s">
        <v>719</v>
      </c>
      <c r="J17" s="2312">
        <f ca="1">ROUND(IF(AND(项目基本情况!B11="自然人",项目基本情况!B10="北京市"),J6*M17/(1+'数据-取费表'!C42),J18+J19+J20),2)</f>
        <v>726.67</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259</v>
      </c>
      <c r="D18" s="302" t="s">
        <v>711</v>
      </c>
      <c r="E18" s="302" t="s">
        <v>712</v>
      </c>
      <c r="F18" s="322">
        <f>'数据-取费表'!B36</f>
        <v>1.4999999999999999E-2</v>
      </c>
      <c r="G18" s="1394"/>
      <c r="H18" s="981" t="s">
        <v>397</v>
      </c>
      <c r="I18" s="302" t="s">
        <v>723</v>
      </c>
      <c r="J18" s="21">
        <f ca="1">ROUND(J6*M18/(1+'数据-取费表'!C42),2)</f>
        <v>228.38</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19083</v>
      </c>
      <c r="D19" s="131" t="s">
        <v>726</v>
      </c>
      <c r="E19" s="1358"/>
      <c r="F19" s="23"/>
      <c r="G19" s="1382"/>
      <c r="H19" s="981" t="s">
        <v>399</v>
      </c>
      <c r="I19" s="302" t="s">
        <v>727</v>
      </c>
      <c r="J19" s="21">
        <f ca="1">IF(K19="按租金收入计税",ROUND(J6*M19/(1+'数据-取费表'!C42),2),ROUND(C29*M19*0.7,2))</f>
        <v>498.29</v>
      </c>
      <c r="K19" s="1368" t="s">
        <v>3332</v>
      </c>
      <c r="L19" s="302" t="s">
        <v>712</v>
      </c>
      <c r="M19" s="322">
        <f>IF(K19="按租金收入计税",'数据-取费表'!B51,'数据-取费表'!B50)</f>
        <v>0.12</v>
      </c>
    </row>
    <row r="20" spans="1:37" s="1395" customFormat="1" ht="18" customHeight="1">
      <c r="A20" s="981" t="s">
        <v>402</v>
      </c>
      <c r="B20" s="302" t="s">
        <v>728</v>
      </c>
      <c r="C20" s="21">
        <f ca="1">ROUND(C19*F20,0)</f>
        <v>572</v>
      </c>
      <c r="D20" s="323"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255.25</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678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25.53</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44.1</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3358</v>
      </c>
      <c r="K25" s="1094" t="s">
        <v>753</v>
      </c>
      <c r="L25" s="1095"/>
      <c r="M25" s="1096"/>
    </row>
    <row r="26" spans="1:37">
      <c r="A26" s="981" t="s">
        <v>397</v>
      </c>
      <c r="B26" s="302" t="s">
        <v>754</v>
      </c>
      <c r="C26" s="21">
        <f ca="1">ROUND((C19+C20)*F26,0)</f>
        <v>2948</v>
      </c>
      <c r="D26" s="323" t="s">
        <v>755</v>
      </c>
      <c r="E26" s="313" t="s">
        <v>756</v>
      </c>
      <c r="F26" s="312">
        <f ca="1">INDIRECT("'数据-取费表'!q"&amp;$G$1)</f>
        <v>0.15</v>
      </c>
      <c r="G26" s="1382"/>
      <c r="H26" s="299" t="s">
        <v>395</v>
      </c>
      <c r="I26" s="300" t="s">
        <v>757</v>
      </c>
      <c r="J26" s="301">
        <f ca="1">IF(J5&lt;&gt;0,ROUND(J25*(1-((1+M28)/(1+M26))^M27)/(M26-M28),0),0)</f>
        <v>83416</v>
      </c>
      <c r="K26" s="324" t="s">
        <v>758</v>
      </c>
      <c r="L26" s="302" t="s">
        <v>759</v>
      </c>
      <c r="M26" s="312">
        <f ca="1">INDIRECT("'数据-取费表'!I"&amp;$G$1)</f>
        <v>5.5E-2</v>
      </c>
    </row>
    <row r="27" spans="1:37" ht="18" customHeight="1">
      <c r="A27" s="981"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47.4</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25525</v>
      </c>
      <c r="D29" s="1091"/>
      <c r="E29" s="1089"/>
      <c r="F29" s="1092"/>
      <c r="G29" s="1394"/>
      <c r="H29" s="334" t="s">
        <v>396</v>
      </c>
      <c r="I29" s="335" t="s">
        <v>768</v>
      </c>
      <c r="J29" s="336">
        <f ca="1">ROUND(J26/(1+F40)^F41,0)</f>
        <v>81867</v>
      </c>
      <c r="K29" s="337" t="s">
        <v>769</v>
      </c>
      <c r="L29" s="338"/>
      <c r="M29" s="339">
        <f ca="1">INDIRECT("'数据-取费表'!k"&amp;$G$1)</f>
        <v>33089.26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255</v>
      </c>
      <c r="D30" s="1086" t="s">
        <v>715</v>
      </c>
      <c r="E30" s="1087"/>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255.25</v>
      </c>
      <c r="D36" s="1342" t="s">
        <v>771</v>
      </c>
      <c r="E36" s="302" t="s">
        <v>712</v>
      </c>
      <c r="F36" s="328">
        <f ca="1">INDIRECT("'数据-取费表'!Ak"&amp;$G$1)</f>
        <v>0.01</v>
      </c>
      <c r="G36" s="1382"/>
      <c r="H36" s="2690"/>
      <c r="I36" s="1396"/>
      <c r="J36" s="1397"/>
      <c r="K36" s="2534"/>
      <c r="L36" s="2690"/>
      <c r="M36" s="2690"/>
    </row>
    <row r="37" spans="1:18" ht="18" customHeight="1">
      <c r="A37" s="981" t="s">
        <v>437</v>
      </c>
      <c r="B37" s="302" t="s">
        <v>742</v>
      </c>
      <c r="C37" s="21">
        <f ca="1">ROUND(C13*F37,2)</f>
        <v>0</v>
      </c>
      <c r="D37" s="1342"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-255</v>
      </c>
      <c r="D39" s="1094" t="s">
        <v>773</v>
      </c>
      <c r="E39" s="1095"/>
      <c r="F39" s="1096"/>
      <c r="G39" s="1382"/>
      <c r="H39" s="2690"/>
      <c r="I39" s="1396"/>
      <c r="J39" s="1397"/>
      <c r="K39" s="2694"/>
      <c r="L39" s="2690"/>
      <c r="M39" s="2690"/>
    </row>
    <row r="40" spans="1:18" ht="18" customHeight="1">
      <c r="A40" s="299" t="s">
        <v>395</v>
      </c>
      <c r="B40" s="300" t="s">
        <v>774</v>
      </c>
      <c r="C40" s="301">
        <f ca="1">ROUND(C39*(1-((1+F42)/(1+F40))^F41)/(F40-F42),0)</f>
        <v>-86</v>
      </c>
      <c r="D40" s="324" t="s">
        <v>758</v>
      </c>
      <c r="E40" s="302" t="s">
        <v>759</v>
      </c>
      <c r="F40" s="312">
        <f ca="1">INDIRECT("'数据-取费表'!I"&amp;$G$1)</f>
        <v>5.5E-2</v>
      </c>
      <c r="G40" s="1382"/>
      <c r="H40" s="1459" t="e">
        <f ca="1">C39/C5</f>
        <v>#DIV/0!</v>
      </c>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-26</v>
      </c>
      <c r="D43" s="337" t="s">
        <v>777</v>
      </c>
      <c r="E43" s="338" t="s">
        <v>778</v>
      </c>
      <c r="F43" s="339">
        <f ca="1">INDIRECT("'数据-取费表'!k"&amp;$G$1)</f>
        <v>33089.26</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323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81781</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323</v>
      </c>
      <c r="R48" s="1418" t="s">
        <v>822</v>
      </c>
    </row>
    <row r="49" spans="1:18" s="1382" customFormat="1" ht="13.5" thickBot="1">
      <c r="A49" s="974" t="s">
        <v>439</v>
      </c>
      <c r="B49" s="1369" t="s">
        <v>779</v>
      </c>
      <c r="C49" s="1113">
        <f ca="1">ROUND(F49*F51*F50*(1-F52)/10000,0)</f>
        <v>0</v>
      </c>
      <c r="D49" s="1054" t="s">
        <v>2110</v>
      </c>
      <c r="E49" s="1370" t="s">
        <v>780</v>
      </c>
      <c r="F49" s="1059"/>
      <c r="G49" s="1423"/>
      <c r="H49" s="723"/>
      <c r="I49" s="1419" t="s">
        <v>823</v>
      </c>
      <c r="J49" s="1424">
        <f>'数据-取费表'!N18</f>
        <v>2023</v>
      </c>
      <c r="K49" s="1421" t="s">
        <v>824</v>
      </c>
      <c r="L49" s="1425"/>
      <c r="O49" s="1426" t="s">
        <v>405</v>
      </c>
      <c r="P49" s="1417" t="s">
        <v>825</v>
      </c>
      <c r="Q49" s="1418">
        <f ca="1">C29</f>
        <v>25525</v>
      </c>
      <c r="R49" s="1418" t="s">
        <v>818</v>
      </c>
    </row>
    <row r="50" spans="1:18" s="1382" customFormat="1" ht="13.5" thickBot="1">
      <c r="A50" s="975"/>
      <c r="B50" s="978"/>
      <c r="C50" s="1117"/>
      <c r="D50" s="952"/>
      <c r="E50" s="1055" t="s">
        <v>697</v>
      </c>
      <c r="F50" s="1056">
        <f ca="1">F7</f>
        <v>33089.26</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-4827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832" t="s">
        <v>837</v>
      </c>
      <c r="L53" s="3833"/>
      <c r="O53" s="1416" t="s">
        <v>409</v>
      </c>
      <c r="P53" s="1417" t="s">
        <v>838</v>
      </c>
      <c r="Q53" s="1418">
        <f ca="1">Q47+Q48</f>
        <v>82104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81781</v>
      </c>
      <c r="R56" s="1418" t="s">
        <v>818</v>
      </c>
    </row>
    <row r="57" spans="1:18" s="1382" customFormat="1" ht="24.75" thickBot="1">
      <c r="A57" s="1449"/>
      <c r="B57" s="949" t="s">
        <v>767</v>
      </c>
      <c r="C57" s="238">
        <f ca="1">C29</f>
        <v>25525</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255</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10210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323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81781</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255.25</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81781</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-255</v>
      </c>
      <c r="D67" s="962" t="s">
        <v>753</v>
      </c>
      <c r="E67" s="967"/>
      <c r="F67" s="968"/>
      <c r="O67" s="1426" t="s">
        <v>405</v>
      </c>
      <c r="P67" s="1417" t="s">
        <v>850</v>
      </c>
      <c r="Q67" s="1464">
        <f ca="1">L51</f>
        <v>-4827</v>
      </c>
      <c r="R67" s="1418" t="s">
        <v>870</v>
      </c>
    </row>
    <row r="68" spans="1:18" s="1382" customFormat="1" ht="16.5" thickBot="1">
      <c r="A68" s="946" t="s">
        <v>395</v>
      </c>
      <c r="B68" s="947" t="s">
        <v>774</v>
      </c>
      <c r="C68" s="301">
        <f ca="1">ROUND(C67*(1-((1+F70)/(1+F68))^F69)/(F68-F70),0)</f>
        <v>-86</v>
      </c>
      <c r="D68" s="964" t="s">
        <v>758</v>
      </c>
      <c r="E68" s="949" t="s">
        <v>759</v>
      </c>
      <c r="F68" s="312">
        <f ca="1">F40</f>
        <v>5.5E-2</v>
      </c>
      <c r="O68" s="1426" t="s">
        <v>406</v>
      </c>
      <c r="P68" s="1465" t="s">
        <v>871</v>
      </c>
      <c r="Q68" s="1418">
        <f ca="1">ROUND(Q69-Q70*Q71,0)</f>
        <v>-255</v>
      </c>
      <c r="R68" s="1418" t="s">
        <v>414</v>
      </c>
    </row>
    <row r="69" spans="1:18" s="1382" customFormat="1" ht="13.5" thickBot="1">
      <c r="A69" s="950"/>
      <c r="B69" s="951"/>
      <c r="C69" s="306"/>
      <c r="D69" s="969" t="s">
        <v>762</v>
      </c>
      <c r="E69" s="949" t="s">
        <v>763</v>
      </c>
      <c r="F69" s="333">
        <f ca="1">F41</f>
        <v>0.35</v>
      </c>
      <c r="O69" s="1426" t="s">
        <v>411</v>
      </c>
      <c r="P69" s="1465" t="s">
        <v>872</v>
      </c>
      <c r="Q69" s="1418">
        <f ca="1">C39</f>
        <v>-255</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-26</v>
      </c>
      <c r="D71" s="972" t="s">
        <v>777</v>
      </c>
      <c r="E71" s="973" t="s">
        <v>778</v>
      </c>
      <c r="F71" s="339">
        <f ca="1">F43</f>
        <v>33089.26</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81781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15" t="e">
        <f ca="1">ROUND(D2/10000,4)</f>
        <v>#DIV/0!</v>
      </c>
      <c r="C2" s="1385" t="s">
        <v>879</v>
      </c>
      <c r="D2" s="1469" t="e">
        <f ca="1">C40+J29+L46</f>
        <v>#DIV/0!</v>
      </c>
      <c r="E2" s="1386" t="s">
        <v>880</v>
      </c>
      <c r="F2" s="1387"/>
      <c r="G2" s="2696"/>
      <c r="H2" s="2685"/>
      <c r="I2" s="2685"/>
      <c r="J2" s="2685"/>
      <c r="K2" s="2686"/>
      <c r="L2" s="2685"/>
      <c r="M2" s="2685"/>
    </row>
    <row r="3" spans="1:37" ht="18" customHeight="1" thickBot="1">
      <c r="A3" s="1388" t="s">
        <v>881</v>
      </c>
      <c r="B3" s="1389">
        <f ca="1">IF(ISERROR(D2/F43),0,ROUND(D2/F43,0))</f>
        <v>0</v>
      </c>
      <c r="C3" s="1385" t="s">
        <v>882</v>
      </c>
      <c r="D3" s="1385"/>
      <c r="E3" s="1386"/>
      <c r="F3" s="1387"/>
      <c r="G3" s="2696"/>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834" t="s">
        <v>694</v>
      </c>
      <c r="C6" s="1073">
        <f ca="1">ROUND(F6*F8*F7*(1-F9),0)</f>
        <v>0</v>
      </c>
      <c r="D6" s="155" t="s">
        <v>2106</v>
      </c>
      <c r="E6" s="302" t="s">
        <v>696</v>
      </c>
      <c r="F6" s="303">
        <f ca="1">INDIRECT("'数据-取费表'!u"&amp;$G$1)</f>
        <v>0</v>
      </c>
      <c r="G6" s="1382"/>
      <c r="H6" s="1068" t="s">
        <v>398</v>
      </c>
      <c r="I6" s="3834" t="s">
        <v>694</v>
      </c>
      <c r="J6" s="301">
        <f ca="1">ROUND(M6*M8*M7*(1-M9),0)</f>
        <v>0</v>
      </c>
      <c r="K6" s="1374" t="s">
        <v>2107</v>
      </c>
      <c r="L6" s="302" t="s">
        <v>696</v>
      </c>
      <c r="M6" s="303">
        <f ca="1">INDIRECT("'数据-取费表'!z"&amp;$G$1)</f>
        <v>0</v>
      </c>
    </row>
    <row r="7" spans="1:37" ht="18" customHeight="1">
      <c r="A7" s="1072"/>
      <c r="B7" s="3835"/>
      <c r="C7" s="1074"/>
      <c r="D7" s="307"/>
      <c r="E7" s="1075" t="s">
        <v>697</v>
      </c>
      <c r="F7" s="303">
        <f ca="1">IF(INDIRECT("'数据-取费表'!ah"&amp;$G$1)="",INDIRECT("'数据-取费表'!k"&amp;$G$1),INDIRECT("'数据-取费表'!ah"&amp;$G$1))</f>
        <v>0</v>
      </c>
      <c r="G7" s="1382"/>
      <c r="H7" s="304"/>
      <c r="I7" s="3835"/>
      <c r="J7" s="306"/>
      <c r="K7" s="307"/>
      <c r="L7" s="302" t="s">
        <v>697</v>
      </c>
      <c r="M7" s="303">
        <f ca="1">F7</f>
        <v>0</v>
      </c>
    </row>
    <row r="8" spans="1:37" ht="18" customHeight="1">
      <c r="A8" s="304"/>
      <c r="B8" s="3835"/>
      <c r="C8" s="306"/>
      <c r="D8" s="307"/>
      <c r="E8" s="302" t="s">
        <v>698</v>
      </c>
      <c r="F8" s="303">
        <f ca="1">INDIRECT("'数据-取费表'!ai"&amp;$G$1)</f>
        <v>0</v>
      </c>
      <c r="G8" s="1382"/>
      <c r="H8" s="304"/>
      <c r="I8" s="3835"/>
      <c r="J8" s="306"/>
      <c r="K8" s="307"/>
      <c r="L8" s="302" t="s">
        <v>698</v>
      </c>
      <c r="M8" s="303">
        <f ca="1">INDIRECT("'数据-取费表'!ai"&amp;$G$1)</f>
        <v>0</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75" t="s">
        <v>2118</v>
      </c>
      <c r="L10" s="313" t="s">
        <v>701</v>
      </c>
      <c r="M10" s="1115" t="s">
        <v>3402</v>
      </c>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IF(项目基本情况!B11="自然人","——",ROUND(F34*F35,0))</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ROUND(C29*F36,0)</f>
        <v>0</v>
      </c>
      <c r="D36" s="1342" t="s">
        <v>771</v>
      </c>
      <c r="E36" s="302" t="s">
        <v>712</v>
      </c>
      <c r="F36" s="328">
        <f ca="1">INDIRECT("'数据-取费表'!Ak"&amp;$G$1)</f>
        <v>0</v>
      </c>
      <c r="G36" s="1382"/>
      <c r="H36" s="2690"/>
      <c r="I36" s="1396"/>
      <c r="J36" s="1397"/>
      <c r="K36" s="2534"/>
      <c r="L36" s="2690"/>
      <c r="M36" s="2690"/>
    </row>
    <row r="37" spans="1:18" ht="18" customHeight="1">
      <c r="A37" s="981" t="s">
        <v>437</v>
      </c>
      <c r="B37" s="302" t="s">
        <v>742</v>
      </c>
      <c r="C37" s="21">
        <f ca="1">ROUND(C13*F37,0)</f>
        <v>0</v>
      </c>
      <c r="D37" s="1342" t="s">
        <v>743</v>
      </c>
      <c r="E37" s="302" t="s">
        <v>744</v>
      </c>
      <c r="F37" s="330">
        <f ca="1">INDIRECT("'数据-取费表'!Al"&amp;$G$1)</f>
        <v>0</v>
      </c>
      <c r="G37" s="1382"/>
      <c r="H37" s="2690"/>
      <c r="I37" s="1396"/>
      <c r="J37" s="1397"/>
      <c r="K37" s="2534"/>
      <c r="L37" s="2690"/>
      <c r="M37" s="2690"/>
    </row>
    <row r="38" spans="1:18" ht="18" customHeight="1" thickBot="1">
      <c r="A38" s="1088" t="s">
        <v>684</v>
      </c>
      <c r="B38" s="1089" t="s">
        <v>728</v>
      </c>
      <c r="C38" s="1090">
        <f ca="1">ROUND(C5*F38,0)</f>
        <v>0</v>
      </c>
      <c r="D38" s="1091" t="s">
        <v>748</v>
      </c>
      <c r="E38" s="1089" t="s">
        <v>744</v>
      </c>
      <c r="F38" s="1085">
        <f ca="1">INDIRECT("'数据-取费表'!Am"&amp;$G$1)</f>
        <v>0</v>
      </c>
      <c r="G38" s="1382"/>
      <c r="H38" s="2690"/>
      <c r="I38" s="1396"/>
      <c r="J38" s="1397"/>
      <c r="K38" s="2694"/>
      <c r="L38" s="2690"/>
      <c r="M38" s="2690"/>
    </row>
    <row r="39" spans="1:18" ht="24.6" customHeight="1" thickTop="1">
      <c r="A39" s="1078" t="s">
        <v>394</v>
      </c>
      <c r="B39" s="1093" t="s">
        <v>772</v>
      </c>
      <c r="C39" s="310">
        <f ca="1">C5-C30</f>
        <v>0</v>
      </c>
      <c r="D39" s="1094" t="s">
        <v>773</v>
      </c>
      <c r="E39" s="1095"/>
      <c r="F39" s="1096"/>
      <c r="G39" s="1382"/>
      <c r="H39" s="2690"/>
      <c r="I39" s="1396"/>
      <c r="J39" s="1397"/>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3420" t="s">
        <v>3348</v>
      </c>
      <c r="B45" s="1398"/>
      <c r="C45" s="1470" t="e">
        <f ca="1">ROUND((C68-C40)/10000,4)</f>
        <v>#DIV/0!</v>
      </c>
      <c r="D45" s="3421" t="s">
        <v>3349</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t="s">
        <v>3403</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f>'数据-取费表'!N18</f>
        <v>2023</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60</v>
      </c>
      <c r="K50" s="1421" t="s">
        <v>827</v>
      </c>
      <c r="L50" s="1425"/>
      <c r="M50" s="1428"/>
      <c r="O50" s="1426" t="s">
        <v>406</v>
      </c>
      <c r="P50" s="1417" t="s">
        <v>828</v>
      </c>
      <c r="Q50" s="1429">
        <f ca="1">J58</f>
        <v>1</v>
      </c>
      <c r="R50" s="1418"/>
    </row>
    <row r="51" spans="1:18" s="1382" customFormat="1" ht="13.5" thickBot="1">
      <c r="A51" s="976"/>
      <c r="B51" s="978"/>
      <c r="C51" s="979"/>
      <c r="D51" s="952"/>
      <c r="E51" s="980" t="s">
        <v>698</v>
      </c>
      <c r="F51" s="303">
        <f ca="1">F8</f>
        <v>0</v>
      </c>
      <c r="I51" s="1430" t="s">
        <v>829</v>
      </c>
      <c r="J51" s="1431">
        <f>IF(J49="",J50,J49+J50-YEAR('数据-取费表'!B2))</f>
        <v>60</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'收益法-长租公寓'!J52</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2119</v>
      </c>
      <c r="E53" s="313" t="s">
        <v>701</v>
      </c>
      <c r="F53" s="1115"/>
      <c r="I53" s="1437" t="s">
        <v>836</v>
      </c>
      <c r="J53" s="2164">
        <f ca="1">IF(M47="住宅",IF(D1="——",MAX(J51,L48),MAX(J51,L48-'数据-取费表'!B24)),IF(D1="——",MIN(J51,L48),MIN(J51,L48-'数据-取费表'!B24)))</f>
        <v>0</v>
      </c>
      <c r="K53" s="3832" t="s">
        <v>837</v>
      </c>
      <c r="L53" s="3833"/>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1</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3405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60</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1</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2430</v>
      </c>
      <c r="B1" s="2822"/>
      <c r="C1" s="2834"/>
      <c r="D1" s="2834"/>
      <c r="E1" s="2823"/>
      <c r="F1" s="2824"/>
      <c r="G1" s="2825"/>
      <c r="J1" s="2828" t="s">
        <v>2309</v>
      </c>
      <c r="K1" s="2829"/>
      <c r="L1" s="2829"/>
      <c r="M1" s="2829"/>
      <c r="N1" s="2829"/>
      <c r="O1" s="2829"/>
      <c r="P1" s="2829"/>
      <c r="Q1" s="2829"/>
      <c r="R1" s="2830"/>
      <c r="S1" s="2831"/>
      <c r="T1" s="2831"/>
      <c r="U1" s="2831"/>
    </row>
    <row r="2" spans="1:22" s="2843" customFormat="1" ht="13.15" customHeight="1">
      <c r="A2" s="1383" t="s">
        <v>2310</v>
      </c>
      <c r="B2" s="2833" t="e">
        <f>IF(D2="——",C40,C40+E2)</f>
        <v>#DIV/0!</v>
      </c>
      <c r="C2" s="2834" t="s">
        <v>2311</v>
      </c>
      <c r="D2" s="3432" t="s">
        <v>3355</v>
      </c>
      <c r="E2" s="3433"/>
      <c r="F2" s="2836"/>
      <c r="G2" s="2837"/>
      <c r="H2" s="2838"/>
      <c r="I2" s="2839"/>
      <c r="J2" s="3837" t="s">
        <v>2312</v>
      </c>
      <c r="K2" s="3838"/>
      <c r="L2" s="2840" t="s">
        <v>2313</v>
      </c>
      <c r="M2" s="2840" t="s">
        <v>2314</v>
      </c>
      <c r="N2" s="2840" t="s">
        <v>2315</v>
      </c>
      <c r="O2" s="2840" t="s">
        <v>2316</v>
      </c>
      <c r="P2" s="2840" t="s">
        <v>2317</v>
      </c>
      <c r="Q2" s="2841" t="s">
        <v>2318</v>
      </c>
      <c r="R2" s="2842" t="s">
        <v>2319</v>
      </c>
      <c r="S2" s="2831"/>
      <c r="T2" s="2831"/>
      <c r="U2" s="2831"/>
      <c r="V2" s="2839"/>
    </row>
    <row r="3" spans="1:22" s="2843" customFormat="1" ht="13.15" customHeight="1">
      <c r="A3" s="2844" t="s">
        <v>2320</v>
      </c>
      <c r="B3" s="2845" t="e">
        <f>ROUND(B2*10000/B4,0)</f>
        <v>#DIV/0!</v>
      </c>
      <c r="C3" s="2834" t="s">
        <v>2321</v>
      </c>
      <c r="D3" s="2834"/>
      <c r="E3" s="2835"/>
      <c r="F3" s="2836"/>
      <c r="G3" s="2837"/>
      <c r="H3" s="2838"/>
      <c r="I3" s="2839"/>
      <c r="J3" s="3839" t="s">
        <v>2322</v>
      </c>
      <c r="K3" s="3840"/>
      <c r="L3" s="2846"/>
      <c r="M3" s="2846"/>
      <c r="N3" s="2846"/>
      <c r="O3" s="2846"/>
      <c r="P3" s="2846"/>
      <c r="Q3" s="2847"/>
      <c r="R3" s="2848">
        <f>SUM(L3:Q3)</f>
        <v>0</v>
      </c>
      <c r="S3" s="2831"/>
      <c r="T3" s="2831"/>
      <c r="U3" s="2831"/>
      <c r="V3" s="2839"/>
    </row>
    <row r="4" spans="1:22" s="2843" customFormat="1" ht="13.15" customHeight="1">
      <c r="A4" s="2849" t="s">
        <v>2323</v>
      </c>
      <c r="B4" s="2850"/>
      <c r="C4" s="2834"/>
      <c r="D4" s="2834"/>
      <c r="E4" s="2835"/>
      <c r="F4" s="2836"/>
      <c r="G4" s="2837"/>
      <c r="H4" s="2838"/>
      <c r="I4" s="2839"/>
      <c r="J4" s="3839" t="s">
        <v>2324</v>
      </c>
      <c r="K4" s="3840"/>
      <c r="L4" s="2851"/>
      <c r="M4" s="2851"/>
      <c r="N4" s="2851"/>
      <c r="O4" s="2851"/>
      <c r="P4" s="2851"/>
      <c r="Q4" s="2852"/>
      <c r="R4" s="2853">
        <f>SUM(L4:Q4)</f>
        <v>0</v>
      </c>
      <c r="S4" s="2831"/>
      <c r="T4" s="2831"/>
      <c r="U4" s="2831"/>
      <c r="V4" s="2839"/>
    </row>
    <row r="5" spans="1:22" s="2843" customFormat="1" ht="13.15" customHeight="1" thickBot="1">
      <c r="A5" s="2854" t="s">
        <v>2325</v>
      </c>
      <c r="B5" s="2855"/>
      <c r="C5" s="2834"/>
      <c r="D5" s="2856"/>
      <c r="E5" s="2836"/>
      <c r="F5" s="2836"/>
      <c r="G5" s="2837"/>
      <c r="H5" s="2838"/>
      <c r="I5" s="2839"/>
      <c r="J5" s="2857" t="s">
        <v>2326</v>
      </c>
      <c r="K5" s="2858"/>
      <c r="L5" s="2858"/>
      <c r="M5" s="2859"/>
      <c r="N5" s="2859"/>
      <c r="O5" s="2859"/>
      <c r="P5" s="2859"/>
      <c r="Q5" s="2859"/>
      <c r="R5" s="2842">
        <f>SUM(R14,R19,R24,R25,R27,R28)</f>
        <v>0</v>
      </c>
      <c r="S5" s="2831"/>
      <c r="T5" s="2831" t="s">
        <v>2327</v>
      </c>
      <c r="U5" s="2831" t="e">
        <f>ROUND(R5*10000/365/R3,1)</f>
        <v>#DIV/0!</v>
      </c>
      <c r="V5" s="2839"/>
    </row>
    <row r="6" spans="1:22" s="2843" customFormat="1" ht="13.15" customHeight="1" thickBot="1">
      <c r="A6" s="3841" t="s">
        <v>2328</v>
      </c>
      <c r="B6" s="3842"/>
      <c r="C6" s="3843"/>
      <c r="D6" s="2860"/>
      <c r="E6" s="2861"/>
      <c r="F6" s="2862"/>
      <c r="G6" s="2863"/>
      <c r="H6" s="2838"/>
      <c r="I6" s="2839"/>
      <c r="J6" s="3844">
        <v>1</v>
      </c>
      <c r="K6" s="3845" t="s">
        <v>2329</v>
      </c>
      <c r="L6" s="2864" t="s">
        <v>2330</v>
      </c>
      <c r="M6" s="2865" t="s">
        <v>2331</v>
      </c>
      <c r="N6" s="2865" t="s">
        <v>2332</v>
      </c>
      <c r="O6" s="2865" t="s">
        <v>2333</v>
      </c>
      <c r="P6" s="2865" t="s">
        <v>2334</v>
      </c>
      <c r="Q6" s="2865" t="s">
        <v>2335</v>
      </c>
      <c r="R6" s="2848" t="s">
        <v>2336</v>
      </c>
      <c r="S6" s="2831"/>
      <c r="T6" s="2831" t="s">
        <v>2337</v>
      </c>
      <c r="U6" s="2831"/>
      <c r="V6" s="2839"/>
    </row>
    <row r="7" spans="1:22" s="2843" customFormat="1" ht="13.15" customHeight="1">
      <c r="A7" s="2866" t="s">
        <v>2338</v>
      </c>
      <c r="B7" s="2867"/>
      <c r="C7" s="2868"/>
      <c r="D7" s="2869">
        <f>SUM(D9,D10,D11,D17,0)</f>
        <v>0</v>
      </c>
      <c r="E7" s="2870" t="e">
        <f>E9+E10+E11+E17</f>
        <v>#DIV/0!</v>
      </c>
      <c r="F7" s="2871"/>
      <c r="G7" s="2872"/>
      <c r="H7" s="2838"/>
      <c r="I7" s="2839"/>
      <c r="J7" s="3844"/>
      <c r="K7" s="3846"/>
      <c r="L7" s="2873" t="s">
        <v>2339</v>
      </c>
      <c r="M7" s="2874"/>
      <c r="N7" s="2850"/>
      <c r="O7" s="2875"/>
      <c r="P7" s="2875"/>
      <c r="Q7" s="2876">
        <v>365</v>
      </c>
      <c r="R7" s="2877">
        <f>ROUND(M7*N7*O7*P7*Q7/10000,0)</f>
        <v>0</v>
      </c>
      <c r="S7" s="2831"/>
      <c r="T7" s="2831" t="s">
        <v>2340</v>
      </c>
      <c r="U7" s="2831"/>
      <c r="V7" s="2839"/>
    </row>
    <row r="8" spans="1:22" s="2843" customFormat="1" ht="13.15" customHeight="1">
      <c r="A8" s="2878" t="s">
        <v>2341</v>
      </c>
      <c r="B8" s="3848" t="s">
        <v>2342</v>
      </c>
      <c r="C8" s="3849"/>
      <c r="D8" s="2879" t="s">
        <v>2343</v>
      </c>
      <c r="E8" s="2880" t="s">
        <v>2344</v>
      </c>
      <c r="F8" s="2881" t="s">
        <v>2345</v>
      </c>
      <c r="G8" s="2882"/>
      <c r="H8" s="2838"/>
      <c r="I8" s="2839"/>
      <c r="J8" s="3844"/>
      <c r="K8" s="3846"/>
      <c r="L8" s="2873" t="s">
        <v>2346</v>
      </c>
      <c r="M8" s="2874"/>
      <c r="N8" s="2850"/>
      <c r="O8" s="2875"/>
      <c r="P8" s="2875"/>
      <c r="Q8" s="2876">
        <v>365</v>
      </c>
      <c r="R8" s="2877">
        <f t="shared" ref="R8:R13" si="0">ROUND(M8*N8*O8*P8*Q8/10000,0)</f>
        <v>0</v>
      </c>
      <c r="S8" s="2831"/>
      <c r="T8" s="2831" t="s">
        <v>2347</v>
      </c>
      <c r="U8" s="2831"/>
      <c r="V8" s="2839"/>
    </row>
    <row r="9" spans="1:22" s="2843" customFormat="1" ht="13.15" customHeight="1">
      <c r="A9" s="2878">
        <v>1</v>
      </c>
      <c r="B9" s="3848" t="s">
        <v>2348</v>
      </c>
      <c r="C9" s="3849"/>
      <c r="D9" s="2879">
        <f>ROUND(D6*E9,0)</f>
        <v>0</v>
      </c>
      <c r="E9" s="2883"/>
      <c r="F9" s="2884" t="s">
        <v>2349</v>
      </c>
      <c r="G9" s="2863"/>
      <c r="H9" s="2838"/>
      <c r="I9" s="2839"/>
      <c r="J9" s="3844"/>
      <c r="K9" s="3846"/>
      <c r="L9" s="2873" t="s">
        <v>2350</v>
      </c>
      <c r="M9" s="2874"/>
      <c r="N9" s="2850"/>
      <c r="O9" s="2875"/>
      <c r="P9" s="2875"/>
      <c r="Q9" s="2876">
        <v>365</v>
      </c>
      <c r="R9" s="2877">
        <f t="shared" si="0"/>
        <v>0</v>
      </c>
      <c r="S9" s="2831"/>
      <c r="T9" s="2831"/>
      <c r="U9" s="2831"/>
      <c r="V9" s="2839"/>
    </row>
    <row r="10" spans="1:22" s="2843" customFormat="1" ht="13.15" customHeight="1">
      <c r="A10" s="2878">
        <v>2</v>
      </c>
      <c r="B10" s="3848" t="s">
        <v>2351</v>
      </c>
      <c r="C10" s="3849"/>
      <c r="D10" s="2879">
        <f>ROUND(D6*E10,0)</f>
        <v>0</v>
      </c>
      <c r="E10" s="2883"/>
      <c r="F10" s="2884" t="s">
        <v>2352</v>
      </c>
      <c r="G10" s="2863"/>
      <c r="H10" s="2838"/>
      <c r="I10" s="2839"/>
      <c r="J10" s="3844"/>
      <c r="K10" s="3846"/>
      <c r="L10" s="2873" t="s">
        <v>2353</v>
      </c>
      <c r="M10" s="2874"/>
      <c r="N10" s="2850"/>
      <c r="O10" s="2875"/>
      <c r="P10" s="2875"/>
      <c r="Q10" s="2876">
        <v>365</v>
      </c>
      <c r="R10" s="2877">
        <f t="shared" si="0"/>
        <v>0</v>
      </c>
      <c r="S10" s="2831"/>
      <c r="T10" s="2831"/>
      <c r="U10" s="2831"/>
      <c r="V10" s="2839"/>
    </row>
    <row r="11" spans="1:22" s="2843" customFormat="1" ht="13.15" customHeight="1">
      <c r="A11" s="2878">
        <v>3</v>
      </c>
      <c r="B11" s="3848" t="s">
        <v>2354</v>
      </c>
      <c r="C11" s="3849"/>
      <c r="D11" s="2879">
        <f>D12+D14+D15+D16</f>
        <v>0</v>
      </c>
      <c r="E11" s="2885" t="e">
        <f>D11/D6</f>
        <v>#DIV/0!</v>
      </c>
      <c r="F11" s="2881"/>
      <c r="G11" s="2882"/>
      <c r="H11" s="2838"/>
      <c r="I11" s="2839"/>
      <c r="J11" s="3844"/>
      <c r="K11" s="3846"/>
      <c r="L11" s="2873" t="s">
        <v>2355</v>
      </c>
      <c r="M11" s="2874"/>
      <c r="N11" s="2850"/>
      <c r="O11" s="2875"/>
      <c r="P11" s="2875"/>
      <c r="Q11" s="2876">
        <v>365</v>
      </c>
      <c r="R11" s="2877">
        <f t="shared" si="0"/>
        <v>0</v>
      </c>
      <c r="S11" s="2831"/>
      <c r="T11" s="2831"/>
      <c r="U11" s="2831"/>
      <c r="V11" s="2839"/>
    </row>
    <row r="12" spans="1:22" s="2843" customFormat="1" ht="13.15" customHeight="1">
      <c r="A12" s="2886" t="s">
        <v>2356</v>
      </c>
      <c r="B12" s="3850" t="s">
        <v>2357</v>
      </c>
      <c r="C12" s="3851"/>
      <c r="D12" s="2887">
        <f>ROUND(D13*1.2%*(1-30%),0)</f>
        <v>0</v>
      </c>
      <c r="E12" s="2888">
        <v>1.2E-2</v>
      </c>
      <c r="F12" s="2881" t="s">
        <v>2358</v>
      </c>
      <c r="G12" s="2882"/>
      <c r="H12" s="2838"/>
      <c r="I12" s="2839"/>
      <c r="J12" s="3844"/>
      <c r="K12" s="3846"/>
      <c r="L12" s="2873" t="s">
        <v>2359</v>
      </c>
      <c r="M12" s="2874"/>
      <c r="N12" s="2850"/>
      <c r="O12" s="2875"/>
      <c r="P12" s="2875"/>
      <c r="Q12" s="2876">
        <v>365</v>
      </c>
      <c r="R12" s="2877">
        <f t="shared" si="0"/>
        <v>0</v>
      </c>
      <c r="S12" s="2831"/>
      <c r="T12" s="2831"/>
      <c r="U12" s="2831"/>
      <c r="V12" s="2839"/>
    </row>
    <row r="13" spans="1:22" s="2843" customFormat="1" ht="13.15" customHeight="1">
      <c r="A13" s="2886"/>
      <c r="B13" s="2889"/>
      <c r="C13" s="2890" t="s">
        <v>2360</v>
      </c>
      <c r="D13" s="2891"/>
      <c r="E13" s="2892"/>
      <c r="F13" s="2881"/>
      <c r="G13" s="2882"/>
      <c r="H13" s="2838"/>
      <c r="I13" s="2839"/>
      <c r="J13" s="3844"/>
      <c r="K13" s="3846"/>
      <c r="L13" s="2873" t="s">
        <v>2361</v>
      </c>
      <c r="M13" s="2874"/>
      <c r="N13" s="2850"/>
      <c r="O13" s="2875"/>
      <c r="P13" s="2875"/>
      <c r="Q13" s="2876">
        <v>365</v>
      </c>
      <c r="R13" s="2877">
        <f t="shared" si="0"/>
        <v>0</v>
      </c>
      <c r="S13" s="2831"/>
      <c r="T13" s="2831"/>
      <c r="U13" s="2831"/>
      <c r="V13" s="2839"/>
    </row>
    <row r="14" spans="1:22" s="2843" customFormat="1" ht="13.15" customHeight="1">
      <c r="A14" s="2886" t="s">
        <v>2362</v>
      </c>
      <c r="B14" s="3850" t="s">
        <v>2363</v>
      </c>
      <c r="C14" s="3851"/>
      <c r="D14" s="2887">
        <f>ROUND(E14*B5/10000,0)</f>
        <v>0</v>
      </c>
      <c r="E14" s="2876"/>
      <c r="F14" s="2881" t="s">
        <v>2364</v>
      </c>
      <c r="G14" s="2882"/>
      <c r="H14" s="2838"/>
      <c r="I14" s="2839"/>
      <c r="J14" s="3844"/>
      <c r="K14" s="3847"/>
      <c r="L14" s="2893" t="s">
        <v>2365</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2366</v>
      </c>
      <c r="B15" s="3850" t="s">
        <v>2367</v>
      </c>
      <c r="C15" s="3851"/>
      <c r="D15" s="2887">
        <f>ROUND(D6*E15,0)</f>
        <v>0</v>
      </c>
      <c r="E15" s="2888">
        <v>5.5E-2</v>
      </c>
      <c r="F15" s="2881" t="s">
        <v>2368</v>
      </c>
      <c r="G15" s="2863"/>
      <c r="H15" s="2838"/>
      <c r="I15" s="2839"/>
      <c r="J15" s="3844">
        <v>2</v>
      </c>
      <c r="K15" s="3845" t="s">
        <v>2369</v>
      </c>
      <c r="L15" s="2873" t="s">
        <v>2370</v>
      </c>
      <c r="M15" s="2874" t="s">
        <v>2371</v>
      </c>
      <c r="N15" s="2874" t="s">
        <v>2372</v>
      </c>
      <c r="O15" s="2875" t="s">
        <v>2373</v>
      </c>
      <c r="P15" s="2875" t="s">
        <v>2335</v>
      </c>
      <c r="Q15" s="2850" t="s">
        <v>2374</v>
      </c>
      <c r="R15" s="2897" t="s">
        <v>2336</v>
      </c>
      <c r="S15" s="2831"/>
      <c r="T15" s="2831"/>
      <c r="U15" s="2831"/>
      <c r="V15" s="2839"/>
    </row>
    <row r="16" spans="1:22" s="2843" customFormat="1" ht="13.15" customHeight="1">
      <c r="A16" s="2886" t="s">
        <v>2375</v>
      </c>
      <c r="B16" s="3850" t="s">
        <v>2376</v>
      </c>
      <c r="C16" s="3851"/>
      <c r="D16" s="2898">
        <f>D6*E16</f>
        <v>0</v>
      </c>
      <c r="E16" s="2899"/>
      <c r="F16" s="2884" t="s">
        <v>2377</v>
      </c>
      <c r="G16" s="2863"/>
      <c r="H16" s="2838"/>
      <c r="I16" s="2839"/>
      <c r="J16" s="3844"/>
      <c r="K16" s="3846"/>
      <c r="L16" s="2873" t="s">
        <v>2378</v>
      </c>
      <c r="M16" s="2874"/>
      <c r="N16" s="2874"/>
      <c r="O16" s="2875"/>
      <c r="P16" s="2876">
        <v>365</v>
      </c>
      <c r="Q16" s="2850"/>
      <c r="R16" s="2897">
        <f>ROUND(M16*N16*O16*P16/10000,0)</f>
        <v>0</v>
      </c>
      <c r="S16" s="2831"/>
      <c r="T16" s="2831"/>
      <c r="U16" s="2831"/>
      <c r="V16" s="2839"/>
    </row>
    <row r="17" spans="1:22" s="2843" customFormat="1" ht="13.15" customHeight="1" thickBot="1">
      <c r="A17" s="2900">
        <v>4</v>
      </c>
      <c r="B17" s="3852" t="s">
        <v>2379</v>
      </c>
      <c r="C17" s="3853"/>
      <c r="D17" s="2901">
        <f>ROUND(D6*E17,0)</f>
        <v>0</v>
      </c>
      <c r="E17" s="2902"/>
      <c r="F17" s="2903" t="s">
        <v>2380</v>
      </c>
      <c r="G17" s="2863"/>
      <c r="H17" s="2838"/>
      <c r="I17" s="2839"/>
      <c r="J17" s="3844"/>
      <c r="K17" s="3846"/>
      <c r="L17" s="2873" t="s">
        <v>2381</v>
      </c>
      <c r="M17" s="2874"/>
      <c r="N17" s="2874"/>
      <c r="O17" s="2875"/>
      <c r="P17" s="2876">
        <v>365</v>
      </c>
      <c r="Q17" s="2850"/>
      <c r="R17" s="2897">
        <f>ROUND(M17*N17*O17*P17/10000,0)</f>
        <v>0</v>
      </c>
      <c r="S17" s="2831"/>
      <c r="T17" s="2831"/>
      <c r="U17" s="2831"/>
      <c r="V17" s="2839"/>
    </row>
    <row r="18" spans="1:22" s="2843" customFormat="1" ht="13.15" customHeight="1" thickBot="1">
      <c r="A18" s="2866" t="s">
        <v>2382</v>
      </c>
      <c r="B18" s="2867"/>
      <c r="C18" s="2867"/>
      <c r="D18" s="2904">
        <f>ROUND(D6*E18,0)</f>
        <v>0</v>
      </c>
      <c r="E18" s="2905"/>
      <c r="F18" s="2906" t="s">
        <v>2383</v>
      </c>
      <c r="G18" s="2863"/>
      <c r="H18" s="2838"/>
      <c r="I18" s="2839"/>
      <c r="J18" s="3844"/>
      <c r="K18" s="3846"/>
      <c r="L18" s="2873" t="s">
        <v>2384</v>
      </c>
      <c r="M18" s="2874"/>
      <c r="N18" s="2874"/>
      <c r="O18" s="2875"/>
      <c r="P18" s="2876">
        <v>365</v>
      </c>
      <c r="Q18" s="2850"/>
      <c r="R18" s="2897">
        <f>ROUND(M18*N18*O18*P18/10000,0)</f>
        <v>0</v>
      </c>
      <c r="S18" s="2831"/>
      <c r="T18" s="2831"/>
      <c r="U18" s="2831"/>
      <c r="V18" s="2839"/>
    </row>
    <row r="19" spans="1:22" s="2843" customFormat="1" ht="13.15" customHeight="1" thickBot="1">
      <c r="A19" s="2907" t="s">
        <v>2385</v>
      </c>
      <c r="B19" s="2861"/>
      <c r="C19" s="2861"/>
      <c r="D19" s="2861"/>
      <c r="E19" s="2861"/>
      <c r="F19" s="2862"/>
      <c r="G19" s="2882"/>
      <c r="H19" s="2838"/>
      <c r="I19" s="2839"/>
      <c r="J19" s="3844"/>
      <c r="K19" s="3847"/>
      <c r="L19" s="2893" t="s">
        <v>2365</v>
      </c>
      <c r="M19" s="2894"/>
      <c r="N19" s="2894">
        <f>SUM(N16:N18)</f>
        <v>0</v>
      </c>
      <c r="O19" s="2895"/>
      <c r="P19" s="2908" t="s">
        <v>2429</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844">
        <v>3</v>
      </c>
      <c r="K20" s="3845" t="s">
        <v>2386</v>
      </c>
      <c r="L20" s="2873" t="s">
        <v>2387</v>
      </c>
      <c r="M20" s="2874" t="s">
        <v>2388</v>
      </c>
      <c r="N20" s="2911" t="s">
        <v>2389</v>
      </c>
      <c r="O20" s="2875" t="s">
        <v>2390</v>
      </c>
      <c r="P20" s="2876" t="s">
        <v>2391</v>
      </c>
      <c r="Q20" s="2850" t="s">
        <v>2392</v>
      </c>
      <c r="R20" s="2897" t="s">
        <v>2393</v>
      </c>
      <c r="S20" s="2912"/>
      <c r="T20" s="2912"/>
      <c r="U20" s="2912"/>
      <c r="V20" s="2839"/>
    </row>
    <row r="21" spans="1:22" s="2843" customFormat="1" ht="13.15" customHeight="1">
      <c r="A21" s="2866"/>
      <c r="B21" s="2867"/>
      <c r="C21" s="2913" t="s">
        <v>2394</v>
      </c>
      <c r="D21" s="2914" t="s">
        <v>2395</v>
      </c>
      <c r="E21" s="2915" t="s">
        <v>2396</v>
      </c>
      <c r="F21" s="2910"/>
      <c r="G21" s="2882"/>
      <c r="H21" s="2838"/>
      <c r="I21" s="2839"/>
      <c r="J21" s="3844"/>
      <c r="K21" s="3846"/>
      <c r="L21" s="2873" t="s">
        <v>2397</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2398</v>
      </c>
      <c r="D22" s="2918" t="s">
        <v>2399</v>
      </c>
      <c r="E22" s="2919" t="s">
        <v>2400</v>
      </c>
      <c r="F22" s="2910"/>
      <c r="G22" s="2920"/>
      <c r="H22" s="2838"/>
      <c r="I22" s="2839"/>
      <c r="J22" s="3844"/>
      <c r="K22" s="3846"/>
      <c r="L22" s="2873" t="s">
        <v>2401</v>
      </c>
      <c r="M22" s="2874"/>
      <c r="N22" s="2874"/>
      <c r="O22" s="2875"/>
      <c r="P22" s="2876">
        <v>365</v>
      </c>
      <c r="Q22" s="2850"/>
      <c r="R22" s="2916">
        <f>ROUND(M22*N22*O22*P22/10000,0)</f>
        <v>0</v>
      </c>
      <c r="S22" s="2912"/>
      <c r="T22" s="2912"/>
      <c r="U22" s="2912"/>
      <c r="V22" s="2839"/>
    </row>
    <row r="23" spans="1:22" s="2843" customFormat="1" ht="13.15" customHeight="1">
      <c r="A23" s="2921">
        <v>1</v>
      </c>
      <c r="B23" s="2922" t="s">
        <v>2402</v>
      </c>
      <c r="C23" s="2923">
        <f>D6</f>
        <v>0</v>
      </c>
      <c r="D23" s="2924">
        <f>C23*(1+D24)</f>
        <v>0</v>
      </c>
      <c r="E23" s="2925">
        <f>D23*(1+E24)</f>
        <v>0</v>
      </c>
      <c r="F23" s="2926"/>
      <c r="G23" s="2927"/>
      <c r="H23" s="2838"/>
      <c r="I23" s="2839"/>
      <c r="J23" s="3844"/>
      <c r="K23" s="3846"/>
      <c r="L23" s="2873" t="s">
        <v>2403</v>
      </c>
      <c r="M23" s="2874"/>
      <c r="N23" s="2874"/>
      <c r="O23" s="2875"/>
      <c r="P23" s="2876">
        <v>365</v>
      </c>
      <c r="Q23" s="2850"/>
      <c r="R23" s="2916">
        <f>ROUND(M23*N23*O23*P23/10000,0)</f>
        <v>0</v>
      </c>
      <c r="S23" s="2831"/>
      <c r="T23" s="2831"/>
      <c r="U23" s="2831"/>
      <c r="V23" s="2839"/>
    </row>
    <row r="24" spans="1:22" s="2843" customFormat="1" ht="13.15" customHeight="1">
      <c r="A24" s="2928"/>
      <c r="B24" s="2929" t="s">
        <v>2404</v>
      </c>
      <c r="C24" s="2930"/>
      <c r="D24" s="2931"/>
      <c r="E24" s="2932"/>
      <c r="F24" s="2933"/>
      <c r="G24" s="2927"/>
      <c r="H24" s="2838"/>
      <c r="I24" s="2839"/>
      <c r="J24" s="3844"/>
      <c r="K24" s="3847"/>
      <c r="L24" s="2893" t="s">
        <v>2365</v>
      </c>
      <c r="M24" s="2894">
        <f>SUM(M21:M23)</f>
        <v>0</v>
      </c>
      <c r="N24" s="2894"/>
      <c r="O24" s="2895"/>
      <c r="P24" s="2908" t="s">
        <v>2429</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2405</v>
      </c>
      <c r="L25" s="2936"/>
      <c r="M25" s="2936"/>
      <c r="N25" s="2936"/>
      <c r="O25" s="2936"/>
      <c r="P25" s="2937"/>
      <c r="Q25" s="2938">
        <v>0</v>
      </c>
      <c r="R25" s="2909">
        <f>ROUND(R14*Q25,0)</f>
        <v>0</v>
      </c>
      <c r="S25" s="2831"/>
      <c r="T25" s="2831"/>
      <c r="U25" s="2831"/>
      <c r="V25" s="2939"/>
    </row>
    <row r="26" spans="1:22" s="2940" customFormat="1" ht="13.15" customHeight="1">
      <c r="A26" s="2921">
        <v>2</v>
      </c>
      <c r="B26" s="2922" t="s">
        <v>2406</v>
      </c>
      <c r="C26" s="2923">
        <f>D7</f>
        <v>0</v>
      </c>
      <c r="D26" s="2924">
        <f>D23*D27</f>
        <v>0</v>
      </c>
      <c r="E26" s="2925">
        <f>E23*E27</f>
        <v>0</v>
      </c>
      <c r="F26" s="2926"/>
      <c r="G26" s="2927"/>
      <c r="H26" s="2838"/>
      <c r="I26" s="2839"/>
      <c r="J26" s="3854">
        <v>5</v>
      </c>
      <c r="K26" s="2941" t="s">
        <v>2407</v>
      </c>
      <c r="L26" s="2942"/>
      <c r="M26" s="2943"/>
      <c r="N26" s="2944" t="s">
        <v>2408</v>
      </c>
      <c r="O26" s="2944" t="s">
        <v>2409</v>
      </c>
      <c r="P26" s="2945" t="s">
        <v>2410</v>
      </c>
      <c r="Q26" s="2945" t="s">
        <v>2411</v>
      </c>
      <c r="R26" s="2848" t="s">
        <v>2336</v>
      </c>
      <c r="S26" s="2946"/>
      <c r="T26" s="2946"/>
      <c r="U26" s="2946"/>
      <c r="V26" s="2939"/>
    </row>
    <row r="27" spans="1:22" s="2843" customFormat="1" ht="13.15" customHeight="1">
      <c r="A27" s="2928"/>
      <c r="B27" s="2929" t="s">
        <v>2412</v>
      </c>
      <c r="C27" s="2947" t="e">
        <f>E7</f>
        <v>#DIV/0!</v>
      </c>
      <c r="D27" s="2931"/>
      <c r="E27" s="2932"/>
      <c r="F27" s="2933"/>
      <c r="G27" s="2927"/>
      <c r="H27" s="2948"/>
      <c r="I27" s="2939"/>
      <c r="J27" s="3855"/>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2413</v>
      </c>
      <c r="F28" s="2933"/>
      <c r="G28" s="2920"/>
      <c r="H28" s="2948"/>
      <c r="I28" s="2939"/>
      <c r="J28" s="2954">
        <v>6</v>
      </c>
      <c r="K28" s="2955" t="s">
        <v>2414</v>
      </c>
      <c r="L28" s="2956" t="s">
        <v>2415</v>
      </c>
      <c r="M28" s="2957"/>
      <c r="N28" s="2956" t="s">
        <v>2416</v>
      </c>
      <c r="O28" s="2958"/>
      <c r="P28" s="2956" t="s">
        <v>2417</v>
      </c>
      <c r="Q28" s="2959">
        <v>1.4999999999999999E-2</v>
      </c>
      <c r="R28" s="2960"/>
      <c r="S28" s="2912"/>
      <c r="T28" s="2912"/>
      <c r="U28" s="2912"/>
      <c r="V28" s="2939"/>
    </row>
    <row r="29" spans="1:22" s="2940" customFormat="1" ht="13.15" customHeight="1">
      <c r="A29" s="2921">
        <v>3</v>
      </c>
      <c r="B29" s="2922" t="s">
        <v>2418</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2412</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2419</v>
      </c>
      <c r="K31" s="2829"/>
      <c r="L31" s="2829"/>
      <c r="M31" s="2829"/>
      <c r="N31" s="2829"/>
      <c r="O31" s="2829"/>
      <c r="P31" s="2829"/>
      <c r="Q31" s="2829"/>
      <c r="R31" s="2830"/>
      <c r="S31" s="2912"/>
      <c r="T31" s="2831"/>
      <c r="U31" s="2831"/>
      <c r="V31" s="2939"/>
    </row>
    <row r="32" spans="1:22" s="2940" customFormat="1" ht="13.15" customHeight="1">
      <c r="A32" s="2921">
        <v>4</v>
      </c>
      <c r="B32" s="2922" t="s">
        <v>2420</v>
      </c>
      <c r="C32" s="2923">
        <f>C23-C26-C29</f>
        <v>0</v>
      </c>
      <c r="D32" s="2924">
        <f>D23-D26-D29</f>
        <v>0</v>
      </c>
      <c r="E32" s="2925">
        <f>E23-E26-E29</f>
        <v>0</v>
      </c>
      <c r="F32" s="2926"/>
      <c r="G32" s="2920"/>
      <c r="H32" s="2838"/>
      <c r="I32" s="2839"/>
      <c r="J32" s="3837" t="s">
        <v>2312</v>
      </c>
      <c r="K32" s="3838"/>
      <c r="L32" s="2840" t="s">
        <v>2313</v>
      </c>
      <c r="M32" s="2840" t="s">
        <v>2314</v>
      </c>
      <c r="N32" s="2840" t="s">
        <v>2315</v>
      </c>
      <c r="O32" s="2840" t="s">
        <v>2316</v>
      </c>
      <c r="P32" s="2840" t="s">
        <v>2317</v>
      </c>
      <c r="Q32" s="2841" t="s">
        <v>2318</v>
      </c>
      <c r="R32" s="2963" t="s">
        <v>2319</v>
      </c>
      <c r="S32" s="2912"/>
      <c r="T32" s="2831"/>
      <c r="U32" s="2831"/>
      <c r="V32" s="2939"/>
    </row>
    <row r="33" spans="1:23" s="2843" customFormat="1" ht="13.15" customHeight="1">
      <c r="A33" s="2921"/>
      <c r="B33" s="2922"/>
      <c r="C33" s="2923"/>
      <c r="D33" s="2964"/>
      <c r="E33" s="2965"/>
      <c r="F33" s="2926"/>
      <c r="G33" s="2920"/>
      <c r="H33" s="2948"/>
      <c r="I33" s="2939"/>
      <c r="J33" s="3839" t="s">
        <v>2322</v>
      </c>
      <c r="K33" s="3840"/>
      <c r="L33" s="2846"/>
      <c r="M33" s="2846"/>
      <c r="N33" s="2846"/>
      <c r="O33" s="2846"/>
      <c r="P33" s="2846"/>
      <c r="Q33" s="2847"/>
      <c r="R33" s="2966">
        <f>SUM(L33:Q33)</f>
        <v>0</v>
      </c>
      <c r="S33" s="2912"/>
      <c r="T33" s="2831"/>
      <c r="U33" s="2831"/>
      <c r="V33" s="2839"/>
    </row>
    <row r="34" spans="1:23" s="2843" customFormat="1" ht="13.15" customHeight="1">
      <c r="A34" s="2921">
        <v>5</v>
      </c>
      <c r="B34" s="2922" t="s">
        <v>2421</v>
      </c>
      <c r="C34" s="2967"/>
      <c r="D34" s="2968"/>
      <c r="E34" s="2969"/>
      <c r="F34" s="2926"/>
      <c r="G34" s="2920"/>
      <c r="H34" s="2948"/>
      <c r="I34" s="2939"/>
      <c r="J34" s="3839" t="s">
        <v>2324</v>
      </c>
      <c r="K34" s="3840"/>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2422</v>
      </c>
      <c r="C35" s="2971"/>
      <c r="D35" s="2972"/>
      <c r="E35" s="2973"/>
      <c r="F35" s="2926"/>
      <c r="G35" s="2974"/>
      <c r="H35" s="2838"/>
      <c r="I35" s="2939"/>
      <c r="J35" s="2857" t="s">
        <v>2326</v>
      </c>
      <c r="K35" s="2858"/>
      <c r="L35" s="2858"/>
      <c r="M35" s="2859"/>
      <c r="N35" s="2859"/>
      <c r="O35" s="2859"/>
      <c r="P35" s="2859"/>
      <c r="Q35" s="2859"/>
      <c r="R35" s="2975">
        <f>R40+R41+R43</f>
        <v>0</v>
      </c>
      <c r="S35" s="2912"/>
      <c r="T35" s="2831" t="s">
        <v>2327</v>
      </c>
      <c r="U35" s="2831"/>
      <c r="V35" s="2839"/>
    </row>
    <row r="36" spans="1:23" s="2843" customFormat="1" ht="13.15" customHeight="1" thickBot="1">
      <c r="A36" s="2921">
        <v>7</v>
      </c>
      <c r="B36" s="2976" t="s">
        <v>2423</v>
      </c>
      <c r="C36" s="2977"/>
      <c r="D36" s="2978"/>
      <c r="E36" s="2979"/>
      <c r="F36" s="2980">
        <f>C36+D36+E36</f>
        <v>0</v>
      </c>
      <c r="G36" s="2920"/>
      <c r="H36" s="2838"/>
      <c r="I36" s="2839"/>
      <c r="J36" s="3844">
        <v>1</v>
      </c>
      <c r="K36" s="3845" t="s">
        <v>2424</v>
      </c>
      <c r="L36" s="2864"/>
      <c r="M36" s="2865"/>
      <c r="N36" s="2865"/>
      <c r="O36" s="2865"/>
      <c r="P36" s="2865"/>
      <c r="Q36" s="2865"/>
      <c r="R36" s="2848" t="s">
        <v>2336</v>
      </c>
      <c r="S36" s="2912"/>
      <c r="T36" s="2831" t="s">
        <v>2337</v>
      </c>
      <c r="U36" s="2831"/>
      <c r="V36" s="2839"/>
    </row>
    <row r="37" spans="1:23" s="2843" customFormat="1" ht="13.15" customHeight="1">
      <c r="A37" s="2921"/>
      <c r="B37" s="2922"/>
      <c r="C37" s="2922"/>
      <c r="D37" s="2922"/>
      <c r="E37" s="2922"/>
      <c r="F37" s="2926"/>
      <c r="G37" s="2920"/>
      <c r="H37" s="2838"/>
      <c r="I37" s="2839"/>
      <c r="J37" s="3844"/>
      <c r="K37" s="3846"/>
      <c r="L37" s="2873"/>
      <c r="M37" s="2874"/>
      <c r="N37" s="2850"/>
      <c r="O37" s="2875"/>
      <c r="P37" s="2875"/>
      <c r="Q37" s="2876"/>
      <c r="R37" s="2877"/>
      <c r="S37" s="2912"/>
      <c r="T37" s="2831" t="s">
        <v>2340</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844"/>
      <c r="K38" s="3846"/>
      <c r="L38" s="2873"/>
      <c r="M38" s="2874"/>
      <c r="N38" s="2850"/>
      <c r="O38" s="2875"/>
      <c r="P38" s="2875"/>
      <c r="Q38" s="2876"/>
      <c r="R38" s="2877"/>
      <c r="S38" s="2912"/>
      <c r="T38" s="2831" t="s">
        <v>2347</v>
      </c>
      <c r="U38" s="2831"/>
      <c r="V38" s="2839"/>
    </row>
    <row r="39" spans="1:23" s="2843" customFormat="1" ht="13.15" customHeight="1">
      <c r="A39" s="2921">
        <v>9</v>
      </c>
      <c r="B39" s="2922" t="s">
        <v>2425</v>
      </c>
      <c r="C39" s="2887" t="e">
        <f>C38</f>
        <v>#DIV/0!</v>
      </c>
      <c r="D39" s="2922">
        <f>D38/(1+D34)^C36</f>
        <v>0</v>
      </c>
      <c r="E39" s="2922">
        <f>E38/(1+E34)^(C36+D36)</f>
        <v>0</v>
      </c>
      <c r="F39" s="2926"/>
      <c r="G39" s="2981"/>
      <c r="H39" s="2838"/>
      <c r="I39" s="2839"/>
      <c r="J39" s="3844"/>
      <c r="K39" s="3846"/>
      <c r="L39" s="2873"/>
      <c r="M39" s="2874"/>
      <c r="N39" s="2850"/>
      <c r="O39" s="2875"/>
      <c r="P39" s="2875"/>
      <c r="Q39" s="2876"/>
      <c r="R39" s="2877"/>
      <c r="S39" s="2912"/>
      <c r="T39" s="2831"/>
      <c r="U39" s="2831"/>
      <c r="V39" s="2839"/>
    </row>
    <row r="40" spans="1:23" s="2843" customFormat="1" ht="13.15" customHeight="1">
      <c r="A40" s="2982">
        <v>10</v>
      </c>
      <c r="B40" s="2922" t="s">
        <v>2426</v>
      </c>
      <c r="C40" s="2983" t="e">
        <f>C39+D39+E39</f>
        <v>#DIV/0!</v>
      </c>
      <c r="D40" s="2984"/>
      <c r="E40" s="2984"/>
      <c r="F40" s="2985"/>
      <c r="G40" s="2920"/>
      <c r="H40" s="2838"/>
      <c r="I40" s="2839"/>
      <c r="J40" s="3844"/>
      <c r="K40" s="3847"/>
      <c r="L40" s="2893" t="s">
        <v>2365</v>
      </c>
      <c r="M40" s="2894"/>
      <c r="N40" s="2894"/>
      <c r="O40" s="2895"/>
      <c r="P40" s="2895"/>
      <c r="Q40" s="2896"/>
      <c r="R40" s="2842">
        <f>SUM(R37:R39)</f>
        <v>0</v>
      </c>
      <c r="S40" s="2912"/>
      <c r="T40" s="2831"/>
      <c r="U40" s="2831"/>
      <c r="V40" s="2839"/>
    </row>
    <row r="41" spans="1:23" s="2843" customFormat="1" ht="13.15" customHeight="1" thickBot="1">
      <c r="A41" s="2986">
        <v>11</v>
      </c>
      <c r="B41" s="2987" t="s">
        <v>2427</v>
      </c>
      <c r="C41" s="2987" t="e">
        <f>ROUND(C40*10000/B4,0)</f>
        <v>#DIV/0!</v>
      </c>
      <c r="D41" s="2988"/>
      <c r="E41" s="2988"/>
      <c r="F41" s="2989"/>
      <c r="G41" s="2990"/>
      <c r="H41" s="2838"/>
      <c r="I41" s="2839"/>
      <c r="J41" s="2934">
        <v>2</v>
      </c>
      <c r="K41" s="2935" t="s">
        <v>2405</v>
      </c>
      <c r="L41" s="2936"/>
      <c r="M41" s="2936"/>
      <c r="N41" s="2936"/>
      <c r="O41" s="2936"/>
      <c r="P41" s="2937"/>
      <c r="Q41" s="2938"/>
      <c r="R41" s="2909">
        <f>ROUND(R40*Q41,0)</f>
        <v>0</v>
      </c>
      <c r="S41" s="2912"/>
      <c r="T41" s="2831"/>
      <c r="U41" s="2946"/>
      <c r="V41" s="2839"/>
    </row>
    <row r="42" spans="1:23" s="2843" customFormat="1" ht="13.15" customHeight="1">
      <c r="G42" s="2990"/>
      <c r="H42" s="2838"/>
      <c r="I42" s="2839"/>
      <c r="J42" s="3854">
        <v>3</v>
      </c>
      <c r="K42" s="2941" t="s">
        <v>2407</v>
      </c>
      <c r="L42" s="2942"/>
      <c r="M42" s="2943"/>
      <c r="N42" s="2944" t="s">
        <v>2408</v>
      </c>
      <c r="O42" s="2944" t="s">
        <v>2409</v>
      </c>
      <c r="P42" s="2945" t="s">
        <v>2410</v>
      </c>
      <c r="Q42" s="2945" t="s">
        <v>2411</v>
      </c>
      <c r="R42" s="2848" t="s">
        <v>2336</v>
      </c>
      <c r="S42" s="2946"/>
      <c r="T42" s="2946"/>
      <c r="U42" s="2831"/>
      <c r="V42" s="2839"/>
    </row>
    <row r="43" spans="1:23" ht="13.15" customHeight="1">
      <c r="A43" s="2843"/>
      <c r="B43" s="2843"/>
      <c r="C43" s="2843"/>
      <c r="D43" s="2843"/>
      <c r="E43" s="2843"/>
      <c r="F43" s="2843"/>
      <c r="I43" s="2826"/>
      <c r="J43" s="3855"/>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2414</v>
      </c>
      <c r="L44" s="2994" t="s">
        <v>2415</v>
      </c>
      <c r="M44" s="2957"/>
      <c r="N44" s="2994" t="s">
        <v>2416</v>
      </c>
      <c r="O44" s="2957"/>
      <c r="P44" s="2994" t="s">
        <v>2417</v>
      </c>
      <c r="Q44" s="2959">
        <v>1.4999999999999999E-2</v>
      </c>
      <c r="R44" s="2960"/>
    </row>
    <row r="46" spans="1:23" ht="13.15" customHeight="1">
      <c r="L46" s="3477" t="s">
        <v>3705</v>
      </c>
      <c r="M46" s="3477" t="s">
        <v>3706</v>
      </c>
      <c r="N46" s="3477" t="s">
        <v>3707</v>
      </c>
    </row>
    <row r="47" spans="1:23" ht="13.15" customHeight="1">
      <c r="K47" s="3477" t="s">
        <v>3702</v>
      </c>
      <c r="L47" s="2992">
        <f>'数据-汇总表'!E19</f>
        <v>33089.26</v>
      </c>
      <c r="M47" s="2992">
        <f>L47</f>
        <v>33089.26</v>
      </c>
    </row>
    <row r="48" spans="1:23" ht="13.15" customHeight="1">
      <c r="K48" s="3477" t="s">
        <v>3703</v>
      </c>
      <c r="L48" s="2992">
        <f>'数据-汇总表'!E20</f>
        <v>1592.61</v>
      </c>
      <c r="M48" s="2992">
        <f>'数据-取费表'!U21</f>
        <v>1274.088</v>
      </c>
    </row>
    <row r="49" spans="11:13" ht="13.15" customHeight="1">
      <c r="K49" s="3477" t="s">
        <v>3704</v>
      </c>
      <c r="L49" s="2992">
        <f>'数据-汇总表'!E21</f>
        <v>453.68</v>
      </c>
      <c r="M49" s="2992">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估价对象为北京市房地产，为所有。根据《国有土地使用证》[]，估价对象（分摊）出让国有建设用地使用权面积为0平方米，建筑面积为35356.13平方米。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估价对象为北京市房地产,属开发建设的，该项目尚在开发建设中。根据《国有土地使用证》[]，估价对象（分摊）出让国有建设用地使用权面积为0平方米，规划建筑面积为35356.13平方米。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16"/>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7"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03"/>
      <c r="M2" s="2704"/>
      <c r="N2" s="2704"/>
      <c r="O2" s="2704"/>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35356.130000000005</v>
      </c>
      <c r="E3" s="906"/>
      <c r="F3" s="1886"/>
      <c r="G3" s="906"/>
      <c r="H3" s="906"/>
      <c r="I3" s="906"/>
      <c r="J3" s="906"/>
      <c r="K3" s="1882"/>
      <c r="L3" s="2703"/>
      <c r="M3" s="2704"/>
      <c r="N3" s="2704"/>
      <c r="O3" s="2704"/>
      <c r="P3" s="1883"/>
      <c r="Q3" s="1884"/>
      <c r="R3" s="1884"/>
      <c r="S3" s="1884"/>
      <c r="T3" s="1884"/>
      <c r="U3" s="1884"/>
      <c r="V3" s="1884"/>
      <c r="W3" s="1884"/>
      <c r="X3" s="1884"/>
      <c r="Y3" s="1884"/>
      <c r="Z3" s="1884"/>
      <c r="AA3" s="1884"/>
      <c r="AB3" s="1884"/>
      <c r="AC3" s="1060"/>
    </row>
    <row r="4" spans="1:29" ht="15">
      <c r="A4" s="355" t="s">
        <v>1666</v>
      </c>
      <c r="B4" s="356"/>
      <c r="C4" s="3806" t="s">
        <v>1667</v>
      </c>
      <c r="D4" s="3807"/>
      <c r="E4" s="3808" t="s">
        <v>1668</v>
      </c>
      <c r="F4" s="3809"/>
      <c r="G4" s="3806" t="s">
        <v>1669</v>
      </c>
      <c r="H4" s="3807"/>
      <c r="I4" s="3806" t="s">
        <v>1670</v>
      </c>
      <c r="J4" s="3807"/>
      <c r="K4" s="1887" t="s">
        <v>1671</v>
      </c>
      <c r="L4" s="2705"/>
      <c r="M4" s="2706"/>
      <c r="N4" s="2706"/>
      <c r="O4" s="2706"/>
      <c r="P4" s="3810" t="s">
        <v>1672</v>
      </c>
      <c r="Q4" s="3811"/>
      <c r="R4" s="3792" t="s">
        <v>1668</v>
      </c>
      <c r="S4" s="3793"/>
      <c r="T4" s="3792" t="s">
        <v>1669</v>
      </c>
      <c r="U4" s="3793"/>
      <c r="V4" s="3818" t="s">
        <v>1670</v>
      </c>
      <c r="W4" s="3818"/>
      <c r="X4" s="1353"/>
      <c r="Y4" s="3792" t="s">
        <v>1672</v>
      </c>
      <c r="Z4" s="3793"/>
      <c r="AA4" s="3787" t="s">
        <v>1668</v>
      </c>
      <c r="AB4" s="3787" t="s">
        <v>1669</v>
      </c>
      <c r="AC4" s="3787" t="s">
        <v>1670</v>
      </c>
    </row>
    <row r="5" spans="1:29" ht="15">
      <c r="A5" s="358"/>
      <c r="B5" s="359"/>
      <c r="C5" s="3802" t="s">
        <v>1673</v>
      </c>
      <c r="D5" s="3799"/>
      <c r="E5" s="3796" t="s">
        <v>1674</v>
      </c>
      <c r="F5" s="3797"/>
      <c r="G5" s="3802" t="s">
        <v>1675</v>
      </c>
      <c r="H5" s="3799"/>
      <c r="I5" s="3802" t="s">
        <v>1676</v>
      </c>
      <c r="J5" s="3799"/>
      <c r="K5" s="1888"/>
      <c r="L5" s="2705"/>
      <c r="M5" s="2706"/>
      <c r="N5" s="2706"/>
      <c r="O5" s="2706"/>
      <c r="P5" s="3812"/>
      <c r="Q5" s="3813"/>
      <c r="R5" s="3794"/>
      <c r="S5" s="3795"/>
      <c r="T5" s="3794"/>
      <c r="U5" s="3795"/>
      <c r="V5" s="3818"/>
      <c r="W5" s="3818"/>
      <c r="X5" s="1353"/>
      <c r="Y5" s="3794"/>
      <c r="Z5" s="3795"/>
      <c r="AA5" s="3788"/>
      <c r="AB5" s="3788"/>
      <c r="AC5" s="3788"/>
    </row>
    <row r="6" spans="1:29" ht="15.75" thickBot="1">
      <c r="A6" s="360"/>
      <c r="B6" s="361"/>
      <c r="C6" s="3800" t="s">
        <v>1677</v>
      </c>
      <c r="D6" s="3801"/>
      <c r="E6" s="3803" t="s">
        <v>1677</v>
      </c>
      <c r="F6" s="3804"/>
      <c r="G6" s="3800" t="s">
        <v>1677</v>
      </c>
      <c r="H6" s="3801"/>
      <c r="I6" s="3800" t="s">
        <v>1677</v>
      </c>
      <c r="J6" s="3801"/>
      <c r="K6" s="1888" t="s">
        <v>1678</v>
      </c>
      <c r="L6" s="2705"/>
      <c r="M6" s="2706"/>
      <c r="N6" s="2706"/>
      <c r="O6" s="2706"/>
      <c r="P6" s="3814"/>
      <c r="Q6" s="3815"/>
      <c r="R6" s="3794"/>
      <c r="S6" s="3795"/>
      <c r="T6" s="3816"/>
      <c r="U6" s="3817"/>
      <c r="V6" s="3818"/>
      <c r="W6" s="3818"/>
      <c r="X6" s="1353"/>
      <c r="Y6" s="3816"/>
      <c r="Z6" s="3817"/>
      <c r="AA6" s="3789"/>
      <c r="AB6" s="3789"/>
      <c r="AC6" s="37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07"/>
      <c r="M7" s="2708"/>
      <c r="N7" s="2708"/>
      <c r="O7" s="2708"/>
      <c r="P7" s="3790" t="s">
        <v>1680</v>
      </c>
      <c r="Q7" s="3819"/>
      <c r="R7" s="701" t="s">
        <v>20</v>
      </c>
      <c r="S7" s="702">
        <f t="shared" ref="S7:S15" si="0">F7</f>
        <v>0</v>
      </c>
      <c r="T7" s="701" t="s">
        <v>20</v>
      </c>
      <c r="U7" s="702">
        <f t="shared" ref="U7:U15" si="1">H7</f>
        <v>0</v>
      </c>
      <c r="V7" s="701" t="s">
        <v>20</v>
      </c>
      <c r="W7" s="702">
        <f t="shared" ref="W7:W15" si="2">J7</f>
        <v>0</v>
      </c>
      <c r="X7" s="703"/>
      <c r="Y7" s="3790" t="s">
        <v>1680</v>
      </c>
      <c r="Z7" s="379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07"/>
      <c r="M8" s="2708"/>
      <c r="N8" s="2708"/>
      <c r="O8" s="2708"/>
      <c r="P8" s="3790" t="s">
        <v>1683</v>
      </c>
      <c r="Q8" s="3791"/>
      <c r="R8" s="701" t="s">
        <v>20</v>
      </c>
      <c r="S8" s="702">
        <f t="shared" si="0"/>
        <v>100</v>
      </c>
      <c r="T8" s="701" t="s">
        <v>20</v>
      </c>
      <c r="U8" s="702">
        <f t="shared" si="1"/>
        <v>100</v>
      </c>
      <c r="V8" s="701" t="s">
        <v>20</v>
      </c>
      <c r="W8" s="702">
        <f t="shared" si="2"/>
        <v>100</v>
      </c>
      <c r="X8" s="703"/>
      <c r="Y8" s="3790" t="s">
        <v>1683</v>
      </c>
      <c r="Z8" s="37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07"/>
      <c r="M9" s="2708"/>
      <c r="N9" s="2708"/>
      <c r="O9" s="2708"/>
      <c r="P9" s="3829"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4"/>
      <c r="F10" s="376">
        <f>SUMIF(65:65,E10,66:66)-SUMIF(65:65,C10,66:66)+100</f>
        <v>100</v>
      </c>
      <c r="G10" s="3423"/>
      <c r="H10" s="127">
        <f>SUMIF(65:65,G10,66:66)-SUMIF(65:65,C10,66:66)+100</f>
        <v>100</v>
      </c>
      <c r="I10" s="3423"/>
      <c r="J10" s="127">
        <f>SUMIF(65:65,I10,66:66)-SUMIF(65:65,C10,66:66)+100</f>
        <v>100</v>
      </c>
      <c r="K10" s="1889"/>
      <c r="L10" s="2709"/>
      <c r="M10" s="2710"/>
      <c r="N10" s="2710"/>
      <c r="O10" s="2710"/>
      <c r="P10" s="3829"/>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1"/>
      <c r="M11" s="2706"/>
      <c r="N11" s="2706"/>
      <c r="O11" s="2706"/>
      <c r="P11" s="3829"/>
      <c r="Q11" s="1341" t="str">
        <f t="shared" si="6"/>
        <v>容积率</v>
      </c>
      <c r="R11" s="701" t="s">
        <v>18</v>
      </c>
      <c r="S11" s="702" t="e">
        <f t="shared" si="0"/>
        <v>#N/A</v>
      </c>
      <c r="T11" s="701" t="s">
        <v>18</v>
      </c>
      <c r="U11" s="702" t="e">
        <f t="shared" si="1"/>
        <v>#N/A</v>
      </c>
      <c r="V11" s="701" t="s">
        <v>18</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7"/>
      <c r="M12" s="2708"/>
      <c r="N12" s="2708"/>
      <c r="O12" s="2708"/>
      <c r="P12" s="3829"/>
      <c r="Q12" s="1341">
        <f t="shared" si="6"/>
        <v>111</v>
      </c>
      <c r="R12" s="701" t="s">
        <v>18</v>
      </c>
      <c r="S12" s="702">
        <f t="shared" si="0"/>
        <v>100</v>
      </c>
      <c r="T12" s="701" t="s">
        <v>18</v>
      </c>
      <c r="U12" s="702">
        <f t="shared" si="1"/>
        <v>100</v>
      </c>
      <c r="V12" s="701" t="s">
        <v>18</v>
      </c>
      <c r="W12" s="702">
        <f t="shared" si="2"/>
        <v>100</v>
      </c>
      <c r="X12" s="703"/>
      <c r="Y12" s="374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2"/>
      <c r="M13" s="2706"/>
      <c r="N13" s="2706"/>
      <c r="O13" s="2706"/>
      <c r="P13" s="3829"/>
      <c r="Q13" s="1341">
        <f t="shared" si="6"/>
        <v>111</v>
      </c>
      <c r="R13" s="701" t="s">
        <v>18</v>
      </c>
      <c r="S13" s="702">
        <f t="shared" si="0"/>
        <v>100</v>
      </c>
      <c r="T13" s="701" t="s">
        <v>18</v>
      </c>
      <c r="U13" s="702">
        <f t="shared" si="1"/>
        <v>100</v>
      </c>
      <c r="V13" s="701" t="s">
        <v>18</v>
      </c>
      <c r="W13" s="702">
        <f t="shared" si="2"/>
        <v>100</v>
      </c>
      <c r="X13" s="703"/>
      <c r="Y13" s="374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2"/>
      <c r="M14" s="2706"/>
      <c r="N14" s="2706"/>
      <c r="O14" s="2706"/>
      <c r="P14" s="3829"/>
      <c r="Q14" s="1341">
        <f t="shared" si="6"/>
        <v>111</v>
      </c>
      <c r="R14" s="701" t="s">
        <v>18</v>
      </c>
      <c r="S14" s="702">
        <f t="shared" si="0"/>
        <v>100</v>
      </c>
      <c r="T14" s="701" t="s">
        <v>18</v>
      </c>
      <c r="U14" s="702">
        <f t="shared" si="1"/>
        <v>100</v>
      </c>
      <c r="V14" s="701" t="s">
        <v>18</v>
      </c>
      <c r="W14" s="702">
        <f t="shared" si="2"/>
        <v>100</v>
      </c>
      <c r="X14" s="703"/>
      <c r="Y14" s="3741"/>
      <c r="Z14" s="52">
        <f t="shared" si="7"/>
        <v>111</v>
      </c>
      <c r="AA14" s="704">
        <f t="shared" si="3"/>
        <v>1</v>
      </c>
      <c r="AB14" s="704">
        <f t="shared" si="4"/>
        <v>1</v>
      </c>
      <c r="AC14" s="704">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2"/>
      <c r="M15" s="2706"/>
      <c r="N15" s="2706"/>
      <c r="O15" s="2706"/>
      <c r="P15" s="3862" t="s">
        <v>1691</v>
      </c>
      <c r="Q15" s="1350" t="str">
        <f t="shared" si="6"/>
        <v>居住社区成熟度</v>
      </c>
      <c r="R15" s="705" t="s">
        <v>18</v>
      </c>
      <c r="S15" s="706">
        <f t="shared" si="0"/>
        <v>100</v>
      </c>
      <c r="T15" s="705" t="s">
        <v>18</v>
      </c>
      <c r="U15" s="706">
        <f t="shared" si="1"/>
        <v>100</v>
      </c>
      <c r="V15" s="705" t="s">
        <v>18</v>
      </c>
      <c r="W15" s="706">
        <f t="shared" si="2"/>
        <v>100</v>
      </c>
      <c r="X15" s="1353"/>
      <c r="Y15" s="382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2"/>
      <c r="M16" s="2706"/>
      <c r="N16" s="2706"/>
      <c r="O16" s="2706"/>
      <c r="P16" s="3863"/>
      <c r="Q16" s="1350"/>
      <c r="R16" s="705"/>
      <c r="S16" s="706"/>
      <c r="T16" s="705"/>
      <c r="U16" s="706"/>
      <c r="V16" s="705"/>
      <c r="W16" s="706"/>
      <c r="X16" s="1353"/>
      <c r="Y16" s="3821"/>
      <c r="Z16" s="1354"/>
      <c r="AA16" s="1351">
        <v>1</v>
      </c>
      <c r="AB16" s="1351">
        <v>1</v>
      </c>
      <c r="AC16" s="1351">
        <v>1</v>
      </c>
    </row>
    <row r="17" spans="1:29" ht="15">
      <c r="A17" s="379"/>
      <c r="B17" s="402" t="s">
        <v>1259</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863"/>
      <c r="Q17" s="1350" t="str">
        <f>B17</f>
        <v>交通便捷度</v>
      </c>
      <c r="R17" s="705" t="s">
        <v>18</v>
      </c>
      <c r="S17" s="706">
        <f>F17</f>
        <v>100</v>
      </c>
      <c r="T17" s="705" t="s">
        <v>18</v>
      </c>
      <c r="U17" s="706">
        <f>H17</f>
        <v>100</v>
      </c>
      <c r="V17" s="705" t="s">
        <v>18</v>
      </c>
      <c r="W17" s="706">
        <f>J17</f>
        <v>100</v>
      </c>
      <c r="X17" s="1353"/>
      <c r="Y17" s="382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2"/>
      <c r="M18" s="2706"/>
      <c r="N18" s="2706"/>
      <c r="O18" s="2706"/>
      <c r="P18" s="3863"/>
      <c r="Q18" s="1350"/>
      <c r="R18" s="705"/>
      <c r="S18" s="706"/>
      <c r="T18" s="705"/>
      <c r="U18" s="706"/>
      <c r="V18" s="705"/>
      <c r="W18" s="706"/>
      <c r="X18" s="1353"/>
      <c r="Y18" s="3821"/>
      <c r="Z18" s="1354"/>
      <c r="AA18" s="1351">
        <v>1</v>
      </c>
      <c r="AB18" s="1351">
        <v>1</v>
      </c>
      <c r="AC18" s="1351">
        <v>1</v>
      </c>
    </row>
    <row r="19" spans="1:29" ht="15">
      <c r="A19" s="379"/>
      <c r="B19" s="402" t="s">
        <v>1258</v>
      </c>
      <c r="C19" s="1898"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863"/>
      <c r="Q19" s="1350" t="str">
        <f>B19</f>
        <v>公共配套设施</v>
      </c>
      <c r="R19" s="705" t="s">
        <v>18</v>
      </c>
      <c r="S19" s="706">
        <f>F19</f>
        <v>100</v>
      </c>
      <c r="T19" s="705" t="s">
        <v>18</v>
      </c>
      <c r="U19" s="706">
        <f>H19</f>
        <v>100</v>
      </c>
      <c r="V19" s="705" t="s">
        <v>18</v>
      </c>
      <c r="W19" s="706">
        <f>J19</f>
        <v>100</v>
      </c>
      <c r="X19" s="1353"/>
      <c r="Y19" s="382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2"/>
      <c r="M20" s="2706"/>
      <c r="N20" s="2706"/>
      <c r="O20" s="2706"/>
      <c r="P20" s="3863"/>
      <c r="Q20" s="1350"/>
      <c r="R20" s="705"/>
      <c r="S20" s="706"/>
      <c r="T20" s="705"/>
      <c r="U20" s="706"/>
      <c r="V20" s="705"/>
      <c r="W20" s="706"/>
      <c r="X20" s="1353"/>
      <c r="Y20" s="3821"/>
      <c r="Z20" s="1354"/>
      <c r="AA20" s="1351">
        <v>1</v>
      </c>
      <c r="AB20" s="1351">
        <v>1</v>
      </c>
      <c r="AC20" s="1351">
        <v>1</v>
      </c>
    </row>
    <row r="21" spans="1:29" ht="15">
      <c r="A21" s="379"/>
      <c r="B21" s="1130"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863"/>
      <c r="Q21" s="1350" t="str">
        <f>B21</f>
        <v>基础设施水平</v>
      </c>
      <c r="R21" s="705" t="s">
        <v>14</v>
      </c>
      <c r="S21" s="706">
        <f>F21</f>
        <v>100</v>
      </c>
      <c r="T21" s="705" t="s">
        <v>14</v>
      </c>
      <c r="U21" s="706">
        <f>H21</f>
        <v>100</v>
      </c>
      <c r="V21" s="705" t="s">
        <v>14</v>
      </c>
      <c r="W21" s="706">
        <f>J21</f>
        <v>100</v>
      </c>
      <c r="X21" s="1353"/>
      <c r="Y21" s="382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2"/>
      <c r="M22" s="2706"/>
      <c r="N22" s="2706"/>
      <c r="O22" s="2706"/>
      <c r="P22" s="3863"/>
      <c r="Q22" s="1350"/>
      <c r="R22" s="705"/>
      <c r="S22" s="706"/>
      <c r="T22" s="705"/>
      <c r="U22" s="706"/>
      <c r="V22" s="705"/>
      <c r="W22" s="706"/>
      <c r="X22" s="1353"/>
      <c r="Y22" s="3821"/>
      <c r="Z22" s="1354"/>
      <c r="AA22" s="1351">
        <v>1</v>
      </c>
      <c r="AB22" s="1351">
        <v>1</v>
      </c>
      <c r="AC22" s="1351">
        <v>1</v>
      </c>
    </row>
    <row r="23" spans="1:29" ht="15">
      <c r="A23" s="379"/>
      <c r="B23" s="402" t="s">
        <v>1261</v>
      </c>
      <c r="C23" s="1898"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863"/>
      <c r="Q23" s="1350" t="str">
        <f>B23</f>
        <v>自然及人文环境</v>
      </c>
      <c r="R23" s="705" t="s">
        <v>18</v>
      </c>
      <c r="S23" s="706">
        <f>F23</f>
        <v>100</v>
      </c>
      <c r="T23" s="705" t="s">
        <v>18</v>
      </c>
      <c r="U23" s="706">
        <f>H23</f>
        <v>100</v>
      </c>
      <c r="V23" s="705" t="s">
        <v>18</v>
      </c>
      <c r="W23" s="706">
        <f>J23</f>
        <v>100</v>
      </c>
      <c r="X23" s="1353"/>
      <c r="Y23" s="382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2"/>
      <c r="M24" s="2706"/>
      <c r="N24" s="2706"/>
      <c r="O24" s="2706"/>
      <c r="P24" s="3863"/>
      <c r="Q24" s="1350"/>
      <c r="R24" s="705"/>
      <c r="S24" s="706"/>
      <c r="T24" s="705"/>
      <c r="U24" s="706"/>
      <c r="V24" s="705"/>
      <c r="W24" s="706"/>
      <c r="X24" s="1353"/>
      <c r="Y24" s="382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2"/>
      <c r="M25" s="2706"/>
      <c r="N25" s="2706"/>
      <c r="O25" s="2706"/>
      <c r="P25" s="3863"/>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82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2"/>
      <c r="M26" s="2706"/>
      <c r="N26" s="2706"/>
      <c r="O26" s="2706"/>
      <c r="P26" s="3863"/>
      <c r="Q26" s="1350" t="str">
        <f t="shared" si="11"/>
        <v>朝向</v>
      </c>
      <c r="R26" s="705" t="s">
        <v>18</v>
      </c>
      <c r="S26" s="706">
        <f t="shared" si="12"/>
        <v>100</v>
      </c>
      <c r="T26" s="705" t="s">
        <v>18</v>
      </c>
      <c r="U26" s="706">
        <f t="shared" si="13"/>
        <v>100</v>
      </c>
      <c r="V26" s="705" t="s">
        <v>18</v>
      </c>
      <c r="W26" s="706">
        <f t="shared" si="14"/>
        <v>100</v>
      </c>
      <c r="X26" s="1353"/>
      <c r="Y26" s="3821"/>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07"/>
      <c r="M27" s="2708"/>
      <c r="N27" s="2708"/>
      <c r="O27" s="2708"/>
      <c r="P27" s="3863"/>
      <c r="Q27" s="1341">
        <f t="shared" si="11"/>
        <v>111</v>
      </c>
      <c r="R27" s="701" t="s">
        <v>18</v>
      </c>
      <c r="S27" s="702">
        <f t="shared" si="12"/>
        <v>100</v>
      </c>
      <c r="T27" s="701" t="s">
        <v>18</v>
      </c>
      <c r="U27" s="702">
        <f t="shared" si="13"/>
        <v>100</v>
      </c>
      <c r="V27" s="701" t="s">
        <v>18</v>
      </c>
      <c r="W27" s="702">
        <f t="shared" si="14"/>
        <v>100</v>
      </c>
      <c r="X27" s="703"/>
      <c r="Y27" s="3821"/>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2"/>
      <c r="M28" s="2706"/>
      <c r="N28" s="2706"/>
      <c r="O28" s="2706"/>
      <c r="P28" s="3863"/>
      <c r="Q28" s="1350">
        <f t="shared" si="11"/>
        <v>111</v>
      </c>
      <c r="R28" s="705" t="s">
        <v>18</v>
      </c>
      <c r="S28" s="706">
        <f t="shared" si="12"/>
        <v>100</v>
      </c>
      <c r="T28" s="705" t="s">
        <v>18</v>
      </c>
      <c r="U28" s="706">
        <f t="shared" si="13"/>
        <v>100</v>
      </c>
      <c r="V28" s="705" t="s">
        <v>18</v>
      </c>
      <c r="W28" s="706">
        <f t="shared" si="14"/>
        <v>100</v>
      </c>
      <c r="X28" s="1353"/>
      <c r="Y28" s="3821"/>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2"/>
      <c r="M29" s="2706"/>
      <c r="N29" s="2706"/>
      <c r="O29" s="2706"/>
      <c r="P29" s="3863"/>
      <c r="Q29" s="1350">
        <f t="shared" si="11"/>
        <v>111</v>
      </c>
      <c r="R29" s="705" t="s">
        <v>18</v>
      </c>
      <c r="S29" s="706">
        <f t="shared" si="12"/>
        <v>100</v>
      </c>
      <c r="T29" s="705" t="s">
        <v>18</v>
      </c>
      <c r="U29" s="706">
        <f t="shared" si="13"/>
        <v>100</v>
      </c>
      <c r="V29" s="705" t="s">
        <v>18</v>
      </c>
      <c r="W29" s="706">
        <f t="shared" si="14"/>
        <v>100</v>
      </c>
      <c r="X29" s="1353"/>
      <c r="Y29" s="3821"/>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2"/>
      <c r="M30" s="2706"/>
      <c r="N30" s="2706"/>
      <c r="O30" s="2706"/>
      <c r="P30" s="3863"/>
      <c r="Q30" s="1350">
        <f t="shared" si="11"/>
        <v>111</v>
      </c>
      <c r="R30" s="705" t="s">
        <v>18</v>
      </c>
      <c r="S30" s="706">
        <f t="shared" si="12"/>
        <v>100</v>
      </c>
      <c r="T30" s="705" t="s">
        <v>18</v>
      </c>
      <c r="U30" s="706">
        <f t="shared" si="13"/>
        <v>100</v>
      </c>
      <c r="V30" s="705" t="s">
        <v>18</v>
      </c>
      <c r="W30" s="706">
        <f t="shared" si="14"/>
        <v>100</v>
      </c>
      <c r="X30" s="1353"/>
      <c r="Y30" s="3821"/>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2"/>
      <c r="M31" s="2706"/>
      <c r="N31" s="2706"/>
      <c r="O31" s="2706"/>
      <c r="P31" s="3863"/>
      <c r="Q31" s="1350">
        <f t="shared" si="11"/>
        <v>111</v>
      </c>
      <c r="R31" s="705" t="s">
        <v>18</v>
      </c>
      <c r="S31" s="706">
        <f t="shared" si="12"/>
        <v>100</v>
      </c>
      <c r="T31" s="705" t="s">
        <v>18</v>
      </c>
      <c r="U31" s="706">
        <f t="shared" si="13"/>
        <v>100</v>
      </c>
      <c r="V31" s="705" t="s">
        <v>18</v>
      </c>
      <c r="W31" s="706">
        <f t="shared" si="14"/>
        <v>100</v>
      </c>
      <c r="X31" s="1353"/>
      <c r="Y31" s="3821"/>
      <c r="Z31" s="1354">
        <f t="shared" si="18"/>
        <v>111</v>
      </c>
      <c r="AA31" s="1351">
        <f t="shared" si="15"/>
        <v>1</v>
      </c>
      <c r="AB31" s="1351">
        <f t="shared" si="16"/>
        <v>1</v>
      </c>
      <c r="AC31" s="1351">
        <f t="shared" si="17"/>
        <v>1</v>
      </c>
    </row>
    <row r="32" spans="1:29" ht="15">
      <c r="A32" s="391" t="s">
        <v>1694</v>
      </c>
      <c r="B32" s="63" t="s">
        <v>1695</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2"/>
      <c r="M32" s="2706"/>
      <c r="N32" s="2706"/>
      <c r="O32" s="2706"/>
      <c r="P32" s="3858" t="s">
        <v>1696</v>
      </c>
      <c r="Q32" s="1350" t="str">
        <f t="shared" si="11"/>
        <v>建筑类型</v>
      </c>
      <c r="R32" s="705" t="s">
        <v>18</v>
      </c>
      <c r="S32" s="706">
        <f t="shared" si="12"/>
        <v>100</v>
      </c>
      <c r="T32" s="705" t="s">
        <v>18</v>
      </c>
      <c r="U32" s="706">
        <f t="shared" si="13"/>
        <v>100</v>
      </c>
      <c r="V32" s="705" t="s">
        <v>18</v>
      </c>
      <c r="W32" s="706">
        <f t="shared" si="14"/>
        <v>100</v>
      </c>
      <c r="X32" s="1353"/>
      <c r="Y32" s="382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2"/>
      <c r="L33" s="2711"/>
      <c r="M33" s="2713"/>
      <c r="N33" s="2713"/>
      <c r="O33" s="2713"/>
      <c r="P33" s="3859"/>
      <c r="Q33" s="707" t="str">
        <f t="shared" si="11"/>
        <v>项目建筑规模</v>
      </c>
      <c r="R33" s="708" t="s">
        <v>18</v>
      </c>
      <c r="S33" s="709" t="e">
        <f t="shared" si="12"/>
        <v>#N/A</v>
      </c>
      <c r="T33" s="708" t="s">
        <v>18</v>
      </c>
      <c r="U33" s="709" t="e">
        <f t="shared" si="13"/>
        <v>#N/A</v>
      </c>
      <c r="V33" s="708" t="s">
        <v>18</v>
      </c>
      <c r="W33" s="709" t="e">
        <f t="shared" si="14"/>
        <v>#N/A</v>
      </c>
      <c r="X33" s="710"/>
      <c r="Y33" s="3823"/>
      <c r="Z33" s="711" t="str">
        <f t="shared" si="18"/>
        <v>项目建筑规模</v>
      </c>
      <c r="AA33" s="1351" t="e">
        <f t="shared" si="15"/>
        <v>#N/A</v>
      </c>
      <c r="AB33" s="1351" t="e">
        <f t="shared" si="16"/>
        <v>#N/A</v>
      </c>
      <c r="AC33" s="1351" t="e">
        <f t="shared" si="17"/>
        <v>#N/A</v>
      </c>
    </row>
    <row r="34" spans="1:29" ht="15">
      <c r="A34" s="423"/>
      <c r="B34" s="375" t="s">
        <v>1698</v>
      </c>
      <c r="C34" s="1909" t="s">
        <v>3403</v>
      </c>
      <c r="D34" s="386">
        <v>100</v>
      </c>
      <c r="E34" s="1909" t="s">
        <v>3403</v>
      </c>
      <c r="F34" s="412">
        <f>SUMIF(105:105,E34,106:106)-SUMIF(105:105,C34,106:106)+100</f>
        <v>100</v>
      </c>
      <c r="G34" s="1909" t="s">
        <v>3403</v>
      </c>
      <c r="H34" s="386">
        <f>SUMIF(105:105,G34,106:106)-SUMIF(105:105,C34,106:106)+100</f>
        <v>100</v>
      </c>
      <c r="I34" s="1909" t="s">
        <v>3403</v>
      </c>
      <c r="J34" s="386">
        <f>SUMIF(105:105,I34,106:106)-SUMIF(105:105,C34,106:106)+100</f>
        <v>100</v>
      </c>
      <c r="K34" s="377">
        <v>2</v>
      </c>
      <c r="L34" s="2712"/>
      <c r="M34" s="2706"/>
      <c r="N34" s="2706"/>
      <c r="O34" s="2706"/>
      <c r="P34" s="3859"/>
      <c r="Q34" s="1350" t="str">
        <f t="shared" si="11"/>
        <v>建筑结构</v>
      </c>
      <c r="R34" s="705" t="s">
        <v>18</v>
      </c>
      <c r="S34" s="706">
        <f t="shared" si="12"/>
        <v>100</v>
      </c>
      <c r="T34" s="705" t="s">
        <v>18</v>
      </c>
      <c r="U34" s="706">
        <f t="shared" si="13"/>
        <v>100</v>
      </c>
      <c r="V34" s="705" t="s">
        <v>18</v>
      </c>
      <c r="W34" s="706">
        <f t="shared" si="14"/>
        <v>100</v>
      </c>
      <c r="X34" s="1353"/>
      <c r="Y34" s="3823"/>
      <c r="Z34" s="1354" t="str">
        <f t="shared" si="18"/>
        <v>建筑结构</v>
      </c>
      <c r="AA34" s="1351">
        <f t="shared" si="15"/>
        <v>1</v>
      </c>
      <c r="AB34" s="1351">
        <f t="shared" si="16"/>
        <v>1</v>
      </c>
      <c r="AC34" s="1351">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2"/>
      <c r="M35" s="2706"/>
      <c r="N35" s="2706"/>
      <c r="O35" s="2706"/>
      <c r="P35" s="3859"/>
      <c r="Q35" s="1350" t="str">
        <f t="shared" si="11"/>
        <v>建筑品质</v>
      </c>
      <c r="R35" s="705" t="s">
        <v>18</v>
      </c>
      <c r="S35" s="706">
        <f t="shared" si="12"/>
        <v>100</v>
      </c>
      <c r="T35" s="705" t="s">
        <v>18</v>
      </c>
      <c r="U35" s="706">
        <f t="shared" si="13"/>
        <v>100</v>
      </c>
      <c r="V35" s="705" t="s">
        <v>18</v>
      </c>
      <c r="W35" s="706">
        <f t="shared" si="14"/>
        <v>100</v>
      </c>
      <c r="X35" s="1353"/>
      <c r="Y35" s="3823"/>
      <c r="Z35" s="1354" t="str">
        <f t="shared" si="18"/>
        <v>建筑品质</v>
      </c>
      <c r="AA35" s="1351">
        <f t="shared" si="15"/>
        <v>1</v>
      </c>
      <c r="AB35" s="1351">
        <f t="shared" si="16"/>
        <v>1</v>
      </c>
      <c r="AC35" s="1351">
        <f t="shared" si="17"/>
        <v>1</v>
      </c>
    </row>
    <row r="36" spans="1:29" ht="15">
      <c r="A36" s="423"/>
      <c r="B36" s="375" t="s">
        <v>1700</v>
      </c>
      <c r="C36" s="1904" t="s">
        <v>3406</v>
      </c>
      <c r="D36" s="386">
        <v>100</v>
      </c>
      <c r="E36" s="1904" t="s">
        <v>3406</v>
      </c>
      <c r="F36" s="412">
        <f>SUMIF(109:109,E36,110:110)-SUMIF(109:109,C36,110:110)+100</f>
        <v>100</v>
      </c>
      <c r="G36" s="1904" t="s">
        <v>3406</v>
      </c>
      <c r="H36" s="386">
        <f>SUMIF(109:109,G36,110:110)-SUMIF(109:109,C36,110:110)+100</f>
        <v>100</v>
      </c>
      <c r="I36" s="1904" t="s">
        <v>3406</v>
      </c>
      <c r="J36" s="386">
        <f>SUMIF(109:109,I36,110:110)-SUMIF(109:109,C36,110:110)+100</f>
        <v>100</v>
      </c>
      <c r="K36" s="377">
        <v>2</v>
      </c>
      <c r="L36" s="2712"/>
      <c r="M36" s="2706"/>
      <c r="N36" s="2706"/>
      <c r="O36" s="2706"/>
      <c r="P36" s="3859"/>
      <c r="Q36" s="1350" t="str">
        <f t="shared" si="11"/>
        <v>公共部分装修</v>
      </c>
      <c r="R36" s="705" t="s">
        <v>18</v>
      </c>
      <c r="S36" s="706">
        <f t="shared" si="12"/>
        <v>100</v>
      </c>
      <c r="T36" s="705" t="s">
        <v>18</v>
      </c>
      <c r="U36" s="706">
        <f t="shared" si="13"/>
        <v>100</v>
      </c>
      <c r="V36" s="705" t="s">
        <v>18</v>
      </c>
      <c r="W36" s="706">
        <f t="shared" si="14"/>
        <v>100</v>
      </c>
      <c r="X36" s="1353"/>
      <c r="Y36" s="382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59"/>
      <c r="Q37" s="1341" t="str">
        <f t="shared" si="11"/>
        <v>成新度</v>
      </c>
      <c r="R37" s="701" t="s">
        <v>18</v>
      </c>
      <c r="S37" s="702" t="e">
        <f t="shared" si="12"/>
        <v>#N/A</v>
      </c>
      <c r="T37" s="701" t="s">
        <v>18</v>
      </c>
      <c r="U37" s="702" t="e">
        <f t="shared" si="13"/>
        <v>#N/A</v>
      </c>
      <c r="V37" s="701" t="s">
        <v>18</v>
      </c>
      <c r="W37" s="702" t="e">
        <f t="shared" si="14"/>
        <v>#N/A</v>
      </c>
      <c r="X37" s="703"/>
      <c r="Y37" s="3823"/>
      <c r="Z37" s="52" t="str">
        <f t="shared" si="18"/>
        <v>成新度</v>
      </c>
      <c r="AA37" s="704" t="e">
        <f t="shared" si="15"/>
        <v>#N/A</v>
      </c>
      <c r="AB37" s="704" t="e">
        <f t="shared" si="16"/>
        <v>#N/A</v>
      </c>
      <c r="AC37" s="704" t="e">
        <f t="shared" si="17"/>
        <v>#N/A</v>
      </c>
    </row>
    <row r="38" spans="1:29" ht="15">
      <c r="A38" s="423"/>
      <c r="B38" s="375" t="s">
        <v>1702</v>
      </c>
      <c r="C38" s="1904" t="s">
        <v>3407</v>
      </c>
      <c r="D38" s="386">
        <v>100</v>
      </c>
      <c r="E38" s="1904" t="s">
        <v>3407</v>
      </c>
      <c r="F38" s="412">
        <f>SUMIF(114:114,E38,115:115)-SUMIF(114:114,C38,115:115)+100</f>
        <v>100</v>
      </c>
      <c r="G38" s="1904" t="s">
        <v>3407</v>
      </c>
      <c r="H38" s="386">
        <f>SUMIF(114:114,G38,115:115)-SUMIF(114:114,C38,115:115)+100</f>
        <v>100</v>
      </c>
      <c r="I38" s="1904" t="s">
        <v>3407</v>
      </c>
      <c r="J38" s="386">
        <f>SUMIF(114:114,I38,115:115)-SUMIF(114:114,C38,115:115)+100</f>
        <v>100</v>
      </c>
      <c r="K38" s="377">
        <v>2</v>
      </c>
      <c r="L38" s="2712"/>
      <c r="M38" s="2706"/>
      <c r="N38" s="2706"/>
      <c r="O38" s="2706"/>
      <c r="P38" s="3859" t="s">
        <v>1696</v>
      </c>
      <c r="Q38" s="1350" t="str">
        <f t="shared" si="11"/>
        <v>物业管理</v>
      </c>
      <c r="R38" s="705" t="s">
        <v>18</v>
      </c>
      <c r="S38" s="706">
        <f t="shared" si="12"/>
        <v>100</v>
      </c>
      <c r="T38" s="705" t="s">
        <v>18</v>
      </c>
      <c r="U38" s="706">
        <f t="shared" si="13"/>
        <v>100</v>
      </c>
      <c r="V38" s="705" t="s">
        <v>18</v>
      </c>
      <c r="W38" s="706">
        <f t="shared" si="14"/>
        <v>100</v>
      </c>
      <c r="X38" s="1353"/>
      <c r="Y38" s="3823" t="s">
        <v>1696</v>
      </c>
      <c r="Z38" s="1354" t="str">
        <f t="shared" si="18"/>
        <v>物业管理</v>
      </c>
      <c r="AA38" s="1351">
        <f t="shared" si="15"/>
        <v>1</v>
      </c>
      <c r="AB38" s="1351">
        <f t="shared" si="16"/>
        <v>1</v>
      </c>
      <c r="AC38" s="1351">
        <f t="shared" si="17"/>
        <v>1</v>
      </c>
    </row>
    <row r="39" spans="1:29" ht="15">
      <c r="A39" s="423"/>
      <c r="B39" s="375" t="s">
        <v>1703</v>
      </c>
      <c r="C39" s="1904" t="s">
        <v>3393</v>
      </c>
      <c r="D39" s="386">
        <v>100</v>
      </c>
      <c r="E39" s="1904" t="s">
        <v>3393</v>
      </c>
      <c r="F39" s="412">
        <f>SUMIF(116:116,E39,117:117)-SUMIF(116:116,C39,117:117)+100</f>
        <v>100</v>
      </c>
      <c r="G39" s="1904" t="s">
        <v>3393</v>
      </c>
      <c r="H39" s="386">
        <f>SUMIF(116:116,G39,117:117)-SUMIF(116:116,C39,117:117)+100</f>
        <v>100</v>
      </c>
      <c r="I39" s="1904" t="s">
        <v>3393</v>
      </c>
      <c r="J39" s="386">
        <f>SUMIF(116:116,I39,117:117)-SUMIF(116:116,C39,117:117)+100</f>
        <v>100</v>
      </c>
      <c r="K39" s="377">
        <v>1</v>
      </c>
      <c r="L39" s="2712"/>
      <c r="M39" s="2706"/>
      <c r="N39" s="2706"/>
      <c r="O39" s="2706"/>
      <c r="P39" s="3859"/>
      <c r="Q39" s="1350" t="str">
        <f t="shared" si="11"/>
        <v>市政基础设施</v>
      </c>
      <c r="R39" s="705" t="s">
        <v>18</v>
      </c>
      <c r="S39" s="706">
        <f t="shared" si="12"/>
        <v>100</v>
      </c>
      <c r="T39" s="705" t="s">
        <v>18</v>
      </c>
      <c r="U39" s="706">
        <f t="shared" si="13"/>
        <v>100</v>
      </c>
      <c r="V39" s="705" t="s">
        <v>18</v>
      </c>
      <c r="W39" s="706">
        <f t="shared" si="14"/>
        <v>100</v>
      </c>
      <c r="X39" s="1353"/>
      <c r="Y39" s="3823"/>
      <c r="Z39" s="1354" t="str">
        <f t="shared" si="18"/>
        <v>市政基础设施</v>
      </c>
      <c r="AA39" s="1351">
        <f t="shared" si="15"/>
        <v>1</v>
      </c>
      <c r="AB39" s="1351">
        <f t="shared" si="16"/>
        <v>1</v>
      </c>
      <c r="AC39" s="1351">
        <f t="shared" si="17"/>
        <v>1</v>
      </c>
    </row>
    <row r="40" spans="1:29" ht="15">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2"/>
      <c r="M40" s="2706"/>
      <c r="N40" s="2706"/>
      <c r="O40" s="2706"/>
      <c r="P40" s="3859"/>
      <c r="Q40" s="1350" t="str">
        <f t="shared" si="11"/>
        <v>房型</v>
      </c>
      <c r="R40" s="705" t="s">
        <v>18</v>
      </c>
      <c r="S40" s="706">
        <f t="shared" si="12"/>
        <v>100</v>
      </c>
      <c r="T40" s="705" t="s">
        <v>18</v>
      </c>
      <c r="U40" s="706">
        <f t="shared" si="13"/>
        <v>100</v>
      </c>
      <c r="V40" s="705" t="s">
        <v>18</v>
      </c>
      <c r="W40" s="706">
        <f t="shared" si="14"/>
        <v>100</v>
      </c>
      <c r="X40" s="1353"/>
      <c r="Y40" s="3823"/>
      <c r="Z40" s="1354" t="str">
        <f t="shared" si="18"/>
        <v>房型</v>
      </c>
      <c r="AA40" s="1351">
        <f t="shared" si="15"/>
        <v>1</v>
      </c>
      <c r="AB40" s="1351">
        <f t="shared" si="16"/>
        <v>1</v>
      </c>
      <c r="AC40" s="1351">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1"/>
      <c r="M41" s="2713"/>
      <c r="N41" s="2713"/>
      <c r="O41" s="2713"/>
      <c r="P41" s="3859"/>
      <c r="Q41" s="707" t="str">
        <f t="shared" si="11"/>
        <v>单套/主力户型建筑面积</v>
      </c>
      <c r="R41" s="708" t="s">
        <v>18</v>
      </c>
      <c r="S41" s="709">
        <f t="shared" si="12"/>
        <v>100</v>
      </c>
      <c r="T41" s="708" t="s">
        <v>18</v>
      </c>
      <c r="U41" s="709">
        <f t="shared" si="13"/>
        <v>100</v>
      </c>
      <c r="V41" s="708" t="s">
        <v>18</v>
      </c>
      <c r="W41" s="709">
        <f t="shared" si="14"/>
        <v>100</v>
      </c>
      <c r="X41" s="710"/>
      <c r="Y41" s="382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2"/>
      <c r="M42" s="2706"/>
      <c r="N42" s="2706"/>
      <c r="O42" s="2706"/>
      <c r="P42" s="3859"/>
      <c r="Q42" s="1350" t="str">
        <f t="shared" si="11"/>
        <v>内部装修</v>
      </c>
      <c r="R42" s="705" t="s">
        <v>18</v>
      </c>
      <c r="S42" s="706">
        <f t="shared" si="12"/>
        <v>100</v>
      </c>
      <c r="T42" s="705" t="s">
        <v>18</v>
      </c>
      <c r="U42" s="706">
        <f t="shared" si="13"/>
        <v>100</v>
      </c>
      <c r="V42" s="705" t="s">
        <v>18</v>
      </c>
      <c r="W42" s="706">
        <f t="shared" si="14"/>
        <v>100</v>
      </c>
      <c r="X42" s="1353"/>
      <c r="Y42" s="3823"/>
      <c r="Z42" s="1354" t="str">
        <f t="shared" si="18"/>
        <v>内部装修</v>
      </c>
      <c r="AA42" s="1351">
        <f t="shared" si="15"/>
        <v>1</v>
      </c>
      <c r="AB42" s="1351">
        <f t="shared" si="16"/>
        <v>1</v>
      </c>
      <c r="AC42" s="1351">
        <f t="shared" si="17"/>
        <v>1</v>
      </c>
    </row>
    <row r="43" spans="1:29" ht="15">
      <c r="A43" s="423"/>
      <c r="B43" s="375" t="s">
        <v>1707</v>
      </c>
      <c r="C43" s="1904" t="s">
        <v>3390</v>
      </c>
      <c r="D43" s="386">
        <v>100</v>
      </c>
      <c r="E43" s="1904" t="s">
        <v>3390</v>
      </c>
      <c r="F43" s="412">
        <f>SUMIF(124:124,E43,125:125)-SUMIF(124:124,C43,125:125)+100</f>
        <v>100</v>
      </c>
      <c r="G43" s="1904" t="s">
        <v>3390</v>
      </c>
      <c r="H43" s="386">
        <f>SUMIF(124:124,G43,125:125)-SUMIF(124:124,C43,125:125)+100</f>
        <v>100</v>
      </c>
      <c r="I43" s="1904" t="s">
        <v>3390</v>
      </c>
      <c r="J43" s="386">
        <f>SUMIF(124:124,I43,125:125)-SUMIF(124:124,C43,125:125)+100</f>
        <v>100</v>
      </c>
      <c r="K43" s="377">
        <v>2</v>
      </c>
      <c r="L43" s="2712"/>
      <c r="M43" s="2706"/>
      <c r="N43" s="2706"/>
      <c r="O43" s="2706"/>
      <c r="P43" s="3859"/>
      <c r="Q43" s="1350" t="str">
        <f t="shared" si="11"/>
        <v>内部装修维护情况</v>
      </c>
      <c r="R43" s="705" t="s">
        <v>18</v>
      </c>
      <c r="S43" s="706">
        <f t="shared" si="12"/>
        <v>100</v>
      </c>
      <c r="T43" s="705" t="s">
        <v>18</v>
      </c>
      <c r="U43" s="706">
        <f t="shared" si="13"/>
        <v>100</v>
      </c>
      <c r="V43" s="705" t="s">
        <v>18</v>
      </c>
      <c r="W43" s="706">
        <f t="shared" si="14"/>
        <v>100</v>
      </c>
      <c r="X43" s="1353"/>
      <c r="Y43" s="382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7"/>
      <c r="M44" s="2708"/>
      <c r="N44" s="2708"/>
      <c r="O44" s="2708"/>
      <c r="P44" s="3859"/>
      <c r="Q44" s="1341">
        <f t="shared" si="11"/>
        <v>111</v>
      </c>
      <c r="R44" s="701" t="s">
        <v>18</v>
      </c>
      <c r="S44" s="702">
        <f t="shared" si="12"/>
        <v>100</v>
      </c>
      <c r="T44" s="701" t="s">
        <v>18</v>
      </c>
      <c r="U44" s="702">
        <f t="shared" si="13"/>
        <v>100</v>
      </c>
      <c r="V44" s="701" t="s">
        <v>18</v>
      </c>
      <c r="W44" s="702">
        <f t="shared" si="14"/>
        <v>100</v>
      </c>
      <c r="X44" s="703"/>
      <c r="Y44" s="382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2"/>
      <c r="M45" s="2706"/>
      <c r="N45" s="2706"/>
      <c r="O45" s="2706"/>
      <c r="P45" s="3859"/>
      <c r="Q45" s="1350">
        <f t="shared" si="11"/>
        <v>111</v>
      </c>
      <c r="R45" s="705" t="s">
        <v>18</v>
      </c>
      <c r="S45" s="706">
        <f t="shared" si="12"/>
        <v>100</v>
      </c>
      <c r="T45" s="705" t="s">
        <v>18</v>
      </c>
      <c r="U45" s="706">
        <f t="shared" si="13"/>
        <v>100</v>
      </c>
      <c r="V45" s="705" t="s">
        <v>18</v>
      </c>
      <c r="W45" s="706">
        <f t="shared" si="14"/>
        <v>100</v>
      </c>
      <c r="X45" s="1353"/>
      <c r="Y45" s="382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2"/>
      <c r="M46" s="2706"/>
      <c r="N46" s="2706"/>
      <c r="O46" s="2706"/>
      <c r="P46" s="3860"/>
      <c r="Q46" s="1350">
        <f t="shared" si="11"/>
        <v>111</v>
      </c>
      <c r="R46" s="705" t="s">
        <v>17</v>
      </c>
      <c r="S46" s="706">
        <f t="shared" si="12"/>
        <v>100</v>
      </c>
      <c r="T46" s="705" t="s">
        <v>17</v>
      </c>
      <c r="U46" s="706">
        <f t="shared" si="13"/>
        <v>100</v>
      </c>
      <c r="V46" s="705" t="s">
        <v>17</v>
      </c>
      <c r="W46" s="706">
        <f t="shared" si="14"/>
        <v>100</v>
      </c>
      <c r="X46" s="1353"/>
      <c r="Y46" s="3861"/>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0"/>
      <c r="L47" s="2714"/>
      <c r="M47" s="2715"/>
      <c r="N47" s="2706"/>
      <c r="O47" s="2715"/>
      <c r="P47" s="3805" t="str">
        <f>A47</f>
        <v>成交单价（元/平方米）</v>
      </c>
      <c r="Q47" s="3805"/>
      <c r="R47" s="3857">
        <f>E47</f>
        <v>0</v>
      </c>
      <c r="S47" s="3857"/>
      <c r="T47" s="3857">
        <f>G47</f>
        <v>0</v>
      </c>
      <c r="U47" s="3857"/>
      <c r="V47" s="3857">
        <f>I47</f>
        <v>0</v>
      </c>
      <c r="W47" s="3857"/>
      <c r="X47" s="690"/>
      <c r="Y47" s="712"/>
      <c r="Z47" s="690"/>
      <c r="AA47" s="690"/>
      <c r="AB47" s="690"/>
      <c r="AC47" s="690"/>
    </row>
    <row r="48" spans="1:29" ht="15.75" thickBot="1">
      <c r="A48" s="437" t="s">
        <v>1709</v>
      </c>
      <c r="B48" s="438"/>
      <c r="C48" s="1159" t="e">
        <f>R49</f>
        <v>#DIV/0!</v>
      </c>
      <c r="D48" s="2313" t="s">
        <v>2138</v>
      </c>
      <c r="E48" s="1160" t="e">
        <f>R48</f>
        <v>#DIV/0!</v>
      </c>
      <c r="F48" s="2314"/>
      <c r="G48" s="1159" t="e">
        <f>T48</f>
        <v>#DIV/0!</v>
      </c>
      <c r="H48" s="2314"/>
      <c r="I48" s="1160" t="e">
        <f>V48</f>
        <v>#DIV/0!</v>
      </c>
      <c r="J48" s="2314"/>
      <c r="K48" s="2315">
        <f>F48+H48+J48</f>
        <v>0</v>
      </c>
      <c r="L48" s="2714"/>
      <c r="M48" s="2715"/>
      <c r="N48" s="2715"/>
      <c r="O48" s="2715"/>
      <c r="P48" s="3805" t="str">
        <f>A48</f>
        <v>比较价值（元/平方米）</v>
      </c>
      <c r="Q48" s="3805"/>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1"/>
      <c r="L49" s="2714"/>
      <c r="M49" s="2715"/>
      <c r="N49" s="2715"/>
      <c r="O49" s="2715"/>
      <c r="P49" s="3825" t="str">
        <f>A49</f>
        <v>估价对象XX用房的比较价值（楼面单价，元/平方米）</v>
      </c>
      <c r="Q49" s="3826"/>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13"/>
    </row>
    <row r="55" spans="1:29" s="451"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4" t="s">
        <v>1714</v>
      </c>
      <c r="B57" s="690"/>
      <c r="C57" s="695"/>
      <c r="D57" s="695"/>
      <c r="E57" s="695"/>
      <c r="F57" s="696"/>
      <c r="G57" s="696"/>
      <c r="H57" s="695"/>
      <c r="I57" s="695"/>
      <c r="J57" s="695"/>
      <c r="K57" s="940"/>
      <c r="L57" s="941"/>
      <c r="M57" s="939"/>
      <c r="N57" s="939"/>
      <c r="O57" s="939"/>
      <c r="P57" s="1914"/>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1"/>
      <c r="O61" s="931"/>
      <c r="P61" s="1917"/>
      <c r="Q61" s="453"/>
    </row>
    <row r="62" spans="1:29" s="108" customFormat="1" ht="15.75" thickBot="1">
      <c r="A62" s="470"/>
      <c r="B62" s="459"/>
      <c r="C62" s="460">
        <v>100</v>
      </c>
      <c r="D62" s="461"/>
      <c r="E62" s="461"/>
      <c r="F62" s="461"/>
      <c r="G62" s="461"/>
      <c r="H62" s="461"/>
      <c r="I62" s="461"/>
      <c r="J62" s="461"/>
      <c r="K62" s="461"/>
      <c r="L62" s="461"/>
      <c r="M62" s="463"/>
      <c r="N62" s="931"/>
      <c r="O62" s="931"/>
      <c r="P62" s="1916"/>
      <c r="Q62" s="453"/>
    </row>
    <row r="63" spans="1:29">
      <c r="A63" s="476" t="s">
        <v>1719</v>
      </c>
      <c r="B63" s="477" t="s">
        <v>1685</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1688</v>
      </c>
      <c r="C65" s="532"/>
      <c r="D65" s="532"/>
      <c r="E65" s="532"/>
      <c r="F65" s="532"/>
      <c r="G65" s="532"/>
      <c r="H65" s="532"/>
      <c r="I65" s="532"/>
      <c r="J65" s="532"/>
      <c r="K65" s="532"/>
      <c r="L65" s="532"/>
      <c r="M65" s="532"/>
      <c r="N65" s="933"/>
      <c r="O65" s="933"/>
      <c r="P65" s="1918"/>
      <c r="Q65" s="453"/>
    </row>
    <row r="66" spans="1:17" ht="15.75" thickBot="1">
      <c r="A66" s="483"/>
      <c r="B66" s="492"/>
      <c r="C66" s="485"/>
      <c r="D66" s="485"/>
      <c r="E66" s="485"/>
      <c r="F66" s="485"/>
      <c r="G66" s="485"/>
      <c r="H66" s="485"/>
      <c r="I66" s="485"/>
      <c r="J66" s="485"/>
      <c r="K66" s="485"/>
      <c r="L66" s="485"/>
      <c r="M66" s="486"/>
      <c r="N66" s="933"/>
      <c r="O66" s="933"/>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c r="D68" s="498"/>
      <c r="E68" s="498"/>
      <c r="F68" s="498"/>
      <c r="G68" s="498"/>
      <c r="H68" s="498"/>
      <c r="I68" s="498"/>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c r="D70" s="503"/>
      <c r="E70" s="503"/>
      <c r="F70" s="503"/>
      <c r="G70" s="503"/>
      <c r="H70" s="504"/>
      <c r="I70" s="504"/>
      <c r="J70" s="504"/>
      <c r="K70" s="504"/>
      <c r="L70" s="505"/>
      <c r="M70" s="506"/>
      <c r="N70" s="934"/>
      <c r="O70" s="934"/>
      <c r="P70" s="1919"/>
      <c r="Q70" s="508"/>
    </row>
    <row r="71" spans="1:17" s="422" customFormat="1" ht="15.75" thickBot="1">
      <c r="A71" s="502"/>
      <c r="B71" s="492"/>
      <c r="C71" s="509"/>
      <c r="D71" s="485"/>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8"/>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8"/>
      <c r="Q85" s="453"/>
    </row>
    <row r="86" spans="1:17" s="108" customFormat="1" ht="15.75" thickTop="1">
      <c r="A86" s="528"/>
      <c r="B86" s="487" t="s">
        <v>1734</v>
      </c>
      <c r="C86" s="503"/>
      <c r="D86" s="503"/>
      <c r="E86" s="503"/>
      <c r="F86" s="503"/>
      <c r="G86" s="503"/>
      <c r="H86" s="503"/>
      <c r="I86" s="503"/>
      <c r="J86" s="503"/>
      <c r="K86" s="503"/>
      <c r="L86" s="529"/>
      <c r="M86" s="530"/>
      <c r="N86" s="931"/>
      <c r="O86" s="931"/>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8"/>
      <c r="Q87" s="453"/>
    </row>
    <row r="88" spans="1:17" s="108" customFormat="1" ht="15.75" thickTop="1">
      <c r="A88" s="528"/>
      <c r="B88" s="487" t="s">
        <v>1735</v>
      </c>
      <c r="C88" s="503"/>
      <c r="D88" s="503"/>
      <c r="E88" s="503"/>
      <c r="F88" s="1923"/>
      <c r="G88" s="503"/>
      <c r="H88" s="503"/>
      <c r="I88" s="503"/>
      <c r="J88" s="503"/>
      <c r="K88" s="503"/>
      <c r="L88" s="503"/>
      <c r="M88" s="530"/>
      <c r="N88" s="931"/>
      <c r="O88" s="931"/>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1694</v>
      </c>
      <c r="B100" s="477" t="s">
        <v>1736</v>
      </c>
      <c r="C100" s="479"/>
      <c r="D100" s="479"/>
      <c r="E100" s="479"/>
      <c r="F100" s="479"/>
      <c r="G100" s="479"/>
      <c r="H100" s="479"/>
      <c r="I100" s="479"/>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c r="D103" s="544"/>
      <c r="E103" s="544"/>
      <c r="F103" s="544"/>
      <c r="G103" s="544"/>
      <c r="H103" s="544"/>
      <c r="I103" s="544"/>
      <c r="J103" s="545"/>
      <c r="K103" s="545"/>
      <c r="L103" s="546"/>
      <c r="M103" s="547"/>
      <c r="N103" s="934"/>
      <c r="O103" s="934"/>
      <c r="P103" s="1919"/>
      <c r="Q103" s="508"/>
    </row>
    <row r="104" spans="1:17" s="422" customFormat="1" ht="15.75" thickBot="1">
      <c r="A104" s="502"/>
      <c r="B104" s="492"/>
      <c r="C104" s="509"/>
      <c r="D104" s="485"/>
      <c r="E104" s="485"/>
      <c r="F104" s="485"/>
      <c r="G104" s="485"/>
      <c r="H104" s="485"/>
      <c r="I104" s="485"/>
      <c r="J104" s="485"/>
      <c r="K104" s="485"/>
      <c r="L104" s="485"/>
      <c r="M104" s="485"/>
      <c r="N104" s="933"/>
      <c r="O104" s="933"/>
      <c r="P104" s="1919"/>
      <c r="Q104" s="508"/>
    </row>
    <row r="105" spans="1:17" ht="15" thickTop="1">
      <c r="A105" s="548"/>
      <c r="B105" s="487" t="s">
        <v>1738</v>
      </c>
      <c r="C105" s="503"/>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1739</v>
      </c>
      <c r="C107" s="532"/>
      <c r="D107" s="532"/>
      <c r="E107" s="532"/>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1740</v>
      </c>
      <c r="C109" s="503"/>
      <c r="D109" s="503"/>
      <c r="E109" s="503"/>
      <c r="F109" s="532"/>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1741</v>
      </c>
      <c r="C114" s="503"/>
      <c r="D114" s="503"/>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1742</v>
      </c>
      <c r="C116" s="503"/>
      <c r="D116" s="503"/>
      <c r="E116" s="503"/>
      <c r="F116" s="503"/>
      <c r="G116" s="503"/>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1743</v>
      </c>
      <c r="C118" s="532"/>
      <c r="D118" s="532"/>
      <c r="E118" s="532"/>
      <c r="F118" s="532"/>
      <c r="G118" s="532"/>
      <c r="H118" s="532"/>
      <c r="I118" s="532"/>
      <c r="J118" s="532"/>
      <c r="K118" s="533"/>
      <c r="L118" s="534"/>
      <c r="M118" s="535"/>
      <c r="N118" s="932"/>
      <c r="O118" s="932"/>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8"/>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1744</v>
      </c>
      <c r="C122" s="503"/>
      <c r="D122" s="503"/>
      <c r="E122" s="503"/>
      <c r="F122" s="532"/>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6">
        <v>6</v>
      </c>
      <c r="C139" s="867">
        <v>96</v>
      </c>
      <c r="D139" s="1936" t="s">
        <v>1755</v>
      </c>
      <c r="E139" s="868">
        <v>100</v>
      </c>
      <c r="F139" s="869">
        <v>102.5</v>
      </c>
      <c r="G139" s="1936" t="s">
        <v>1755</v>
      </c>
      <c r="H139" s="870">
        <v>105</v>
      </c>
      <c r="I139" s="1937" t="s">
        <v>1756</v>
      </c>
      <c r="J139" s="867">
        <v>20</v>
      </c>
      <c r="K139" s="871">
        <f>C145/(J139-2)</f>
        <v>4.0555555555555553E-3</v>
      </c>
    </row>
    <row r="140" spans="1:17" ht="15">
      <c r="B140" s="872">
        <v>5</v>
      </c>
      <c r="C140" s="873">
        <v>100</v>
      </c>
      <c r="D140" s="873"/>
      <c r="E140" s="874"/>
      <c r="F140" s="875">
        <v>102</v>
      </c>
      <c r="G140" s="873"/>
      <c r="H140" s="876"/>
      <c r="I140" s="1938" t="s">
        <v>1757</v>
      </c>
      <c r="J140" s="271">
        <f>ROUNDUP((J139-1)/2,0)</f>
        <v>10</v>
      </c>
      <c r="K140" s="877">
        <v>100</v>
      </c>
    </row>
    <row r="141" spans="1:17" ht="15">
      <c r="B141" s="872">
        <v>4</v>
      </c>
      <c r="C141" s="873">
        <v>102</v>
      </c>
      <c r="D141" s="873"/>
      <c r="E141" s="874"/>
      <c r="F141" s="875">
        <v>101.5</v>
      </c>
      <c r="G141" s="873"/>
      <c r="H141" s="876"/>
      <c r="I141" s="1938" t="s">
        <v>1758</v>
      </c>
      <c r="J141" s="271">
        <v>1</v>
      </c>
      <c r="K141" s="878">
        <f>ROUND(100+(J141-J140)*K139*100,1)</f>
        <v>96.4</v>
      </c>
    </row>
    <row r="142" spans="1:17" ht="15">
      <c r="B142" s="872">
        <v>3</v>
      </c>
      <c r="C142" s="873">
        <v>103</v>
      </c>
      <c r="D142" s="873"/>
      <c r="E142" s="874"/>
      <c r="F142" s="875">
        <v>101</v>
      </c>
      <c r="G142" s="873"/>
      <c r="H142" s="876"/>
      <c r="I142" s="1938" t="s">
        <v>1759</v>
      </c>
      <c r="J142" s="271">
        <f>J139</f>
        <v>20</v>
      </c>
      <c r="K142" s="879">
        <v>95</v>
      </c>
    </row>
    <row r="143" spans="1:17" ht="15">
      <c r="B143" s="872">
        <v>2</v>
      </c>
      <c r="C143" s="873">
        <v>100</v>
      </c>
      <c r="D143" s="873"/>
      <c r="E143" s="874"/>
      <c r="F143" s="875">
        <v>100.5</v>
      </c>
      <c r="G143" s="873"/>
      <c r="H143" s="876"/>
      <c r="I143" s="1938" t="s">
        <v>1760</v>
      </c>
      <c r="J143" s="873">
        <v>15</v>
      </c>
      <c r="K143" s="878">
        <f>ROUND(100+(J143-J140)*K139*100,1)</f>
        <v>102</v>
      </c>
    </row>
    <row r="144" spans="1:17" ht="15">
      <c r="B144" s="872">
        <v>1</v>
      </c>
      <c r="C144" s="873">
        <v>98</v>
      </c>
      <c r="D144" s="1939" t="s">
        <v>1761</v>
      </c>
      <c r="E144" s="874">
        <v>102</v>
      </c>
      <c r="F144" s="880">
        <v>100</v>
      </c>
      <c r="G144" s="1939" t="s">
        <v>1761</v>
      </c>
      <c r="H144" s="876">
        <v>105</v>
      </c>
      <c r="I144" s="1938" t="s">
        <v>1760</v>
      </c>
      <c r="J144" s="873">
        <v>18</v>
      </c>
      <c r="K144" s="878">
        <f>ROUND(100+(J144-J140)*K139*100,1)</f>
        <v>103.2</v>
      </c>
    </row>
    <row r="145" spans="2:11" ht="15.75" thickBot="1">
      <c r="B145" s="1940" t="s">
        <v>1762</v>
      </c>
      <c r="C145" s="881">
        <f>ROUND(MAX(C139:C144)/MIN(C139:C144)-1,3)</f>
        <v>7.2999999999999995E-2</v>
      </c>
      <c r="D145" s="882"/>
      <c r="E145" s="882"/>
      <c r="F145" s="1941" t="s">
        <v>1763</v>
      </c>
      <c r="G145" s="1942"/>
      <c r="H145" s="1943"/>
      <c r="I145" s="1944" t="s">
        <v>1760</v>
      </c>
      <c r="J145" s="883">
        <v>8</v>
      </c>
      <c r="K145" s="884">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16"/>
      <c r="F1" s="1877"/>
      <c r="G1" s="1233" t="s">
        <v>1767</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4"/>
      <c r="M2" s="2725"/>
      <c r="N2" s="2725"/>
      <c r="O2" s="2725"/>
      <c r="P2" s="1948"/>
      <c r="Q2" s="911"/>
      <c r="R2" s="911"/>
      <c r="S2" s="911"/>
      <c r="T2" s="911"/>
      <c r="U2" s="911"/>
      <c r="V2" s="911"/>
      <c r="W2" s="911"/>
      <c r="X2" s="911"/>
      <c r="Y2" s="911"/>
      <c r="Z2" s="911"/>
      <c r="AA2" s="911"/>
      <c r="AB2" s="911"/>
      <c r="AC2" s="1949"/>
    </row>
    <row r="3" spans="1:29" s="352" customFormat="1" ht="28.5" customHeight="1" thickBot="1">
      <c r="A3" s="203" t="s">
        <v>1464</v>
      </c>
      <c r="B3" s="558">
        <f>IF(C2="——",C49,ROUND(B2*10000/D3,0))</f>
        <v>0</v>
      </c>
      <c r="C3" s="354" t="s">
        <v>1768</v>
      </c>
      <c r="D3" s="353">
        <f>IF(D1="",'数据-汇总表'!E3,SUMIF('数据-汇总表'!$C19:$C33,D1,'数据-汇总表'!$E19:$E33))</f>
        <v>35356.130000000005</v>
      </c>
      <c r="E3" s="1950"/>
      <c r="F3" s="908"/>
      <c r="G3" s="907"/>
      <c r="H3" s="907"/>
      <c r="I3" s="907"/>
      <c r="J3" s="907"/>
      <c r="K3" s="909"/>
      <c r="L3" s="2724"/>
      <c r="M3" s="2725"/>
      <c r="N3" s="2725"/>
      <c r="O3" s="2725"/>
      <c r="P3" s="1948"/>
      <c r="Q3" s="911"/>
      <c r="R3" s="911"/>
      <c r="S3" s="911"/>
      <c r="T3" s="911"/>
      <c r="U3" s="911"/>
      <c r="V3" s="911"/>
      <c r="W3" s="911"/>
      <c r="X3" s="911"/>
      <c r="Y3" s="911"/>
      <c r="Z3" s="911"/>
      <c r="AA3" s="911"/>
      <c r="AB3" s="911"/>
      <c r="AC3" s="1950"/>
    </row>
    <row r="4" spans="1:29" ht="15">
      <c r="A4" s="355" t="s">
        <v>1769</v>
      </c>
      <c r="B4" s="356"/>
      <c r="C4" s="3806" t="s">
        <v>1770</v>
      </c>
      <c r="D4" s="3807"/>
      <c r="E4" s="3808" t="s">
        <v>1771</v>
      </c>
      <c r="F4" s="3809"/>
      <c r="G4" s="3806" t="s">
        <v>1772</v>
      </c>
      <c r="H4" s="3807"/>
      <c r="I4" s="3806" t="s">
        <v>1773</v>
      </c>
      <c r="J4" s="3807"/>
      <c r="K4" s="559" t="s">
        <v>1774</v>
      </c>
      <c r="L4" s="2705"/>
      <c r="M4" s="2706"/>
      <c r="N4" s="2706"/>
      <c r="O4" s="2706"/>
      <c r="P4" s="3810" t="s">
        <v>1775</v>
      </c>
      <c r="Q4" s="3811"/>
      <c r="R4" s="3792" t="s">
        <v>1771</v>
      </c>
      <c r="S4" s="3793"/>
      <c r="T4" s="3792" t="s">
        <v>1772</v>
      </c>
      <c r="U4" s="3793"/>
      <c r="V4" s="3818" t="s">
        <v>1773</v>
      </c>
      <c r="W4" s="3818"/>
      <c r="X4" s="1353"/>
      <c r="Y4" s="3792" t="s">
        <v>1775</v>
      </c>
      <c r="Z4" s="3793"/>
      <c r="AA4" s="3787" t="s">
        <v>1771</v>
      </c>
      <c r="AB4" s="3818" t="s">
        <v>1772</v>
      </c>
      <c r="AC4" s="3787" t="s">
        <v>1773</v>
      </c>
    </row>
    <row r="5" spans="1:29" ht="15">
      <c r="A5" s="358"/>
      <c r="B5" s="359"/>
      <c r="C5" s="3802" t="s">
        <v>1673</v>
      </c>
      <c r="D5" s="3799"/>
      <c r="E5" s="3796" t="s">
        <v>1674</v>
      </c>
      <c r="F5" s="3797"/>
      <c r="G5" s="3802" t="s">
        <v>1675</v>
      </c>
      <c r="H5" s="3799"/>
      <c r="I5" s="3802" t="s">
        <v>1676</v>
      </c>
      <c r="J5" s="3799"/>
      <c r="K5" s="559"/>
      <c r="L5" s="2705"/>
      <c r="M5" s="2706"/>
      <c r="N5" s="2706"/>
      <c r="O5" s="2706"/>
      <c r="P5" s="3812"/>
      <c r="Q5" s="3813"/>
      <c r="R5" s="3794"/>
      <c r="S5" s="3795"/>
      <c r="T5" s="3794"/>
      <c r="U5" s="3795"/>
      <c r="V5" s="3818"/>
      <c r="W5" s="3818"/>
      <c r="X5" s="1353"/>
      <c r="Y5" s="3794"/>
      <c r="Z5" s="3795"/>
      <c r="AA5" s="3788"/>
      <c r="AB5" s="3818"/>
      <c r="AC5" s="3788"/>
    </row>
    <row r="6" spans="1:29" ht="15.75" thickBot="1">
      <c r="A6" s="360"/>
      <c r="B6" s="361"/>
      <c r="C6" s="3800" t="s">
        <v>1677</v>
      </c>
      <c r="D6" s="3801"/>
      <c r="E6" s="3803" t="s">
        <v>1677</v>
      </c>
      <c r="F6" s="3804"/>
      <c r="G6" s="3800" t="s">
        <v>1677</v>
      </c>
      <c r="H6" s="3801"/>
      <c r="I6" s="3800" t="s">
        <v>1677</v>
      </c>
      <c r="J6" s="3801"/>
      <c r="K6" s="559" t="s">
        <v>1678</v>
      </c>
      <c r="L6" s="2705"/>
      <c r="M6" s="2706"/>
      <c r="N6" s="2706"/>
      <c r="O6" s="2706"/>
      <c r="P6" s="3814"/>
      <c r="Q6" s="3815"/>
      <c r="R6" s="3794"/>
      <c r="S6" s="3795"/>
      <c r="T6" s="3816"/>
      <c r="U6" s="3817"/>
      <c r="V6" s="3818"/>
      <c r="W6" s="3818"/>
      <c r="X6" s="1353"/>
      <c r="Y6" s="3816"/>
      <c r="Z6" s="3817"/>
      <c r="AA6" s="3789"/>
      <c r="AB6" s="3818"/>
      <c r="AC6" s="37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7"/>
      <c r="M7" s="2708"/>
      <c r="N7" s="2708"/>
      <c r="O7" s="2708"/>
      <c r="P7" s="3790" t="s">
        <v>1680</v>
      </c>
      <c r="Q7" s="3819"/>
      <c r="R7" s="701" t="s">
        <v>14</v>
      </c>
      <c r="S7" s="702">
        <f t="shared" ref="S7:S15" si="0">F7</f>
        <v>0</v>
      </c>
      <c r="T7" s="701" t="s">
        <v>14</v>
      </c>
      <c r="U7" s="702">
        <f t="shared" ref="U7:U15" si="1">H7</f>
        <v>0</v>
      </c>
      <c r="V7" s="701" t="s">
        <v>14</v>
      </c>
      <c r="W7" s="702">
        <f t="shared" ref="W7:W15" si="2">J7</f>
        <v>0</v>
      </c>
      <c r="X7" s="703"/>
      <c r="Y7" s="3790" t="s">
        <v>1680</v>
      </c>
      <c r="Z7" s="37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7"/>
      <c r="M8" s="2708"/>
      <c r="N8" s="2708"/>
      <c r="O8" s="2708"/>
      <c r="P8" s="3790" t="s">
        <v>1683</v>
      </c>
      <c r="Q8" s="3791"/>
      <c r="R8" s="701" t="s">
        <v>14</v>
      </c>
      <c r="S8" s="702">
        <f t="shared" si="0"/>
        <v>100</v>
      </c>
      <c r="T8" s="701" t="s">
        <v>14</v>
      </c>
      <c r="U8" s="702">
        <f t="shared" si="1"/>
        <v>100</v>
      </c>
      <c r="V8" s="701" t="s">
        <v>14</v>
      </c>
      <c r="W8" s="702">
        <f t="shared" si="2"/>
        <v>100</v>
      </c>
      <c r="X8" s="703"/>
      <c r="Y8" s="3790" t="s">
        <v>1683</v>
      </c>
      <c r="Z8" s="37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7"/>
      <c r="M9" s="2708"/>
      <c r="N9" s="2708"/>
      <c r="O9" s="2708"/>
      <c r="P9" s="3829"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829"/>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1"/>
      <c r="M11" s="2706"/>
      <c r="N11" s="2706"/>
      <c r="O11" s="2706"/>
      <c r="P11" s="3829"/>
      <c r="Q11" s="1341" t="str">
        <f t="shared" si="6"/>
        <v>容积率</v>
      </c>
      <c r="R11" s="701" t="s">
        <v>14</v>
      </c>
      <c r="S11" s="702" t="e">
        <f t="shared" si="0"/>
        <v>#N/A</v>
      </c>
      <c r="T11" s="701" t="s">
        <v>14</v>
      </c>
      <c r="U11" s="702" t="e">
        <f t="shared" si="1"/>
        <v>#N/A</v>
      </c>
      <c r="V11" s="701" t="s">
        <v>14</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829"/>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829"/>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829"/>
      <c r="Q14" s="1341">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15">
      <c r="A15" s="391" t="s">
        <v>1690</v>
      </c>
      <c r="B15" s="61" t="s">
        <v>1777</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2"/>
      <c r="M15" s="2706"/>
      <c r="N15" s="2706"/>
      <c r="O15" s="2706"/>
      <c r="P15" s="3862" t="s">
        <v>1691</v>
      </c>
      <c r="Q15" s="1350" t="str">
        <f t="shared" si="6"/>
        <v>商业繁华度</v>
      </c>
      <c r="R15" s="705" t="s">
        <v>14</v>
      </c>
      <c r="S15" s="706">
        <f t="shared" si="0"/>
        <v>100</v>
      </c>
      <c r="T15" s="705" t="s">
        <v>14</v>
      </c>
      <c r="U15" s="706">
        <f t="shared" si="1"/>
        <v>100</v>
      </c>
      <c r="V15" s="705" t="s">
        <v>14</v>
      </c>
      <c r="W15" s="706">
        <f t="shared" si="2"/>
        <v>100</v>
      </c>
      <c r="X15" s="1353"/>
      <c r="Y15" s="382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2"/>
      <c r="M16" s="2706"/>
      <c r="N16" s="2706"/>
      <c r="O16" s="2706"/>
      <c r="P16" s="3863"/>
      <c r="Q16" s="1350"/>
      <c r="R16" s="705"/>
      <c r="S16" s="706"/>
      <c r="T16" s="705"/>
      <c r="U16" s="706"/>
      <c r="V16" s="705"/>
      <c r="W16" s="706"/>
      <c r="X16" s="1353"/>
      <c r="Y16" s="3821"/>
      <c r="Z16" s="1354"/>
      <c r="AA16" s="1351">
        <v>1</v>
      </c>
      <c r="AB16" s="1351">
        <v>1</v>
      </c>
      <c r="AC16" s="1351">
        <v>1</v>
      </c>
    </row>
    <row r="17" spans="1:29" ht="15">
      <c r="A17" s="379"/>
      <c r="B17" s="402" t="s">
        <v>1259</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2"/>
      <c r="M17" s="2706"/>
      <c r="N17" s="2706"/>
      <c r="O17" s="2706"/>
      <c r="P17" s="3863"/>
      <c r="Q17" s="1350" t="str">
        <f>B17</f>
        <v>交通便捷度</v>
      </c>
      <c r="R17" s="705" t="s">
        <v>14</v>
      </c>
      <c r="S17" s="706">
        <f>F17</f>
        <v>100</v>
      </c>
      <c r="T17" s="705" t="s">
        <v>14</v>
      </c>
      <c r="U17" s="706">
        <f>H17</f>
        <v>100</v>
      </c>
      <c r="V17" s="705" t="s">
        <v>14</v>
      </c>
      <c r="W17" s="706">
        <f>J17</f>
        <v>100</v>
      </c>
      <c r="X17" s="1353"/>
      <c r="Y17" s="382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2"/>
      <c r="M18" s="2706"/>
      <c r="N18" s="2706"/>
      <c r="O18" s="2706"/>
      <c r="P18" s="3863"/>
      <c r="Q18" s="1350"/>
      <c r="R18" s="705"/>
      <c r="S18" s="706"/>
      <c r="T18" s="705"/>
      <c r="U18" s="706"/>
      <c r="V18" s="705"/>
      <c r="W18" s="706"/>
      <c r="X18" s="1353"/>
      <c r="Y18" s="3821"/>
      <c r="Z18" s="1354"/>
      <c r="AA18" s="1351">
        <v>1</v>
      </c>
      <c r="AB18" s="1351">
        <v>1</v>
      </c>
      <c r="AC18" s="1351">
        <v>1</v>
      </c>
    </row>
    <row r="19" spans="1:29" ht="15">
      <c r="A19" s="379"/>
      <c r="B19" s="402" t="s">
        <v>1778</v>
      </c>
      <c r="C19" s="1898"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2"/>
      <c r="M19" s="2706"/>
      <c r="N19" s="2706"/>
      <c r="O19" s="2706"/>
      <c r="P19" s="3863"/>
      <c r="Q19" s="1350" t="str">
        <f>B19</f>
        <v>公共配套设施</v>
      </c>
      <c r="R19" s="705" t="s">
        <v>14</v>
      </c>
      <c r="S19" s="706">
        <f>F19</f>
        <v>100</v>
      </c>
      <c r="T19" s="705" t="s">
        <v>14</v>
      </c>
      <c r="U19" s="706">
        <f>H19</f>
        <v>100</v>
      </c>
      <c r="V19" s="705" t="s">
        <v>14</v>
      </c>
      <c r="W19" s="706">
        <f>J19</f>
        <v>100</v>
      </c>
      <c r="X19" s="1353"/>
      <c r="Y19" s="382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2"/>
      <c r="M20" s="2706"/>
      <c r="N20" s="2706"/>
      <c r="O20" s="2706"/>
      <c r="P20" s="3863"/>
      <c r="Q20" s="1350"/>
      <c r="R20" s="705"/>
      <c r="S20" s="706"/>
      <c r="T20" s="705"/>
      <c r="U20" s="706"/>
      <c r="V20" s="705"/>
      <c r="W20" s="706"/>
      <c r="X20" s="1353"/>
      <c r="Y20" s="3821"/>
      <c r="Z20" s="1354"/>
      <c r="AA20" s="1351">
        <v>1</v>
      </c>
      <c r="AB20" s="1351">
        <v>1</v>
      </c>
      <c r="AC20" s="1351">
        <v>1</v>
      </c>
    </row>
    <row r="21" spans="1:29" ht="15">
      <c r="A21" s="379"/>
      <c r="B21" s="1130"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2"/>
      <c r="M21" s="2706"/>
      <c r="N21" s="2706"/>
      <c r="O21" s="2706"/>
      <c r="P21" s="3863"/>
      <c r="Q21" s="1350" t="str">
        <f>B21</f>
        <v>基础设施水平</v>
      </c>
      <c r="R21" s="705" t="s">
        <v>14</v>
      </c>
      <c r="S21" s="706">
        <f>F21</f>
        <v>100</v>
      </c>
      <c r="T21" s="705" t="s">
        <v>14</v>
      </c>
      <c r="U21" s="706">
        <f>H21</f>
        <v>100</v>
      </c>
      <c r="V21" s="705" t="s">
        <v>14</v>
      </c>
      <c r="W21" s="706">
        <f>J21</f>
        <v>100</v>
      </c>
      <c r="X21" s="1353"/>
      <c r="Y21" s="382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2"/>
      <c r="M22" s="2706"/>
      <c r="N22" s="2706"/>
      <c r="O22" s="2706"/>
      <c r="P22" s="3863"/>
      <c r="Q22" s="1350"/>
      <c r="R22" s="705"/>
      <c r="S22" s="706"/>
      <c r="T22" s="705"/>
      <c r="U22" s="706"/>
      <c r="V22" s="705"/>
      <c r="W22" s="706"/>
      <c r="X22" s="1353"/>
      <c r="Y22" s="3821"/>
      <c r="Z22" s="1354"/>
      <c r="AA22" s="1351">
        <v>1</v>
      </c>
      <c r="AB22" s="1351">
        <v>1</v>
      </c>
      <c r="AC22" s="1351">
        <v>1</v>
      </c>
    </row>
    <row r="23" spans="1:29" ht="15">
      <c r="A23" s="379"/>
      <c r="B23" s="402" t="s">
        <v>1261</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2"/>
      <c r="M23" s="2706"/>
      <c r="N23" s="2706"/>
      <c r="O23" s="2706"/>
      <c r="P23" s="3863"/>
      <c r="Q23" s="1350" t="str">
        <f>B23</f>
        <v>自然及人文环境</v>
      </c>
      <c r="R23" s="705" t="s">
        <v>14</v>
      </c>
      <c r="S23" s="706">
        <f>F23</f>
        <v>100</v>
      </c>
      <c r="T23" s="705" t="s">
        <v>14</v>
      </c>
      <c r="U23" s="706">
        <f>H23</f>
        <v>100</v>
      </c>
      <c r="V23" s="705" t="s">
        <v>14</v>
      </c>
      <c r="W23" s="706">
        <f>J23</f>
        <v>100</v>
      </c>
      <c r="X23" s="1353"/>
      <c r="Y23" s="382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2"/>
      <c r="M24" s="2706"/>
      <c r="N24" s="2706"/>
      <c r="O24" s="2706"/>
      <c r="P24" s="3863"/>
      <c r="Q24" s="1350"/>
      <c r="R24" s="705"/>
      <c r="S24" s="706"/>
      <c r="T24" s="705"/>
      <c r="U24" s="706"/>
      <c r="V24" s="705"/>
      <c r="W24" s="706"/>
      <c r="X24" s="1353"/>
      <c r="Y24" s="382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2"/>
      <c r="M25" s="2706"/>
      <c r="N25" s="2706"/>
      <c r="O25" s="2706"/>
      <c r="P25" s="3863"/>
      <c r="Q25" s="1350" t="str">
        <f t="shared" ref="Q25:Q46" si="11">B25</f>
        <v>临街状况</v>
      </c>
      <c r="R25" s="705" t="s">
        <v>14</v>
      </c>
      <c r="S25" s="706">
        <f>F25</f>
        <v>100</v>
      </c>
      <c r="T25" s="705" t="s">
        <v>14</v>
      </c>
      <c r="U25" s="706">
        <f>H25</f>
        <v>100</v>
      </c>
      <c r="V25" s="705" t="s">
        <v>14</v>
      </c>
      <c r="W25" s="706">
        <f>J25</f>
        <v>100</v>
      </c>
      <c r="X25" s="1353"/>
      <c r="Y25" s="3821"/>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63"/>
      <c r="Q26" s="1350" t="str">
        <f t="shared" si="11"/>
        <v>平面位置/可视性</v>
      </c>
      <c r="R26" s="705" t="s">
        <v>14</v>
      </c>
      <c r="S26" s="706">
        <f>F26</f>
        <v>100</v>
      </c>
      <c r="T26" s="705" t="s">
        <v>14</v>
      </c>
      <c r="U26" s="706">
        <f>H26</f>
        <v>100</v>
      </c>
      <c r="V26" s="705" t="s">
        <v>14</v>
      </c>
      <c r="W26" s="706">
        <f>J26</f>
        <v>100</v>
      </c>
      <c r="X26" s="1353"/>
      <c r="Y26" s="3821"/>
      <c r="Z26" s="1354" t="str">
        <f>Q26</f>
        <v>平面位置/可视性</v>
      </c>
      <c r="AA26" s="1351">
        <f t="shared" si="3"/>
        <v>1</v>
      </c>
      <c r="AB26" s="1351">
        <f t="shared" si="4"/>
        <v>1</v>
      </c>
      <c r="AC26" s="1351">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07"/>
      <c r="M27" s="2708"/>
      <c r="N27" s="2708"/>
      <c r="O27" s="2708"/>
      <c r="P27" s="3863"/>
      <c r="Q27" s="1341" t="str">
        <f t="shared" si="11"/>
        <v>人流量</v>
      </c>
      <c r="R27" s="701" t="s">
        <v>14</v>
      </c>
      <c r="S27" s="702">
        <f>F27</f>
        <v>100</v>
      </c>
      <c r="T27" s="701" t="s">
        <v>14</v>
      </c>
      <c r="U27" s="702">
        <f>H27</f>
        <v>100</v>
      </c>
      <c r="V27" s="701" t="s">
        <v>14</v>
      </c>
      <c r="W27" s="702">
        <f>J27</f>
        <v>100</v>
      </c>
      <c r="X27" s="703"/>
      <c r="Y27" s="382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63"/>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821"/>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63"/>
      <c r="Q29" s="1350">
        <f t="shared" si="11"/>
        <v>111</v>
      </c>
      <c r="R29" s="705" t="s">
        <v>14</v>
      </c>
      <c r="S29" s="706">
        <f t="shared" si="12"/>
        <v>100</v>
      </c>
      <c r="T29" s="705" t="s">
        <v>14</v>
      </c>
      <c r="U29" s="706">
        <f t="shared" si="13"/>
        <v>100</v>
      </c>
      <c r="V29" s="705" t="s">
        <v>14</v>
      </c>
      <c r="W29" s="706">
        <f t="shared" si="14"/>
        <v>100</v>
      </c>
      <c r="X29" s="1353"/>
      <c r="Y29" s="3821"/>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63"/>
      <c r="Q30" s="1350">
        <f t="shared" si="11"/>
        <v>111</v>
      </c>
      <c r="R30" s="705" t="s">
        <v>14</v>
      </c>
      <c r="S30" s="706">
        <f t="shared" si="12"/>
        <v>100</v>
      </c>
      <c r="T30" s="705" t="s">
        <v>14</v>
      </c>
      <c r="U30" s="706">
        <f t="shared" si="13"/>
        <v>100</v>
      </c>
      <c r="V30" s="705" t="s">
        <v>14</v>
      </c>
      <c r="W30" s="706">
        <f t="shared" si="14"/>
        <v>100</v>
      </c>
      <c r="X30" s="1353"/>
      <c r="Y30" s="3821"/>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63"/>
      <c r="Q31" s="1350">
        <f t="shared" si="11"/>
        <v>111</v>
      </c>
      <c r="R31" s="705" t="s">
        <v>14</v>
      </c>
      <c r="S31" s="706">
        <f t="shared" si="12"/>
        <v>100</v>
      </c>
      <c r="T31" s="705" t="s">
        <v>14</v>
      </c>
      <c r="U31" s="706">
        <f t="shared" si="13"/>
        <v>100</v>
      </c>
      <c r="V31" s="705" t="s">
        <v>14</v>
      </c>
      <c r="W31" s="706">
        <f t="shared" si="14"/>
        <v>100</v>
      </c>
      <c r="X31" s="1353"/>
      <c r="Y31" s="382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2"/>
      <c r="M32" s="2706"/>
      <c r="N32" s="2706"/>
      <c r="O32" s="2706"/>
      <c r="P32" s="3858" t="s">
        <v>1696</v>
      </c>
      <c r="Q32" s="1350" t="str">
        <f t="shared" si="11"/>
        <v>商业类型</v>
      </c>
      <c r="R32" s="705" t="s">
        <v>14</v>
      </c>
      <c r="S32" s="706">
        <f t="shared" si="12"/>
        <v>100</v>
      </c>
      <c r="T32" s="705" t="s">
        <v>14</v>
      </c>
      <c r="U32" s="706">
        <f t="shared" si="13"/>
        <v>100</v>
      </c>
      <c r="V32" s="705" t="s">
        <v>14</v>
      </c>
      <c r="W32" s="706">
        <f t="shared" si="14"/>
        <v>100</v>
      </c>
      <c r="X32" s="1353"/>
      <c r="Y32" s="382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1"/>
      <c r="M33" s="2713"/>
      <c r="N33" s="2713"/>
      <c r="O33" s="2713"/>
      <c r="P33" s="3859"/>
      <c r="Q33" s="707" t="str">
        <f t="shared" si="11"/>
        <v>项目建筑规模</v>
      </c>
      <c r="R33" s="708" t="s">
        <v>14</v>
      </c>
      <c r="S33" s="709" t="e">
        <f t="shared" si="12"/>
        <v>#N/A</v>
      </c>
      <c r="T33" s="708" t="s">
        <v>14</v>
      </c>
      <c r="U33" s="709" t="e">
        <f t="shared" si="13"/>
        <v>#N/A</v>
      </c>
      <c r="V33" s="708" t="s">
        <v>14</v>
      </c>
      <c r="W33" s="709" t="e">
        <f t="shared" si="14"/>
        <v>#N/A</v>
      </c>
      <c r="X33" s="710"/>
      <c r="Y33" s="3823"/>
      <c r="Z33" s="711" t="str">
        <f t="shared" si="15"/>
        <v>项目建筑规模</v>
      </c>
      <c r="AA33" s="1351" t="e">
        <f t="shared" si="3"/>
        <v>#N/A</v>
      </c>
      <c r="AB33" s="1351" t="e">
        <f t="shared" si="4"/>
        <v>#N/A</v>
      </c>
      <c r="AC33" s="1351"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2"/>
      <c r="M34" s="2706"/>
      <c r="N34" s="2706"/>
      <c r="O34" s="2706"/>
      <c r="P34" s="3859"/>
      <c r="Q34" s="1350" t="str">
        <f t="shared" si="11"/>
        <v>建筑结构</v>
      </c>
      <c r="R34" s="705" t="s">
        <v>14</v>
      </c>
      <c r="S34" s="706">
        <f t="shared" si="12"/>
        <v>100</v>
      </c>
      <c r="T34" s="705" t="s">
        <v>14</v>
      </c>
      <c r="U34" s="706">
        <f t="shared" si="13"/>
        <v>100</v>
      </c>
      <c r="V34" s="705" t="s">
        <v>14</v>
      </c>
      <c r="W34" s="706">
        <f t="shared" si="14"/>
        <v>100</v>
      </c>
      <c r="X34" s="1353"/>
      <c r="Y34" s="382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2"/>
      <c r="M35" s="2706"/>
      <c r="N35" s="2706"/>
      <c r="O35" s="2706"/>
      <c r="P35" s="3859"/>
      <c r="Q35" s="1350" t="str">
        <f t="shared" si="11"/>
        <v>公共部分装修</v>
      </c>
      <c r="R35" s="705" t="s">
        <v>14</v>
      </c>
      <c r="S35" s="706">
        <f t="shared" si="12"/>
        <v>100</v>
      </c>
      <c r="T35" s="705" t="s">
        <v>14</v>
      </c>
      <c r="U35" s="706">
        <f t="shared" si="13"/>
        <v>100</v>
      </c>
      <c r="V35" s="705" t="s">
        <v>14</v>
      </c>
      <c r="W35" s="706">
        <f t="shared" si="14"/>
        <v>100</v>
      </c>
      <c r="X35" s="1353"/>
      <c r="Y35" s="382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2"/>
      <c r="M36" s="2706"/>
      <c r="N36" s="2706"/>
      <c r="O36" s="2706"/>
      <c r="P36" s="3859"/>
      <c r="Q36" s="1350" t="str">
        <f t="shared" si="11"/>
        <v>成新度</v>
      </c>
      <c r="R36" s="705" t="s">
        <v>14</v>
      </c>
      <c r="S36" s="706" t="e">
        <f t="shared" si="12"/>
        <v>#N/A</v>
      </c>
      <c r="T36" s="705" t="s">
        <v>14</v>
      </c>
      <c r="U36" s="706" t="e">
        <f t="shared" si="13"/>
        <v>#N/A</v>
      </c>
      <c r="V36" s="705" t="s">
        <v>14</v>
      </c>
      <c r="W36" s="706" t="e">
        <f t="shared" si="14"/>
        <v>#N/A</v>
      </c>
      <c r="X36" s="1353"/>
      <c r="Y36" s="382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07"/>
      <c r="M37" s="2708"/>
      <c r="N37" s="2708"/>
      <c r="O37" s="2708"/>
      <c r="P37" s="3859"/>
      <c r="Q37" s="1341" t="str">
        <f t="shared" si="11"/>
        <v>市政基础设施</v>
      </c>
      <c r="R37" s="701" t="s">
        <v>14</v>
      </c>
      <c r="S37" s="702">
        <f t="shared" si="12"/>
        <v>100</v>
      </c>
      <c r="T37" s="701" t="s">
        <v>14</v>
      </c>
      <c r="U37" s="702">
        <f t="shared" si="13"/>
        <v>100</v>
      </c>
      <c r="V37" s="701" t="s">
        <v>14</v>
      </c>
      <c r="W37" s="702">
        <f t="shared" si="14"/>
        <v>100</v>
      </c>
      <c r="X37" s="703"/>
      <c r="Y37" s="382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2"/>
      <c r="M38" s="2706"/>
      <c r="N38" s="2706"/>
      <c r="O38" s="2706"/>
      <c r="P38" s="3859" t="s">
        <v>1696</v>
      </c>
      <c r="Q38" s="1350" t="str">
        <f t="shared" si="11"/>
        <v>业态</v>
      </c>
      <c r="R38" s="705" t="s">
        <v>14</v>
      </c>
      <c r="S38" s="706">
        <f t="shared" si="12"/>
        <v>100</v>
      </c>
      <c r="T38" s="705" t="s">
        <v>14</v>
      </c>
      <c r="U38" s="706">
        <f t="shared" si="13"/>
        <v>100</v>
      </c>
      <c r="V38" s="705" t="s">
        <v>14</v>
      </c>
      <c r="W38" s="706">
        <f t="shared" si="14"/>
        <v>100</v>
      </c>
      <c r="X38" s="1353"/>
      <c r="Y38" s="382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2"/>
      <c r="M39" s="2706"/>
      <c r="N39" s="2706"/>
      <c r="O39" s="2706"/>
      <c r="P39" s="3859"/>
      <c r="Q39" s="1350" t="str">
        <f t="shared" si="11"/>
        <v>层高</v>
      </c>
      <c r="R39" s="705" t="s">
        <v>14</v>
      </c>
      <c r="S39" s="706">
        <f t="shared" si="12"/>
        <v>100</v>
      </c>
      <c r="T39" s="705" t="s">
        <v>14</v>
      </c>
      <c r="U39" s="706">
        <f t="shared" si="13"/>
        <v>100</v>
      </c>
      <c r="V39" s="705" t="s">
        <v>14</v>
      </c>
      <c r="W39" s="706">
        <f t="shared" si="14"/>
        <v>100</v>
      </c>
      <c r="X39" s="1353"/>
      <c r="Y39" s="382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2"/>
      <c r="M40" s="2706"/>
      <c r="N40" s="2706"/>
      <c r="O40" s="2706"/>
      <c r="P40" s="3859"/>
      <c r="Q40" s="1350" t="str">
        <f t="shared" si="11"/>
        <v>单套建筑面积</v>
      </c>
      <c r="R40" s="705" t="s">
        <v>14</v>
      </c>
      <c r="S40" s="706">
        <f t="shared" si="12"/>
        <v>100</v>
      </c>
      <c r="T40" s="705" t="s">
        <v>14</v>
      </c>
      <c r="U40" s="706">
        <f t="shared" si="13"/>
        <v>100</v>
      </c>
      <c r="V40" s="705" t="s">
        <v>14</v>
      </c>
      <c r="W40" s="706">
        <f t="shared" si="14"/>
        <v>100</v>
      </c>
      <c r="X40" s="1353"/>
      <c r="Y40" s="382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1"/>
      <c r="M41" s="2713"/>
      <c r="N41" s="2713"/>
      <c r="O41" s="2713"/>
      <c r="P41" s="3859"/>
      <c r="Q41" s="707" t="str">
        <f t="shared" si="11"/>
        <v>进深比</v>
      </c>
      <c r="R41" s="708" t="s">
        <v>14</v>
      </c>
      <c r="S41" s="709">
        <f t="shared" si="12"/>
        <v>100</v>
      </c>
      <c r="T41" s="708" t="s">
        <v>14</v>
      </c>
      <c r="U41" s="709">
        <f t="shared" si="13"/>
        <v>100</v>
      </c>
      <c r="V41" s="708" t="s">
        <v>14</v>
      </c>
      <c r="W41" s="709">
        <f t="shared" si="14"/>
        <v>100</v>
      </c>
      <c r="X41" s="710"/>
      <c r="Y41" s="382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2"/>
      <c r="M42" s="2706"/>
      <c r="N42" s="2706"/>
      <c r="O42" s="2706"/>
      <c r="P42" s="3859"/>
      <c r="Q42" s="1350" t="str">
        <f t="shared" si="11"/>
        <v>内部装修</v>
      </c>
      <c r="R42" s="705" t="s">
        <v>14</v>
      </c>
      <c r="S42" s="706">
        <f t="shared" si="12"/>
        <v>100</v>
      </c>
      <c r="T42" s="705" t="s">
        <v>14</v>
      </c>
      <c r="U42" s="706">
        <f t="shared" si="13"/>
        <v>100</v>
      </c>
      <c r="V42" s="705" t="s">
        <v>14</v>
      </c>
      <c r="W42" s="706">
        <f t="shared" si="14"/>
        <v>100</v>
      </c>
      <c r="X42" s="1353"/>
      <c r="Y42" s="382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2"/>
      <c r="M43" s="2706"/>
      <c r="N43" s="2706"/>
      <c r="O43" s="2706"/>
      <c r="P43" s="3859"/>
      <c r="Q43" s="1350" t="str">
        <f t="shared" si="11"/>
        <v>内部装修维护情况</v>
      </c>
      <c r="R43" s="705" t="s">
        <v>14</v>
      </c>
      <c r="S43" s="706">
        <f t="shared" si="12"/>
        <v>100</v>
      </c>
      <c r="T43" s="705" t="s">
        <v>14</v>
      </c>
      <c r="U43" s="706">
        <f t="shared" si="13"/>
        <v>100</v>
      </c>
      <c r="V43" s="705" t="s">
        <v>14</v>
      </c>
      <c r="W43" s="706">
        <f t="shared" si="14"/>
        <v>100</v>
      </c>
      <c r="X43" s="1353"/>
      <c r="Y43" s="382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59"/>
      <c r="Q44" s="1341">
        <f t="shared" si="11"/>
        <v>111</v>
      </c>
      <c r="R44" s="701" t="s">
        <v>14</v>
      </c>
      <c r="S44" s="702">
        <f t="shared" si="12"/>
        <v>100</v>
      </c>
      <c r="T44" s="701" t="s">
        <v>14</v>
      </c>
      <c r="U44" s="702">
        <f t="shared" si="13"/>
        <v>100</v>
      </c>
      <c r="V44" s="701" t="s">
        <v>14</v>
      </c>
      <c r="W44" s="702">
        <f t="shared" si="14"/>
        <v>100</v>
      </c>
      <c r="X44" s="703"/>
      <c r="Y44" s="382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59"/>
      <c r="Q45" s="1350">
        <f t="shared" si="11"/>
        <v>111</v>
      </c>
      <c r="R45" s="705" t="s">
        <v>14</v>
      </c>
      <c r="S45" s="706">
        <f t="shared" si="12"/>
        <v>100</v>
      </c>
      <c r="T45" s="705" t="s">
        <v>14</v>
      </c>
      <c r="U45" s="706">
        <f t="shared" si="13"/>
        <v>100</v>
      </c>
      <c r="V45" s="705" t="s">
        <v>14</v>
      </c>
      <c r="W45" s="706">
        <f t="shared" si="14"/>
        <v>100</v>
      </c>
      <c r="X45" s="1353"/>
      <c r="Y45" s="382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60"/>
      <c r="Q46" s="1350">
        <f t="shared" si="11"/>
        <v>111</v>
      </c>
      <c r="R46" s="705" t="s">
        <v>14</v>
      </c>
      <c r="S46" s="706">
        <f t="shared" si="12"/>
        <v>100</v>
      </c>
      <c r="T46" s="705" t="s">
        <v>14</v>
      </c>
      <c r="U46" s="706">
        <f t="shared" si="13"/>
        <v>100</v>
      </c>
      <c r="V46" s="705" t="s">
        <v>14</v>
      </c>
      <c r="W46" s="706">
        <f t="shared" si="14"/>
        <v>100</v>
      </c>
      <c r="X46" s="1353"/>
      <c r="Y46" s="3861"/>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14"/>
      <c r="M47" s="2715"/>
      <c r="N47" s="2706"/>
      <c r="O47" s="2715"/>
      <c r="P47" s="3805" t="str">
        <f>A47</f>
        <v>成交单价（元/平方米）</v>
      </c>
      <c r="Q47" s="3805"/>
      <c r="R47" s="3818">
        <f>E47</f>
        <v>0</v>
      </c>
      <c r="S47" s="3818"/>
      <c r="T47" s="3818">
        <f>G47</f>
        <v>0</v>
      </c>
      <c r="U47" s="3818"/>
      <c r="V47" s="3818">
        <f>I47</f>
        <v>0</v>
      </c>
      <c r="W47" s="3818"/>
      <c r="X47" s="690"/>
      <c r="Y47" s="712"/>
      <c r="Z47" s="690"/>
      <c r="AA47" s="690"/>
      <c r="AB47" s="690"/>
      <c r="AC47" s="690"/>
    </row>
    <row r="48" spans="1:29" ht="15.75" thickBot="1">
      <c r="A48" s="437" t="s">
        <v>1793</v>
      </c>
      <c r="B48" s="438"/>
      <c r="C48" s="1159" t="e">
        <f>R49</f>
        <v>#DIV/0!</v>
      </c>
      <c r="D48" s="2313" t="s">
        <v>2138</v>
      </c>
      <c r="E48" s="1160" t="e">
        <f>R48</f>
        <v>#DIV/0!</v>
      </c>
      <c r="F48" s="2314"/>
      <c r="G48" s="1159" t="e">
        <f>T48</f>
        <v>#DIV/0!</v>
      </c>
      <c r="H48" s="2314"/>
      <c r="I48" s="1160" t="e">
        <f>V48</f>
        <v>#DIV/0!</v>
      </c>
      <c r="J48" s="2314"/>
      <c r="K48" s="2316">
        <f>F48+H48+J48</f>
        <v>0</v>
      </c>
      <c r="L48" s="2714"/>
      <c r="M48" s="2715"/>
      <c r="N48" s="2706"/>
      <c r="O48" s="2715"/>
      <c r="P48" s="3805" t="str">
        <f>A48</f>
        <v>比较价值（元/平方米）</v>
      </c>
      <c r="Q48" s="3805"/>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4"/>
      <c r="M49" s="2715"/>
      <c r="N49" s="2706"/>
      <c r="O49" s="2715"/>
      <c r="P49" s="3825" t="str">
        <f>A49</f>
        <v>估价对象XX用房的比较价值（楼面单价，元/平方米）</v>
      </c>
      <c r="Q49" s="3826"/>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4" t="s">
        <v>1798</v>
      </c>
      <c r="B57" s="690"/>
      <c r="C57" s="695"/>
      <c r="D57" s="695"/>
      <c r="E57" s="695"/>
      <c r="F57" s="696"/>
      <c r="G57" s="696"/>
      <c r="H57" s="695"/>
      <c r="I57" s="695"/>
      <c r="J57" s="695"/>
      <c r="K57" s="697"/>
      <c r="L57" s="941"/>
      <c r="M57" s="939"/>
      <c r="N57" s="939"/>
      <c r="O57" s="939"/>
      <c r="P57" s="2728"/>
      <c r="Q57" s="2729"/>
      <c r="R57" s="2715"/>
      <c r="S57" s="2715"/>
      <c r="T57" s="2715"/>
      <c r="U57" s="2715"/>
      <c r="V57" s="2715"/>
      <c r="W57" s="2715"/>
      <c r="X57" s="2715"/>
      <c r="Y57" s="2715"/>
      <c r="Z57" s="2715"/>
      <c r="AA57" s="2715"/>
      <c r="AB57" s="2715"/>
      <c r="AC57" s="2715"/>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81">
        <v>100</v>
      </c>
      <c r="D59" s="461"/>
      <c r="E59" s="461"/>
      <c r="F59" s="461"/>
      <c r="G59" s="461"/>
      <c r="H59" s="461"/>
      <c r="I59" s="461"/>
      <c r="J59" s="461"/>
      <c r="K59" s="461"/>
      <c r="L59" s="461"/>
      <c r="M59" s="462"/>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1716</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1681</v>
      </c>
      <c r="B61" s="459"/>
      <c r="C61" s="471" t="s">
        <v>1776</v>
      </c>
      <c r="D61" s="472"/>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1719</v>
      </c>
      <c r="B63" s="477" t="s">
        <v>1685</v>
      </c>
      <c r="C63" s="478">
        <f>C9</f>
        <v>0</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1688</v>
      </c>
      <c r="C65" s="532"/>
      <c r="D65" s="532"/>
      <c r="E65" s="532"/>
      <c r="F65" s="532"/>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c r="D66" s="485"/>
      <c r="E66" s="485"/>
      <c r="F66" s="485"/>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c r="D68" s="498"/>
      <c r="E68" s="498"/>
      <c r="F68" s="498"/>
      <c r="G68" s="498"/>
      <c r="H68" s="498"/>
      <c r="I68" s="498"/>
      <c r="J68" s="498"/>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1690</v>
      </c>
      <c r="B76" s="477" t="s">
        <v>1720</v>
      </c>
      <c r="C76" s="522" t="s">
        <v>1721</v>
      </c>
      <c r="D76" s="522" t="s">
        <v>1722</v>
      </c>
      <c r="E76" s="522" t="s">
        <v>1723</v>
      </c>
      <c r="F76" s="522" t="s">
        <v>1724</v>
      </c>
      <c r="G76" s="522" t="s">
        <v>1725</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1726</v>
      </c>
      <c r="C78" s="527" t="s">
        <v>1721</v>
      </c>
      <c r="D78" s="527" t="s">
        <v>1722</v>
      </c>
      <c r="E78" s="527" t="s">
        <v>1723</v>
      </c>
      <c r="F78" s="527" t="s">
        <v>1724</v>
      </c>
      <c r="G78" s="527" t="s">
        <v>1725</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1727</v>
      </c>
      <c r="C80" s="527" t="s">
        <v>1721</v>
      </c>
      <c r="D80" s="527" t="s">
        <v>1722</v>
      </c>
      <c r="E80" s="527" t="s">
        <v>1723</v>
      </c>
      <c r="F80" s="527" t="s">
        <v>1724</v>
      </c>
      <c r="G80" s="527" t="s">
        <v>1725</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1779</v>
      </c>
      <c r="C82" s="608" t="s">
        <v>1799</v>
      </c>
      <c r="D82" s="608" t="s">
        <v>1800</v>
      </c>
      <c r="E82" s="608" t="s">
        <v>1801</v>
      </c>
      <c r="F82" s="608" t="s">
        <v>1802</v>
      </c>
      <c r="G82" s="608" t="s">
        <v>1803</v>
      </c>
      <c r="H82" s="488"/>
      <c r="I82" s="488"/>
      <c r="J82" s="488"/>
      <c r="K82" s="488"/>
      <c r="L82" s="488"/>
      <c r="M82" s="1128"/>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1733</v>
      </c>
      <c r="C84" s="527" t="s">
        <v>1721</v>
      </c>
      <c r="D84" s="527" t="s">
        <v>1722</v>
      </c>
      <c r="E84" s="527" t="s">
        <v>1723</v>
      </c>
      <c r="F84" s="527" t="s">
        <v>1724</v>
      </c>
      <c r="G84" s="527" t="s">
        <v>1725</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1804</v>
      </c>
      <c r="C86" s="503"/>
      <c r="D86" s="503"/>
      <c r="E86" s="503"/>
      <c r="F86" s="503"/>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503"/>
      <c r="D88" s="503"/>
      <c r="E88" s="503"/>
      <c r="F88" s="1923"/>
      <c r="G88" s="503"/>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c r="D89" s="485"/>
      <c r="E89" s="485"/>
      <c r="F89" s="485"/>
      <c r="G89" s="485"/>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503"/>
      <c r="D90" s="503"/>
      <c r="E90" s="503"/>
      <c r="F90" s="503"/>
      <c r="G90" s="503"/>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c r="D92" s="503"/>
      <c r="E92" s="503"/>
      <c r="F92" s="503"/>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c r="D93" s="485"/>
      <c r="E93" s="485"/>
      <c r="F93" s="485"/>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24"/>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1694</v>
      </c>
      <c r="B100" s="477" t="s">
        <v>1805</v>
      </c>
      <c r="C100" s="479"/>
      <c r="D100" s="479"/>
      <c r="E100" s="479"/>
      <c r="F100" s="479"/>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c r="D103" s="544"/>
      <c r="E103" s="544"/>
      <c r="F103" s="544"/>
      <c r="G103" s="544"/>
      <c r="H103" s="544"/>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c r="D104" s="485"/>
      <c r="E104" s="485"/>
      <c r="F104" s="485"/>
      <c r="G104" s="485"/>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1738</v>
      </c>
      <c r="C105" s="503"/>
      <c r="D105" s="503"/>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1740</v>
      </c>
      <c r="C107" s="503"/>
      <c r="D107" s="503"/>
      <c r="E107" s="503"/>
      <c r="F107" s="532"/>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1"/>
      <c r="J110" s="571"/>
      <c r="K110" s="572"/>
      <c r="L110" s="573"/>
      <c r="M110" s="574"/>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1742</v>
      </c>
      <c r="C112" s="503"/>
      <c r="D112" s="503"/>
      <c r="E112" s="503"/>
      <c r="F112" s="503"/>
      <c r="G112" s="503"/>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1806</v>
      </c>
      <c r="C114" s="503"/>
      <c r="D114" s="503"/>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1807</v>
      </c>
      <c r="C116" s="503"/>
      <c r="D116" s="503"/>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1808</v>
      </c>
      <c r="C118" s="575"/>
      <c r="D118" s="575"/>
      <c r="E118" s="575"/>
      <c r="F118" s="575"/>
      <c r="G118" s="575"/>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1809</v>
      </c>
      <c r="C120" s="532"/>
      <c r="D120" s="532"/>
      <c r="E120" s="532"/>
      <c r="F120" s="532"/>
      <c r="G120" s="504"/>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1744</v>
      </c>
      <c r="C122" s="503"/>
      <c r="D122" s="503"/>
      <c r="E122" s="503"/>
      <c r="F122" s="532"/>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1810</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35356.130000000005</v>
      </c>
      <c r="E3" s="1950"/>
      <c r="F3" s="908"/>
      <c r="G3" s="907"/>
      <c r="H3" s="907"/>
      <c r="I3" s="907"/>
      <c r="J3" s="907"/>
      <c r="K3" s="909"/>
      <c r="L3" s="2724"/>
      <c r="M3" s="2725"/>
      <c r="N3" s="2725"/>
      <c r="O3" s="2725"/>
      <c r="P3" s="699"/>
      <c r="Q3" s="699"/>
      <c r="R3" s="699"/>
      <c r="S3" s="699"/>
      <c r="T3" s="699"/>
      <c r="U3" s="699"/>
      <c r="V3" s="699"/>
      <c r="W3" s="699"/>
      <c r="X3" s="699"/>
      <c r="Y3" s="699"/>
      <c r="Z3" s="699"/>
      <c r="AA3" s="699"/>
      <c r="AB3" s="699"/>
      <c r="AC3" s="700"/>
    </row>
    <row r="4" spans="1:29" ht="15">
      <c r="A4" s="355" t="s">
        <v>1769</v>
      </c>
      <c r="B4" s="356"/>
      <c r="C4" s="3806" t="s">
        <v>1770</v>
      </c>
      <c r="D4" s="3807"/>
      <c r="E4" s="3808" t="s">
        <v>1771</v>
      </c>
      <c r="F4" s="3809"/>
      <c r="G4" s="3806" t="s">
        <v>1772</v>
      </c>
      <c r="H4" s="3807"/>
      <c r="I4" s="3806" t="s">
        <v>1773</v>
      </c>
      <c r="J4" s="3807"/>
      <c r="K4" s="559" t="s">
        <v>1774</v>
      </c>
      <c r="L4" s="2705"/>
      <c r="M4" s="2706"/>
      <c r="N4" s="2706"/>
      <c r="O4" s="2706"/>
      <c r="P4" s="3870" t="s">
        <v>1775</v>
      </c>
      <c r="Q4" s="3871"/>
      <c r="R4" s="3865" t="s">
        <v>1771</v>
      </c>
      <c r="S4" s="3866"/>
      <c r="T4" s="3865" t="s">
        <v>1772</v>
      </c>
      <c r="U4" s="3866"/>
      <c r="V4" s="3874" t="s">
        <v>1773</v>
      </c>
      <c r="W4" s="3874"/>
      <c r="X4" s="1954"/>
      <c r="Y4" s="3865" t="s">
        <v>1775</v>
      </c>
      <c r="Z4" s="3866"/>
      <c r="AA4" s="3864" t="s">
        <v>1771</v>
      </c>
      <c r="AB4" s="3864" t="s">
        <v>1772</v>
      </c>
      <c r="AC4" s="3867" t="s">
        <v>1773</v>
      </c>
    </row>
    <row r="5" spans="1:29" ht="15">
      <c r="A5" s="358"/>
      <c r="B5" s="359"/>
      <c r="C5" s="3802" t="s">
        <v>1673</v>
      </c>
      <c r="D5" s="3799"/>
      <c r="E5" s="3796" t="s">
        <v>1674</v>
      </c>
      <c r="F5" s="3797"/>
      <c r="G5" s="3802" t="s">
        <v>1675</v>
      </c>
      <c r="H5" s="3799"/>
      <c r="I5" s="3802" t="s">
        <v>1676</v>
      </c>
      <c r="J5" s="3799"/>
      <c r="K5" s="559"/>
      <c r="L5" s="2705"/>
      <c r="M5" s="2706"/>
      <c r="N5" s="2706"/>
      <c r="O5" s="2706"/>
      <c r="P5" s="3872"/>
      <c r="Q5" s="3813"/>
      <c r="R5" s="3794"/>
      <c r="S5" s="3795"/>
      <c r="T5" s="3794"/>
      <c r="U5" s="3795"/>
      <c r="V5" s="3818"/>
      <c r="W5" s="3818"/>
      <c r="X5" s="1353"/>
      <c r="Y5" s="3794"/>
      <c r="Z5" s="3795"/>
      <c r="AA5" s="3788"/>
      <c r="AB5" s="3788"/>
      <c r="AC5" s="3868"/>
    </row>
    <row r="6" spans="1:29" ht="15.75" thickBot="1">
      <c r="A6" s="360"/>
      <c r="B6" s="361"/>
      <c r="C6" s="3800" t="s">
        <v>1677</v>
      </c>
      <c r="D6" s="3801"/>
      <c r="E6" s="3803" t="s">
        <v>1677</v>
      </c>
      <c r="F6" s="3804"/>
      <c r="G6" s="3800" t="s">
        <v>1677</v>
      </c>
      <c r="H6" s="3801"/>
      <c r="I6" s="3800" t="s">
        <v>1677</v>
      </c>
      <c r="J6" s="3801"/>
      <c r="K6" s="559" t="s">
        <v>1678</v>
      </c>
      <c r="L6" s="2705"/>
      <c r="M6" s="2706"/>
      <c r="N6" s="2706"/>
      <c r="O6" s="2706"/>
      <c r="P6" s="3873"/>
      <c r="Q6" s="3815"/>
      <c r="R6" s="3794"/>
      <c r="S6" s="3795"/>
      <c r="T6" s="3816"/>
      <c r="U6" s="3817"/>
      <c r="V6" s="3818"/>
      <c r="W6" s="3818"/>
      <c r="X6" s="1353"/>
      <c r="Y6" s="3816"/>
      <c r="Z6" s="3817"/>
      <c r="AA6" s="3789"/>
      <c r="AB6" s="3789"/>
      <c r="AC6" s="3869"/>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7"/>
      <c r="M7" s="2708"/>
      <c r="N7" s="2708"/>
      <c r="O7" s="2708"/>
      <c r="P7" s="3875" t="s">
        <v>1680</v>
      </c>
      <c r="Q7" s="3819"/>
      <c r="R7" s="701" t="s">
        <v>14</v>
      </c>
      <c r="S7" s="702">
        <f t="shared" ref="S7:S15" si="0">F7</f>
        <v>0</v>
      </c>
      <c r="T7" s="701" t="s">
        <v>14</v>
      </c>
      <c r="U7" s="702">
        <f t="shared" ref="U7:U15" si="1">H7</f>
        <v>0</v>
      </c>
      <c r="V7" s="701" t="s">
        <v>14</v>
      </c>
      <c r="W7" s="702">
        <f t="shared" ref="W7:W15" si="2">J7</f>
        <v>0</v>
      </c>
      <c r="X7" s="703"/>
      <c r="Y7" s="3790" t="s">
        <v>1680</v>
      </c>
      <c r="Z7" s="3791"/>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75" t="s">
        <v>1683</v>
      </c>
      <c r="Q8" s="3791"/>
      <c r="R8" s="701" t="s">
        <v>14</v>
      </c>
      <c r="S8" s="702">
        <f t="shared" si="0"/>
        <v>100</v>
      </c>
      <c r="T8" s="701" t="s">
        <v>14</v>
      </c>
      <c r="U8" s="702">
        <f t="shared" si="1"/>
        <v>100</v>
      </c>
      <c r="V8" s="701" t="s">
        <v>14</v>
      </c>
      <c r="W8" s="702">
        <f t="shared" si="2"/>
        <v>100</v>
      </c>
      <c r="X8" s="703"/>
      <c r="Y8" s="3790" t="s">
        <v>1683</v>
      </c>
      <c r="Z8" s="379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829"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1955">
        <f t="shared" si="5"/>
        <v>1</v>
      </c>
    </row>
    <row r="10" spans="1:29" s="378" customFormat="1" ht="27">
      <c r="A10" s="374"/>
      <c r="B10" s="375" t="s">
        <v>1688</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829"/>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829"/>
      <c r="Q11" s="1341" t="str">
        <f t="shared" si="6"/>
        <v>容积率</v>
      </c>
      <c r="R11" s="701" t="s">
        <v>14</v>
      </c>
      <c r="S11" s="702">
        <f t="shared" si="0"/>
        <v>100</v>
      </c>
      <c r="T11" s="701" t="s">
        <v>14</v>
      </c>
      <c r="U11" s="702">
        <f t="shared" si="1"/>
        <v>100</v>
      </c>
      <c r="V11" s="701" t="s">
        <v>14</v>
      </c>
      <c r="W11" s="702">
        <f t="shared" si="2"/>
        <v>100</v>
      </c>
      <c r="X11" s="703"/>
      <c r="Y11" s="374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07"/>
      <c r="M12" s="2708"/>
      <c r="N12" s="2708"/>
      <c r="O12" s="2708"/>
      <c r="P12" s="3829"/>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2"/>
      <c r="M13" s="2706"/>
      <c r="N13" s="2706"/>
      <c r="O13" s="2706"/>
      <c r="P13" s="3829"/>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2"/>
      <c r="M14" s="2706"/>
      <c r="N14" s="2706"/>
      <c r="O14" s="2706"/>
      <c r="P14" s="3829"/>
      <c r="Q14" s="1341">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1955">
        <f t="shared" si="5"/>
        <v>1</v>
      </c>
    </row>
    <row r="15" spans="1:29" ht="15">
      <c r="A15" s="391" t="s">
        <v>1690</v>
      </c>
      <c r="B15" s="577" t="s">
        <v>1811</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62" t="s">
        <v>1691</v>
      </c>
      <c r="Q15" s="1350" t="str">
        <f t="shared" si="6"/>
        <v>办公集聚程度</v>
      </c>
      <c r="R15" s="705" t="s">
        <v>14</v>
      </c>
      <c r="S15" s="706">
        <f t="shared" si="0"/>
        <v>100</v>
      </c>
      <c r="T15" s="705" t="s">
        <v>14</v>
      </c>
      <c r="U15" s="706">
        <f t="shared" si="1"/>
        <v>100</v>
      </c>
      <c r="V15" s="705" t="s">
        <v>14</v>
      </c>
      <c r="W15" s="706">
        <f t="shared" si="2"/>
        <v>100</v>
      </c>
      <c r="X15" s="1353"/>
      <c r="Y15" s="3820" t="s">
        <v>1691</v>
      </c>
      <c r="Z15" s="1354" t="str">
        <f t="shared" si="7"/>
        <v>办公集聚程度</v>
      </c>
      <c r="AA15" s="1351">
        <f t="shared" si="3"/>
        <v>1</v>
      </c>
      <c r="AB15" s="1351">
        <f t="shared" si="4"/>
        <v>1</v>
      </c>
      <c r="AC15" s="1958">
        <f t="shared" si="5"/>
        <v>1</v>
      </c>
    </row>
    <row r="16" spans="1:29" ht="15">
      <c r="A16" s="379"/>
      <c r="B16" s="578"/>
      <c r="C16" s="1902"/>
      <c r="D16" s="399"/>
      <c r="E16" s="398"/>
      <c r="F16" s="399"/>
      <c r="G16" s="1902"/>
      <c r="H16" s="401"/>
      <c r="I16" s="398"/>
      <c r="J16" s="399"/>
      <c r="K16" s="564"/>
      <c r="L16" s="2712"/>
      <c r="M16" s="2706"/>
      <c r="N16" s="2706"/>
      <c r="O16" s="2706"/>
      <c r="P16" s="3863"/>
      <c r="Q16" s="1350"/>
      <c r="R16" s="705"/>
      <c r="S16" s="706"/>
      <c r="T16" s="705"/>
      <c r="U16" s="706"/>
      <c r="V16" s="705"/>
      <c r="W16" s="706"/>
      <c r="X16" s="1353"/>
      <c r="Y16" s="3821"/>
      <c r="Z16" s="1354"/>
      <c r="AA16" s="1351">
        <v>1</v>
      </c>
      <c r="AB16" s="1351">
        <v>1</v>
      </c>
      <c r="AC16" s="1958">
        <v>1</v>
      </c>
    </row>
    <row r="17" spans="1:29" ht="15">
      <c r="A17" s="379"/>
      <c r="B17" s="579" t="s">
        <v>1259</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63"/>
      <c r="Q17" s="1350" t="str">
        <f>B17</f>
        <v>交通便捷度</v>
      </c>
      <c r="R17" s="705" t="s">
        <v>14</v>
      </c>
      <c r="S17" s="706">
        <f>F17</f>
        <v>100</v>
      </c>
      <c r="T17" s="705" t="s">
        <v>14</v>
      </c>
      <c r="U17" s="706">
        <f>H17</f>
        <v>100</v>
      </c>
      <c r="V17" s="705" t="s">
        <v>14</v>
      </c>
      <c r="W17" s="706">
        <f>J17</f>
        <v>100</v>
      </c>
      <c r="X17" s="1353"/>
      <c r="Y17" s="3821"/>
      <c r="Z17" s="1354" t="str">
        <f>Q17</f>
        <v>交通便捷度</v>
      </c>
      <c r="AA17" s="1351">
        <f t="shared" si="3"/>
        <v>1</v>
      </c>
      <c r="AB17" s="1351">
        <f t="shared" si="4"/>
        <v>1</v>
      </c>
      <c r="AC17" s="1958">
        <f t="shared" si="5"/>
        <v>1</v>
      </c>
    </row>
    <row r="18" spans="1:29" ht="15">
      <c r="A18" s="379"/>
      <c r="B18" s="580"/>
      <c r="C18" s="1960"/>
      <c r="D18" s="401"/>
      <c r="E18" s="1900"/>
      <c r="F18" s="401"/>
      <c r="G18" s="1901"/>
      <c r="H18" s="399"/>
      <c r="I18" s="1901"/>
      <c r="J18" s="399"/>
      <c r="K18" s="564"/>
      <c r="L18" s="2712"/>
      <c r="M18" s="2706"/>
      <c r="N18" s="2706"/>
      <c r="O18" s="2706"/>
      <c r="P18" s="3863"/>
      <c r="Q18" s="1350"/>
      <c r="R18" s="705"/>
      <c r="S18" s="706"/>
      <c r="T18" s="705"/>
      <c r="U18" s="706"/>
      <c r="V18" s="705"/>
      <c r="W18" s="706"/>
      <c r="X18" s="1353"/>
      <c r="Y18" s="3821"/>
      <c r="Z18" s="1354"/>
      <c r="AA18" s="1351">
        <v>1</v>
      </c>
      <c r="AB18" s="1351">
        <v>1</v>
      </c>
      <c r="AC18" s="1958">
        <v>1</v>
      </c>
    </row>
    <row r="19" spans="1:29" ht="15">
      <c r="A19" s="379"/>
      <c r="B19" s="579" t="s">
        <v>1812</v>
      </c>
      <c r="C19" s="1959"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63"/>
      <c r="Q19" s="1350" t="str">
        <f>B19</f>
        <v>公共配套设施</v>
      </c>
      <c r="R19" s="705" t="s">
        <v>14</v>
      </c>
      <c r="S19" s="706">
        <f>F19</f>
        <v>100</v>
      </c>
      <c r="T19" s="705" t="s">
        <v>14</v>
      </c>
      <c r="U19" s="706">
        <f>H19</f>
        <v>100</v>
      </c>
      <c r="V19" s="705" t="s">
        <v>14</v>
      </c>
      <c r="W19" s="706">
        <f>J19</f>
        <v>100</v>
      </c>
      <c r="X19" s="1353"/>
      <c r="Y19" s="3821"/>
      <c r="Z19" s="1354" t="str">
        <f>Q19</f>
        <v>公共配套设施</v>
      </c>
      <c r="AA19" s="1351">
        <f t="shared" si="3"/>
        <v>1</v>
      </c>
      <c r="AB19" s="1351">
        <f t="shared" si="4"/>
        <v>1</v>
      </c>
      <c r="AC19" s="1958">
        <f t="shared" si="5"/>
        <v>1</v>
      </c>
    </row>
    <row r="20" spans="1:29" ht="15">
      <c r="A20" s="379"/>
      <c r="B20" s="580"/>
      <c r="C20" s="1902"/>
      <c r="D20" s="399"/>
      <c r="E20" s="1895"/>
      <c r="F20" s="399"/>
      <c r="G20" s="1896"/>
      <c r="H20" s="399"/>
      <c r="I20" s="1896"/>
      <c r="J20" s="399"/>
      <c r="K20" s="564"/>
      <c r="L20" s="2712"/>
      <c r="M20" s="2706"/>
      <c r="N20" s="2706"/>
      <c r="O20" s="2706"/>
      <c r="P20" s="3863"/>
      <c r="Q20" s="1350"/>
      <c r="R20" s="705"/>
      <c r="S20" s="706"/>
      <c r="T20" s="705"/>
      <c r="U20" s="706"/>
      <c r="V20" s="705"/>
      <c r="W20" s="706"/>
      <c r="X20" s="1353"/>
      <c r="Y20" s="3821"/>
      <c r="Z20" s="1354"/>
      <c r="AA20" s="1351">
        <v>1</v>
      </c>
      <c r="AB20" s="1351">
        <v>1</v>
      </c>
      <c r="AC20" s="1958">
        <v>1</v>
      </c>
    </row>
    <row r="21" spans="1:29" ht="15">
      <c r="A21" s="379"/>
      <c r="B21" s="581" t="s">
        <v>1813</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63"/>
      <c r="Q21" s="1350" t="str">
        <f>B21</f>
        <v>基础设施水平</v>
      </c>
      <c r="R21" s="705" t="s">
        <v>14</v>
      </c>
      <c r="S21" s="706">
        <f>F21</f>
        <v>100</v>
      </c>
      <c r="T21" s="705" t="s">
        <v>14</v>
      </c>
      <c r="U21" s="706">
        <f>H21</f>
        <v>100</v>
      </c>
      <c r="V21" s="705" t="s">
        <v>14</v>
      </c>
      <c r="W21" s="706">
        <f>J21</f>
        <v>100</v>
      </c>
      <c r="X21" s="1353"/>
      <c r="Y21" s="3821"/>
      <c r="Z21" s="1354" t="str">
        <f>Q21</f>
        <v>基础设施水平</v>
      </c>
      <c r="AA21" s="1351">
        <f t="shared" ref="AA21" si="8">D21/F21</f>
        <v>1</v>
      </c>
      <c r="AB21" s="1351">
        <f t="shared" ref="AB21" si="9">D21/H21</f>
        <v>1</v>
      </c>
      <c r="AC21" s="1958">
        <f t="shared" ref="AC21" si="10">D21/J21</f>
        <v>1</v>
      </c>
    </row>
    <row r="22" spans="1:29" ht="15">
      <c r="A22" s="379"/>
      <c r="B22" s="581"/>
      <c r="C22" s="1960"/>
      <c r="D22" s="399"/>
      <c r="E22" s="398"/>
      <c r="F22" s="399"/>
      <c r="G22" s="1902"/>
      <c r="H22" s="399"/>
      <c r="I22" s="1902"/>
      <c r="J22" s="399"/>
      <c r="K22" s="1129"/>
      <c r="L22" s="2712"/>
      <c r="M22" s="2706"/>
      <c r="N22" s="2706"/>
      <c r="O22" s="2706"/>
      <c r="P22" s="3863"/>
      <c r="Q22" s="1350"/>
      <c r="R22" s="705"/>
      <c r="S22" s="706"/>
      <c r="T22" s="705"/>
      <c r="U22" s="706"/>
      <c r="V22" s="705"/>
      <c r="W22" s="706"/>
      <c r="X22" s="1353"/>
      <c r="Y22" s="3821"/>
      <c r="Z22" s="1354"/>
      <c r="AA22" s="1351">
        <v>1</v>
      </c>
      <c r="AB22" s="1351">
        <v>1</v>
      </c>
      <c r="AC22" s="1958">
        <v>1</v>
      </c>
    </row>
    <row r="23" spans="1:29" ht="15">
      <c r="A23" s="379"/>
      <c r="B23" s="579" t="s">
        <v>1814</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63"/>
      <c r="Q23" s="1350" t="str">
        <f>B23</f>
        <v>环境质量</v>
      </c>
      <c r="R23" s="705" t="s">
        <v>14</v>
      </c>
      <c r="S23" s="706">
        <f>F23</f>
        <v>100</v>
      </c>
      <c r="T23" s="705" t="s">
        <v>14</v>
      </c>
      <c r="U23" s="706">
        <f>H23</f>
        <v>100</v>
      </c>
      <c r="V23" s="705" t="s">
        <v>14</v>
      </c>
      <c r="W23" s="706">
        <f>J23</f>
        <v>100</v>
      </c>
      <c r="X23" s="1353"/>
      <c r="Y23" s="3821"/>
      <c r="Z23" s="1354" t="str">
        <f>Q23</f>
        <v>环境质量</v>
      </c>
      <c r="AA23" s="1351">
        <f t="shared" si="3"/>
        <v>1</v>
      </c>
      <c r="AB23" s="1351">
        <f t="shared" si="4"/>
        <v>1</v>
      </c>
      <c r="AC23" s="1958">
        <f t="shared" si="5"/>
        <v>1</v>
      </c>
    </row>
    <row r="24" spans="1:29" ht="15">
      <c r="A24" s="379"/>
      <c r="B24" s="581"/>
      <c r="C24" s="1902"/>
      <c r="D24" s="399"/>
      <c r="E24" s="1895"/>
      <c r="F24" s="399"/>
      <c r="G24" s="1896"/>
      <c r="H24" s="399"/>
      <c r="I24" s="1896"/>
      <c r="J24" s="399"/>
      <c r="K24" s="564"/>
      <c r="L24" s="2712"/>
      <c r="M24" s="2706"/>
      <c r="N24" s="2706"/>
      <c r="O24" s="2706"/>
      <c r="P24" s="3863"/>
      <c r="Q24" s="1350"/>
      <c r="R24" s="705"/>
      <c r="S24" s="706"/>
      <c r="T24" s="705"/>
      <c r="U24" s="706"/>
      <c r="V24" s="705"/>
      <c r="W24" s="706"/>
      <c r="X24" s="1353"/>
      <c r="Y24" s="3821"/>
      <c r="Z24" s="1354"/>
      <c r="AA24" s="1351">
        <v>1</v>
      </c>
      <c r="AB24" s="1351">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2"/>
      <c r="M25" s="2706"/>
      <c r="N25" s="2706"/>
      <c r="O25" s="2706"/>
      <c r="P25" s="3863"/>
      <c r="Q25" s="1350" t="str">
        <f>B25</f>
        <v>毗邻道路的类型与等级</v>
      </c>
      <c r="R25" s="705" t="s">
        <v>14</v>
      </c>
      <c r="S25" s="706">
        <f>F25</f>
        <v>100</v>
      </c>
      <c r="T25" s="705" t="s">
        <v>14</v>
      </c>
      <c r="U25" s="706">
        <f>H25</f>
        <v>100</v>
      </c>
      <c r="V25" s="705" t="s">
        <v>14</v>
      </c>
      <c r="W25" s="706">
        <f>J25</f>
        <v>100</v>
      </c>
      <c r="X25" s="1353"/>
      <c r="Y25" s="3821"/>
      <c r="Z25" s="1354" t="str">
        <f>Q25</f>
        <v>毗邻道路的类型与等级</v>
      </c>
      <c r="AA25" s="1351">
        <f t="shared" si="3"/>
        <v>1</v>
      </c>
      <c r="AB25" s="1351">
        <f t="shared" si="4"/>
        <v>1</v>
      </c>
      <c r="AC25" s="1958">
        <f t="shared" si="5"/>
        <v>1</v>
      </c>
    </row>
    <row r="26" spans="1:29" ht="15">
      <c r="A26" s="358"/>
      <c r="B26" s="580"/>
      <c r="C26" s="582"/>
      <c r="D26" s="386"/>
      <c r="E26" s="565"/>
      <c r="F26" s="386"/>
      <c r="G26" s="582"/>
      <c r="H26" s="386"/>
      <c r="I26" s="565"/>
      <c r="J26" s="386"/>
      <c r="K26" s="564"/>
      <c r="L26" s="2712"/>
      <c r="M26" s="2706"/>
      <c r="N26" s="2706"/>
      <c r="O26" s="2706"/>
      <c r="P26" s="3863"/>
      <c r="Q26" s="1350"/>
      <c r="R26" s="705"/>
      <c r="S26" s="706"/>
      <c r="T26" s="705"/>
      <c r="U26" s="706"/>
      <c r="V26" s="705"/>
      <c r="W26" s="706"/>
      <c r="X26" s="1353"/>
      <c r="Y26" s="3821"/>
      <c r="Z26" s="1354"/>
      <c r="AA26" s="1351">
        <v>1</v>
      </c>
      <c r="AB26" s="1351">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2"/>
      <c r="M27" s="2706"/>
      <c r="N27" s="2706"/>
      <c r="O27" s="2706"/>
      <c r="P27" s="3863"/>
      <c r="Q27" s="1350" t="str">
        <f t="shared" ref="Q27:Q47" si="11">B27</f>
        <v>楼层</v>
      </c>
      <c r="R27" s="705" t="s">
        <v>14</v>
      </c>
      <c r="S27" s="706">
        <f>F27</f>
        <v>100</v>
      </c>
      <c r="T27" s="705" t="s">
        <v>14</v>
      </c>
      <c r="U27" s="706">
        <f>H27</f>
        <v>100</v>
      </c>
      <c r="V27" s="705" t="s">
        <v>14</v>
      </c>
      <c r="W27" s="706">
        <f>J27</f>
        <v>100</v>
      </c>
      <c r="X27" s="1353"/>
      <c r="Y27" s="3821"/>
      <c r="Z27" s="1354" t="str">
        <f>Q27</f>
        <v>楼层</v>
      </c>
      <c r="AA27" s="1351">
        <f t="shared" si="3"/>
        <v>1</v>
      </c>
      <c r="AB27" s="1351">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07"/>
      <c r="M28" s="2708"/>
      <c r="N28" s="2708"/>
      <c r="O28" s="2708"/>
      <c r="P28" s="3863"/>
      <c r="Q28" s="1341" t="str">
        <f t="shared" si="11"/>
        <v>朝向</v>
      </c>
      <c r="R28" s="701" t="s">
        <v>14</v>
      </c>
      <c r="S28" s="702">
        <f>F28</f>
        <v>100</v>
      </c>
      <c r="T28" s="701" t="s">
        <v>14</v>
      </c>
      <c r="U28" s="702">
        <f>H28</f>
        <v>100</v>
      </c>
      <c r="V28" s="701" t="s">
        <v>14</v>
      </c>
      <c r="W28" s="702">
        <f>J28</f>
        <v>100</v>
      </c>
      <c r="X28" s="703"/>
      <c r="Y28" s="3821"/>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2"/>
      <c r="M29" s="2706"/>
      <c r="N29" s="2706"/>
      <c r="O29" s="2706"/>
      <c r="P29" s="3863"/>
      <c r="Q29" s="1350">
        <f t="shared" si="11"/>
        <v>111</v>
      </c>
      <c r="R29" s="705" t="s">
        <v>14</v>
      </c>
      <c r="S29" s="706">
        <f t="shared" ref="S29:S47" si="12">F29</f>
        <v>100</v>
      </c>
      <c r="T29" s="705" t="s">
        <v>14</v>
      </c>
      <c r="U29" s="706">
        <f t="shared" ref="U29:U47" si="13">H29</f>
        <v>100</v>
      </c>
      <c r="V29" s="705" t="s">
        <v>14</v>
      </c>
      <c r="W29" s="706">
        <f t="shared" ref="W29:W47" si="14">J29</f>
        <v>100</v>
      </c>
      <c r="X29" s="1353"/>
      <c r="Y29" s="3821"/>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2"/>
      <c r="M30" s="2706"/>
      <c r="N30" s="2706"/>
      <c r="O30" s="2706"/>
      <c r="P30" s="3863"/>
      <c r="Q30" s="1350">
        <f t="shared" si="11"/>
        <v>111</v>
      </c>
      <c r="R30" s="705" t="s">
        <v>14</v>
      </c>
      <c r="S30" s="706">
        <f t="shared" si="12"/>
        <v>100</v>
      </c>
      <c r="T30" s="705" t="s">
        <v>14</v>
      </c>
      <c r="U30" s="706">
        <f t="shared" si="13"/>
        <v>100</v>
      </c>
      <c r="V30" s="705" t="s">
        <v>14</v>
      </c>
      <c r="W30" s="706">
        <f t="shared" si="14"/>
        <v>100</v>
      </c>
      <c r="X30" s="1353"/>
      <c r="Y30" s="3821"/>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2"/>
      <c r="M31" s="2706"/>
      <c r="N31" s="2706"/>
      <c r="O31" s="2706"/>
      <c r="P31" s="3863"/>
      <c r="Q31" s="1350">
        <f t="shared" si="11"/>
        <v>111</v>
      </c>
      <c r="R31" s="705" t="s">
        <v>14</v>
      </c>
      <c r="S31" s="706">
        <f t="shared" si="12"/>
        <v>100</v>
      </c>
      <c r="T31" s="705" t="s">
        <v>14</v>
      </c>
      <c r="U31" s="706">
        <f t="shared" si="13"/>
        <v>100</v>
      </c>
      <c r="V31" s="705" t="s">
        <v>14</v>
      </c>
      <c r="W31" s="706">
        <f t="shared" si="14"/>
        <v>100</v>
      </c>
      <c r="X31" s="1353"/>
      <c r="Y31" s="3821"/>
      <c r="Z31" s="1354">
        <f t="shared" si="15"/>
        <v>111</v>
      </c>
      <c r="AA31" s="1351">
        <f t="shared" si="3"/>
        <v>1</v>
      </c>
      <c r="AB31" s="1351">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2"/>
      <c r="M32" s="2706"/>
      <c r="N32" s="2706"/>
      <c r="O32" s="2706"/>
      <c r="P32" s="3863"/>
      <c r="Q32" s="1350">
        <f t="shared" si="11"/>
        <v>111</v>
      </c>
      <c r="R32" s="705" t="s">
        <v>14</v>
      </c>
      <c r="S32" s="706">
        <f t="shared" si="12"/>
        <v>100</v>
      </c>
      <c r="T32" s="705" t="s">
        <v>14</v>
      </c>
      <c r="U32" s="706">
        <f t="shared" si="13"/>
        <v>100</v>
      </c>
      <c r="V32" s="705" t="s">
        <v>14</v>
      </c>
      <c r="W32" s="706">
        <f t="shared" si="14"/>
        <v>100</v>
      </c>
      <c r="X32" s="1353"/>
      <c r="Y32" s="3821"/>
      <c r="Z32" s="1354">
        <f t="shared" si="15"/>
        <v>111</v>
      </c>
      <c r="AA32" s="1351">
        <f t="shared" si="3"/>
        <v>1</v>
      </c>
      <c r="AB32" s="1351">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2"/>
      <c r="M33" s="2706"/>
      <c r="N33" s="2706"/>
      <c r="O33" s="2706"/>
      <c r="P33" s="3858" t="s">
        <v>1696</v>
      </c>
      <c r="Q33" s="1350" t="str">
        <f t="shared" si="11"/>
        <v>建筑类型</v>
      </c>
      <c r="R33" s="705" t="s">
        <v>14</v>
      </c>
      <c r="S33" s="706">
        <f t="shared" si="12"/>
        <v>100</v>
      </c>
      <c r="T33" s="705" t="s">
        <v>14</v>
      </c>
      <c r="U33" s="706">
        <f t="shared" si="13"/>
        <v>100</v>
      </c>
      <c r="V33" s="705" t="s">
        <v>14</v>
      </c>
      <c r="W33" s="706">
        <f t="shared" si="14"/>
        <v>100</v>
      </c>
      <c r="X33" s="1353"/>
      <c r="Y33" s="3823" t="s">
        <v>1696</v>
      </c>
      <c r="Z33" s="1354" t="str">
        <f t="shared" si="15"/>
        <v>建筑类型</v>
      </c>
      <c r="AA33" s="1351">
        <f t="shared" si="3"/>
        <v>1</v>
      </c>
      <c r="AB33" s="1351">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1"/>
      <c r="M34" s="2713"/>
      <c r="N34" s="2713"/>
      <c r="O34" s="2713"/>
      <c r="P34" s="3859"/>
      <c r="Q34" s="707" t="str">
        <f t="shared" si="11"/>
        <v>项目建筑规模</v>
      </c>
      <c r="R34" s="708" t="s">
        <v>14</v>
      </c>
      <c r="S34" s="709" t="e">
        <f t="shared" si="12"/>
        <v>#N/A</v>
      </c>
      <c r="T34" s="708" t="s">
        <v>14</v>
      </c>
      <c r="U34" s="709" t="e">
        <f t="shared" si="13"/>
        <v>#N/A</v>
      </c>
      <c r="V34" s="708" t="s">
        <v>14</v>
      </c>
      <c r="W34" s="709" t="e">
        <f t="shared" si="14"/>
        <v>#N/A</v>
      </c>
      <c r="X34" s="710"/>
      <c r="Y34" s="3823"/>
      <c r="Z34" s="711" t="str">
        <f t="shared" si="15"/>
        <v>项目建筑规模</v>
      </c>
      <c r="AA34" s="1351" t="e">
        <f t="shared" si="3"/>
        <v>#N/A</v>
      </c>
      <c r="AB34" s="1351"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59"/>
      <c r="Q35" s="1350" t="str">
        <f t="shared" si="11"/>
        <v>建筑结构</v>
      </c>
      <c r="R35" s="705" t="s">
        <v>14</v>
      </c>
      <c r="S35" s="706">
        <f t="shared" si="12"/>
        <v>100</v>
      </c>
      <c r="T35" s="705" t="s">
        <v>14</v>
      </c>
      <c r="U35" s="706">
        <f t="shared" si="13"/>
        <v>100</v>
      </c>
      <c r="V35" s="705" t="s">
        <v>14</v>
      </c>
      <c r="W35" s="706">
        <f t="shared" si="14"/>
        <v>100</v>
      </c>
      <c r="X35" s="1353"/>
      <c r="Y35" s="3823"/>
      <c r="Z35" s="1354" t="str">
        <f t="shared" si="15"/>
        <v>建筑结构</v>
      </c>
      <c r="AA35" s="1351">
        <f t="shared" si="3"/>
        <v>1</v>
      </c>
      <c r="AB35" s="1351">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59"/>
      <c r="Q36" s="1350" t="str">
        <f t="shared" si="11"/>
        <v>公共部分装修</v>
      </c>
      <c r="R36" s="705" t="s">
        <v>14</v>
      </c>
      <c r="S36" s="706">
        <f t="shared" si="12"/>
        <v>100</v>
      </c>
      <c r="T36" s="705" t="s">
        <v>14</v>
      </c>
      <c r="U36" s="706">
        <f t="shared" si="13"/>
        <v>100</v>
      </c>
      <c r="V36" s="705" t="s">
        <v>14</v>
      </c>
      <c r="W36" s="706">
        <f t="shared" si="14"/>
        <v>100</v>
      </c>
      <c r="X36" s="1353"/>
      <c r="Y36" s="3823"/>
      <c r="Z36" s="1354" t="str">
        <f t="shared" si="15"/>
        <v>公共部分装修</v>
      </c>
      <c r="AA36" s="1351">
        <f t="shared" si="3"/>
        <v>1</v>
      </c>
      <c r="AB36" s="1351">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2"/>
      <c r="M37" s="2706"/>
      <c r="N37" s="2706"/>
      <c r="O37" s="2706"/>
      <c r="P37" s="3859"/>
      <c r="Q37" s="1350" t="str">
        <f t="shared" si="11"/>
        <v>成新度</v>
      </c>
      <c r="R37" s="705" t="s">
        <v>14</v>
      </c>
      <c r="S37" s="706" t="e">
        <f t="shared" si="12"/>
        <v>#N/A</v>
      </c>
      <c r="T37" s="705" t="s">
        <v>14</v>
      </c>
      <c r="U37" s="706" t="e">
        <f t="shared" si="13"/>
        <v>#N/A</v>
      </c>
      <c r="V37" s="705" t="s">
        <v>14</v>
      </c>
      <c r="W37" s="706" t="e">
        <f t="shared" si="14"/>
        <v>#N/A</v>
      </c>
      <c r="X37" s="1353"/>
      <c r="Y37" s="3823"/>
      <c r="Z37" s="1354" t="str">
        <f t="shared" si="15"/>
        <v>成新度</v>
      </c>
      <c r="AA37" s="1351" t="e">
        <f t="shared" si="3"/>
        <v>#N/A</v>
      </c>
      <c r="AB37" s="1351"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59"/>
      <c r="Q38" s="1341" t="str">
        <f t="shared" si="11"/>
        <v>写字楼等级</v>
      </c>
      <c r="R38" s="701" t="s">
        <v>14</v>
      </c>
      <c r="S38" s="702">
        <f t="shared" si="12"/>
        <v>100</v>
      </c>
      <c r="T38" s="701" t="s">
        <v>14</v>
      </c>
      <c r="U38" s="702">
        <f t="shared" si="13"/>
        <v>100</v>
      </c>
      <c r="V38" s="701" t="s">
        <v>14</v>
      </c>
      <c r="W38" s="702">
        <f t="shared" si="14"/>
        <v>100</v>
      </c>
      <c r="X38" s="703"/>
      <c r="Y38" s="3823"/>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59" t="s">
        <v>1696</v>
      </c>
      <c r="Q39" s="1350" t="str">
        <f t="shared" si="11"/>
        <v>物业管理</v>
      </c>
      <c r="R39" s="705" t="s">
        <v>14</v>
      </c>
      <c r="S39" s="706">
        <f t="shared" si="12"/>
        <v>100</v>
      </c>
      <c r="T39" s="705" t="s">
        <v>14</v>
      </c>
      <c r="U39" s="706">
        <f t="shared" si="13"/>
        <v>100</v>
      </c>
      <c r="V39" s="705" t="s">
        <v>14</v>
      </c>
      <c r="W39" s="706">
        <f t="shared" si="14"/>
        <v>100</v>
      </c>
      <c r="X39" s="1353"/>
      <c r="Y39" s="3823" t="s">
        <v>1696</v>
      </c>
      <c r="Z39" s="1354" t="str">
        <f t="shared" si="15"/>
        <v>物业管理</v>
      </c>
      <c r="AA39" s="1351">
        <f t="shared" si="3"/>
        <v>1</v>
      </c>
      <c r="AB39" s="1351">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59"/>
      <c r="Q40" s="1350" t="str">
        <f t="shared" si="11"/>
        <v>市政基础设施</v>
      </c>
      <c r="R40" s="705" t="s">
        <v>14</v>
      </c>
      <c r="S40" s="706">
        <f t="shared" si="12"/>
        <v>100</v>
      </c>
      <c r="T40" s="705" t="s">
        <v>14</v>
      </c>
      <c r="U40" s="706">
        <f t="shared" si="13"/>
        <v>100</v>
      </c>
      <c r="V40" s="705" t="s">
        <v>14</v>
      </c>
      <c r="W40" s="706">
        <f t="shared" si="14"/>
        <v>100</v>
      </c>
      <c r="X40" s="1353"/>
      <c r="Y40" s="3823"/>
      <c r="Z40" s="1354" t="str">
        <f t="shared" si="15"/>
        <v>市政基础设施</v>
      </c>
      <c r="AA40" s="1351">
        <f t="shared" si="3"/>
        <v>1</v>
      </c>
      <c r="AB40" s="1351">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59"/>
      <c r="Q41" s="1350" t="str">
        <f t="shared" si="11"/>
        <v>层高</v>
      </c>
      <c r="R41" s="705" t="s">
        <v>14</v>
      </c>
      <c r="S41" s="706">
        <f t="shared" si="12"/>
        <v>100</v>
      </c>
      <c r="T41" s="705" t="s">
        <v>14</v>
      </c>
      <c r="U41" s="706">
        <f t="shared" si="13"/>
        <v>100</v>
      </c>
      <c r="V41" s="705" t="s">
        <v>14</v>
      </c>
      <c r="W41" s="706">
        <f t="shared" si="14"/>
        <v>100</v>
      </c>
      <c r="X41" s="1353"/>
      <c r="Y41" s="3823"/>
      <c r="Z41" s="1354" t="str">
        <f t="shared" si="15"/>
        <v>层高</v>
      </c>
      <c r="AA41" s="1351">
        <f t="shared" si="3"/>
        <v>1</v>
      </c>
      <c r="AB41" s="1351">
        <f t="shared" si="4"/>
        <v>1</v>
      </c>
      <c r="AC41" s="1958">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59"/>
      <c r="Q42" s="707" t="str">
        <f t="shared" si="11"/>
        <v>单套建筑面积</v>
      </c>
      <c r="R42" s="708" t="s">
        <v>14</v>
      </c>
      <c r="S42" s="709">
        <f t="shared" si="12"/>
        <v>100</v>
      </c>
      <c r="T42" s="708" t="s">
        <v>14</v>
      </c>
      <c r="U42" s="709">
        <f t="shared" si="13"/>
        <v>100</v>
      </c>
      <c r="V42" s="708" t="s">
        <v>14</v>
      </c>
      <c r="W42" s="709">
        <f t="shared" si="14"/>
        <v>100</v>
      </c>
      <c r="X42" s="710"/>
      <c r="Y42" s="3823"/>
      <c r="Z42" s="711" t="str">
        <f t="shared" si="15"/>
        <v>单套建筑面积</v>
      </c>
      <c r="AA42" s="1351">
        <f t="shared" si="3"/>
        <v>1</v>
      </c>
      <c r="AB42" s="1351">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59"/>
      <c r="Q43" s="1350" t="str">
        <f t="shared" si="11"/>
        <v>内部装修</v>
      </c>
      <c r="R43" s="705" t="s">
        <v>14</v>
      </c>
      <c r="S43" s="706">
        <f t="shared" si="12"/>
        <v>100</v>
      </c>
      <c r="T43" s="705" t="s">
        <v>14</v>
      </c>
      <c r="U43" s="706">
        <f t="shared" si="13"/>
        <v>100</v>
      </c>
      <c r="V43" s="705" t="s">
        <v>14</v>
      </c>
      <c r="W43" s="706">
        <f t="shared" si="14"/>
        <v>100</v>
      </c>
      <c r="X43" s="1353"/>
      <c r="Y43" s="3823"/>
      <c r="Z43" s="1354" t="str">
        <f t="shared" si="15"/>
        <v>内部装修</v>
      </c>
      <c r="AA43" s="1351">
        <f t="shared" si="3"/>
        <v>1</v>
      </c>
      <c r="AB43" s="1351">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2"/>
      <c r="M44" s="2706"/>
      <c r="N44" s="2706"/>
      <c r="O44" s="2706"/>
      <c r="P44" s="3859"/>
      <c r="Q44" s="1350" t="str">
        <f t="shared" si="11"/>
        <v>内部装修维护情况</v>
      </c>
      <c r="R44" s="705" t="s">
        <v>14</v>
      </c>
      <c r="S44" s="706">
        <f t="shared" si="12"/>
        <v>100</v>
      </c>
      <c r="T44" s="705" t="s">
        <v>14</v>
      </c>
      <c r="U44" s="706">
        <f t="shared" si="13"/>
        <v>100</v>
      </c>
      <c r="V44" s="705" t="s">
        <v>14</v>
      </c>
      <c r="W44" s="706">
        <f t="shared" si="14"/>
        <v>100</v>
      </c>
      <c r="X44" s="1353"/>
      <c r="Y44" s="3823"/>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59"/>
      <c r="Q45" s="1341">
        <f t="shared" si="11"/>
        <v>111</v>
      </c>
      <c r="R45" s="701" t="s">
        <v>14</v>
      </c>
      <c r="S45" s="702">
        <f t="shared" si="12"/>
        <v>100</v>
      </c>
      <c r="T45" s="701" t="s">
        <v>14</v>
      </c>
      <c r="U45" s="702">
        <f t="shared" si="13"/>
        <v>100</v>
      </c>
      <c r="V45" s="701" t="s">
        <v>14</v>
      </c>
      <c r="W45" s="702">
        <f t="shared" si="14"/>
        <v>100</v>
      </c>
      <c r="X45" s="703"/>
      <c r="Y45" s="3823"/>
      <c r="Z45" s="52">
        <f t="shared" si="15"/>
        <v>111</v>
      </c>
      <c r="AA45" s="704">
        <f t="shared" si="3"/>
        <v>1</v>
      </c>
      <c r="AB45" s="704">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59"/>
      <c r="Q46" s="1350">
        <f t="shared" si="11"/>
        <v>111</v>
      </c>
      <c r="R46" s="705" t="s">
        <v>14</v>
      </c>
      <c r="S46" s="706">
        <f t="shared" si="12"/>
        <v>100</v>
      </c>
      <c r="T46" s="705" t="s">
        <v>14</v>
      </c>
      <c r="U46" s="706">
        <f t="shared" si="13"/>
        <v>100</v>
      </c>
      <c r="V46" s="705" t="s">
        <v>14</v>
      </c>
      <c r="W46" s="706">
        <f t="shared" si="14"/>
        <v>100</v>
      </c>
      <c r="X46" s="1353"/>
      <c r="Y46" s="3823"/>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60"/>
      <c r="Q47" s="1350">
        <f t="shared" si="11"/>
        <v>111</v>
      </c>
      <c r="R47" s="705" t="s">
        <v>14</v>
      </c>
      <c r="S47" s="706">
        <f t="shared" si="12"/>
        <v>100</v>
      </c>
      <c r="T47" s="705" t="s">
        <v>14</v>
      </c>
      <c r="U47" s="706">
        <f t="shared" si="13"/>
        <v>100</v>
      </c>
      <c r="V47" s="705" t="s">
        <v>14</v>
      </c>
      <c r="W47" s="706">
        <f t="shared" si="14"/>
        <v>100</v>
      </c>
      <c r="X47" s="1353"/>
      <c r="Y47" s="3861"/>
      <c r="Z47" s="1354">
        <f t="shared" si="15"/>
        <v>111</v>
      </c>
      <c r="AA47" s="1351">
        <f t="shared" si="3"/>
        <v>1</v>
      </c>
      <c r="AB47" s="1351">
        <f t="shared" si="4"/>
        <v>1</v>
      </c>
      <c r="AC47" s="1958">
        <f t="shared" si="5"/>
        <v>1</v>
      </c>
    </row>
    <row r="48" spans="1:29" ht="15">
      <c r="A48" s="430" t="s">
        <v>1708</v>
      </c>
      <c r="B48" s="431"/>
      <c r="C48" s="1153" t="s">
        <v>0</v>
      </c>
      <c r="D48" s="1154"/>
      <c r="E48" s="1155"/>
      <c r="F48" s="1156"/>
      <c r="G48" s="1157"/>
      <c r="H48" s="1158"/>
      <c r="I48" s="1155"/>
      <c r="J48" s="436"/>
      <c r="K48" s="714"/>
      <c r="L48" s="2714"/>
      <c r="M48" s="2706"/>
      <c r="N48" s="2706"/>
      <c r="O48" s="2706"/>
      <c r="P48" s="3829" t="str">
        <f>A48</f>
        <v>成交单价（元/平方米）</v>
      </c>
      <c r="Q48" s="3805"/>
      <c r="R48" s="3857">
        <f>E48</f>
        <v>0</v>
      </c>
      <c r="S48" s="3857"/>
      <c r="T48" s="3857">
        <f>G48</f>
        <v>0</v>
      </c>
      <c r="U48" s="3857"/>
      <c r="V48" s="3857">
        <f>I48</f>
        <v>0</v>
      </c>
      <c r="W48" s="3857"/>
      <c r="X48" s="397"/>
      <c r="Y48" s="712"/>
      <c r="Z48" s="397"/>
      <c r="AA48" s="397"/>
      <c r="AB48" s="397"/>
      <c r="AC48" s="578"/>
    </row>
    <row r="49" spans="1:29" ht="15.75" thickBot="1">
      <c r="A49" s="437" t="s">
        <v>1793</v>
      </c>
      <c r="B49" s="438"/>
      <c r="C49" s="1159" t="e">
        <f>R50</f>
        <v>#DIV/0!</v>
      </c>
      <c r="D49" s="2313" t="s">
        <v>2138</v>
      </c>
      <c r="E49" s="1160" t="e">
        <f>R49</f>
        <v>#DIV/0!</v>
      </c>
      <c r="F49" s="2314"/>
      <c r="G49" s="1159" t="e">
        <f>T49</f>
        <v>#DIV/0!</v>
      </c>
      <c r="H49" s="2314"/>
      <c r="I49" s="1160" t="e">
        <f>V49</f>
        <v>#DIV/0!</v>
      </c>
      <c r="J49" s="2314"/>
      <c r="K49" s="2316">
        <f>F49+H49+J49</f>
        <v>0</v>
      </c>
      <c r="L49" s="2714"/>
      <c r="M49" s="2706"/>
      <c r="N49" s="2706"/>
      <c r="O49" s="2706"/>
      <c r="P49" s="3829" t="str">
        <f>A49</f>
        <v>比较价值（元/平方米）</v>
      </c>
      <c r="Q49" s="3805"/>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4"/>
      <c r="M50" s="2706"/>
      <c r="N50" s="2706"/>
      <c r="O50" s="2706"/>
      <c r="P50" s="3876" t="str">
        <f>A50</f>
        <v>估价对象XX用房的比较价值（楼面单价，元/平方米）</v>
      </c>
      <c r="Q50" s="3877"/>
      <c r="R50" s="3878" t="e">
        <f>IF(F1="售价",ROUND(IF(D49="简单平均",AVERAGE(R49:V49),R49*F49+T49*H49+V49*J49),0),ROUND(IF(D49="简单平均",AVERAGE(R49:V49),R49*F49+T49*H49+V49*J49),1))</f>
        <v>#DIV/0!</v>
      </c>
      <c r="S50" s="3878"/>
      <c r="T50" s="3878"/>
      <c r="U50" s="3878"/>
      <c r="V50" s="3878"/>
      <c r="W50" s="3878"/>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4" t="s">
        <v>1798</v>
      </c>
      <c r="B58" s="690"/>
      <c r="C58" s="695"/>
      <c r="D58" s="695"/>
      <c r="E58" s="695"/>
      <c r="F58" s="696"/>
      <c r="G58" s="696"/>
      <c r="H58" s="695"/>
      <c r="I58" s="695"/>
      <c r="J58" s="695"/>
      <c r="K58" s="697"/>
      <c r="L58" s="941"/>
      <c r="M58" s="939"/>
      <c r="N58" s="2759"/>
      <c r="O58" s="2759"/>
      <c r="P58" s="2748"/>
      <c r="Q58" s="2729"/>
      <c r="R58" s="2715"/>
      <c r="S58" s="2715"/>
      <c r="T58" s="2715"/>
      <c r="U58" s="2715"/>
      <c r="V58" s="2715"/>
      <c r="W58" s="2715"/>
      <c r="X58" s="2715"/>
      <c r="Y58" s="2715"/>
      <c r="Z58" s="2715"/>
      <c r="AA58" s="2715"/>
      <c r="AB58" s="2715"/>
      <c r="AC58" s="2715"/>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81">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1716</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1681</v>
      </c>
      <c r="B62" s="459"/>
      <c r="C62" s="471" t="s">
        <v>1776</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1719</v>
      </c>
      <c r="B64" s="477" t="s">
        <v>1685</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1688</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1690</v>
      </c>
      <c r="B77" s="477" t="s">
        <v>1821</v>
      </c>
      <c r="C77" s="522" t="s">
        <v>1721</v>
      </c>
      <c r="D77" s="522" t="s">
        <v>1722</v>
      </c>
      <c r="E77" s="522" t="s">
        <v>1723</v>
      </c>
      <c r="F77" s="522" t="s">
        <v>1724</v>
      </c>
      <c r="G77" s="522" t="s">
        <v>1725</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1726</v>
      </c>
      <c r="C79" s="527" t="s">
        <v>1721</v>
      </c>
      <c r="D79" s="527" t="s">
        <v>1722</v>
      </c>
      <c r="E79" s="527" t="s">
        <v>1723</v>
      </c>
      <c r="F79" s="527" t="s">
        <v>1724</v>
      </c>
      <c r="G79" s="527" t="s">
        <v>1725</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1727</v>
      </c>
      <c r="C81" s="527" t="s">
        <v>1721</v>
      </c>
      <c r="D81" s="527" t="s">
        <v>1722</v>
      </c>
      <c r="E81" s="527" t="s">
        <v>1723</v>
      </c>
      <c r="F81" s="527" t="s">
        <v>1724</v>
      </c>
      <c r="G81" s="527" t="s">
        <v>1725</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1813</v>
      </c>
      <c r="C83" s="608" t="s">
        <v>1799</v>
      </c>
      <c r="D83" s="608" t="s">
        <v>1800</v>
      </c>
      <c r="E83" s="608" t="s">
        <v>1801</v>
      </c>
      <c r="F83" s="608" t="s">
        <v>1802</v>
      </c>
      <c r="G83" s="608" t="s">
        <v>1803</v>
      </c>
      <c r="H83" s="488"/>
      <c r="I83" s="488"/>
      <c r="J83" s="488"/>
      <c r="K83" s="488"/>
      <c r="L83" s="488"/>
      <c r="M83" s="1128"/>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1822</v>
      </c>
      <c r="C85" s="527" t="s">
        <v>1721</v>
      </c>
      <c r="D85" s="527" t="s">
        <v>1722</v>
      </c>
      <c r="E85" s="527" t="s">
        <v>1723</v>
      </c>
      <c r="F85" s="527" t="s">
        <v>1724</v>
      </c>
      <c r="G85" s="527" t="s">
        <v>1725</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1823</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23"/>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24"/>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1694</v>
      </c>
      <c r="B101" s="477" t="s">
        <v>1736</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c r="D104" s="544"/>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1738</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1740</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1"/>
      <c r="J111" s="571"/>
      <c r="K111" s="572"/>
      <c r="L111" s="573"/>
      <c r="M111" s="574"/>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1824</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1741</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1742</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4" t="s">
        <v>1825</v>
      </c>
      <c r="C119" s="532"/>
      <c r="D119" s="532"/>
      <c r="E119" s="532"/>
      <c r="F119" s="532"/>
      <c r="G119" s="532"/>
      <c r="H119" s="532"/>
      <c r="I119" s="532"/>
      <c r="J119" s="532"/>
      <c r="K119" s="532"/>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1808</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1744</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1826</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35356.130000000005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912"/>
      <c r="M4" s="913"/>
      <c r="N4" s="913"/>
      <c r="O4" s="913"/>
      <c r="P4" s="3810" t="s">
        <v>1775</v>
      </c>
      <c r="Q4" s="3811"/>
      <c r="R4" s="3792" t="s">
        <v>1771</v>
      </c>
      <c r="S4" s="3793"/>
      <c r="T4" s="3792" t="s">
        <v>1772</v>
      </c>
      <c r="U4" s="3793"/>
      <c r="V4" s="3818" t="s">
        <v>1773</v>
      </c>
      <c r="W4" s="3818"/>
      <c r="X4" s="1353"/>
      <c r="Y4" s="3792" t="s">
        <v>1775</v>
      </c>
      <c r="Z4" s="3793"/>
      <c r="AA4" s="3787" t="s">
        <v>1771</v>
      </c>
      <c r="AB4" s="3788" t="s">
        <v>1772</v>
      </c>
      <c r="AC4" s="3787" t="s">
        <v>1773</v>
      </c>
    </row>
    <row r="5" spans="1:29" ht="15">
      <c r="A5" s="358"/>
      <c r="B5" s="359"/>
      <c r="C5" s="3802" t="s">
        <v>1673</v>
      </c>
      <c r="D5" s="3799"/>
      <c r="E5" s="3796" t="s">
        <v>1674</v>
      </c>
      <c r="F5" s="3797"/>
      <c r="G5" s="3802" t="s">
        <v>1675</v>
      </c>
      <c r="H5" s="3799"/>
      <c r="I5" s="3802" t="s">
        <v>1676</v>
      </c>
      <c r="J5" s="3799"/>
      <c r="K5" s="559"/>
      <c r="L5" s="912"/>
      <c r="M5" s="913"/>
      <c r="N5" s="913"/>
      <c r="O5" s="913"/>
      <c r="P5" s="3812"/>
      <c r="Q5" s="3813"/>
      <c r="R5" s="3794"/>
      <c r="S5" s="3795"/>
      <c r="T5" s="3794"/>
      <c r="U5" s="3795"/>
      <c r="V5" s="3818"/>
      <c r="W5" s="3818"/>
      <c r="X5" s="1353"/>
      <c r="Y5" s="3794"/>
      <c r="Z5" s="3795"/>
      <c r="AA5" s="3788"/>
      <c r="AB5" s="3788"/>
      <c r="AC5" s="3788"/>
    </row>
    <row r="6" spans="1:29" ht="15.75" thickBot="1">
      <c r="A6" s="360"/>
      <c r="B6" s="361"/>
      <c r="C6" s="3800" t="s">
        <v>1677</v>
      </c>
      <c r="D6" s="3801"/>
      <c r="E6" s="3803" t="s">
        <v>1677</v>
      </c>
      <c r="F6" s="3804"/>
      <c r="G6" s="3800" t="s">
        <v>1677</v>
      </c>
      <c r="H6" s="3801"/>
      <c r="I6" s="3800" t="s">
        <v>1677</v>
      </c>
      <c r="J6" s="3801"/>
      <c r="K6" s="559" t="s">
        <v>1678</v>
      </c>
      <c r="L6" s="912"/>
      <c r="M6" s="913"/>
      <c r="N6" s="913"/>
      <c r="O6" s="913"/>
      <c r="P6" s="3814"/>
      <c r="Q6" s="3815"/>
      <c r="R6" s="3794"/>
      <c r="S6" s="3795"/>
      <c r="T6" s="3816"/>
      <c r="U6" s="3817"/>
      <c r="V6" s="3818"/>
      <c r="W6" s="3818"/>
      <c r="X6" s="1353"/>
      <c r="Y6" s="3816"/>
      <c r="Z6" s="3817"/>
      <c r="AA6" s="3789"/>
      <c r="AB6" s="3789"/>
      <c r="AC6" s="3789"/>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790" t="s">
        <v>1680</v>
      </c>
      <c r="Q7" s="3819"/>
      <c r="R7" s="701" t="s">
        <v>14</v>
      </c>
      <c r="S7" s="702">
        <f t="shared" ref="S7:S15" si="0">F7</f>
        <v>0</v>
      </c>
      <c r="T7" s="701" t="s">
        <v>14</v>
      </c>
      <c r="U7" s="702">
        <f t="shared" ref="U7:U15" si="1">H7</f>
        <v>0</v>
      </c>
      <c r="V7" s="701" t="s">
        <v>14</v>
      </c>
      <c r="W7" s="702">
        <f t="shared" ref="W7:W15" si="2">J7</f>
        <v>0</v>
      </c>
      <c r="X7" s="703"/>
      <c r="Y7" s="3790" t="s">
        <v>1680</v>
      </c>
      <c r="Z7" s="37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0" t="s">
        <v>1683</v>
      </c>
      <c r="Q8" s="3791"/>
      <c r="R8" s="701" t="s">
        <v>14</v>
      </c>
      <c r="S8" s="702">
        <f t="shared" si="0"/>
        <v>100</v>
      </c>
      <c r="T8" s="701" t="s">
        <v>14</v>
      </c>
      <c r="U8" s="702">
        <f t="shared" si="1"/>
        <v>100</v>
      </c>
      <c r="V8" s="701" t="s">
        <v>14</v>
      </c>
      <c r="W8" s="702">
        <f t="shared" si="2"/>
        <v>100</v>
      </c>
      <c r="X8" s="703"/>
      <c r="Y8" s="3790" t="s">
        <v>1683</v>
      </c>
      <c r="Z8" s="37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05"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3"/>
      <c r="F10" s="127">
        <f>SUMIF(59:59,E10,60:60)-SUMIF(59:59,C10,60:60)+100</f>
        <v>100</v>
      </c>
      <c r="G10" s="3424"/>
      <c r="H10" s="127">
        <f>SUMIF(59:59,G10,60:60)-SUMIF(59:59,C10,60:60)+100</f>
        <v>100</v>
      </c>
      <c r="I10" s="3423"/>
      <c r="J10" s="127">
        <f>SUMIF(59:59,I10,60:60)-SUMIF(59:59,C10,60:60)+100</f>
        <v>100</v>
      </c>
      <c r="K10" s="560"/>
      <c r="L10" s="917"/>
      <c r="M10" s="918"/>
      <c r="N10" s="918"/>
      <c r="O10" s="919"/>
      <c r="P10" s="3805"/>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05"/>
      <c r="Q11" s="1341" t="str">
        <f t="shared" si="6"/>
        <v>容积率</v>
      </c>
      <c r="R11" s="701" t="s">
        <v>14</v>
      </c>
      <c r="S11" s="702">
        <f t="shared" si="0"/>
        <v>100</v>
      </c>
      <c r="T11" s="701" t="s">
        <v>14</v>
      </c>
      <c r="U11" s="702">
        <f t="shared" si="1"/>
        <v>100</v>
      </c>
      <c r="V11" s="701" t="s">
        <v>14</v>
      </c>
      <c r="W11" s="702">
        <f t="shared" si="2"/>
        <v>100</v>
      </c>
      <c r="X11" s="703"/>
      <c r="Y11" s="374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805"/>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805"/>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805"/>
      <c r="Q14" s="1341">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15">
      <c r="A15" s="391" t="s">
        <v>1690</v>
      </c>
      <c r="B15" s="61" t="s">
        <v>1827</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20" t="s">
        <v>1691</v>
      </c>
      <c r="Q15" s="1350" t="str">
        <f t="shared" si="6"/>
        <v>产业集聚程度</v>
      </c>
      <c r="R15" s="705" t="s">
        <v>14</v>
      </c>
      <c r="S15" s="706">
        <f t="shared" si="0"/>
        <v>100</v>
      </c>
      <c r="T15" s="705" t="s">
        <v>14</v>
      </c>
      <c r="U15" s="706">
        <f t="shared" si="1"/>
        <v>100</v>
      </c>
      <c r="V15" s="705" t="s">
        <v>14</v>
      </c>
      <c r="W15" s="706">
        <f t="shared" si="2"/>
        <v>100</v>
      </c>
      <c r="X15" s="1353"/>
      <c r="Y15" s="382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821"/>
      <c r="Q16" s="1350"/>
      <c r="R16" s="705"/>
      <c r="S16" s="706"/>
      <c r="T16" s="705"/>
      <c r="U16" s="706"/>
      <c r="V16" s="705"/>
      <c r="W16" s="706"/>
      <c r="X16" s="1353"/>
      <c r="Y16" s="3821"/>
      <c r="Z16" s="1354"/>
      <c r="AA16" s="1351">
        <v>1</v>
      </c>
      <c r="AB16" s="1351">
        <v>1</v>
      </c>
      <c r="AC16" s="1351">
        <v>1</v>
      </c>
    </row>
    <row r="17" spans="1:29" ht="15">
      <c r="A17" s="379"/>
      <c r="B17" s="402" t="s">
        <v>1259</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21"/>
      <c r="Q17" s="1350" t="str">
        <f>B17</f>
        <v>交通便捷度</v>
      </c>
      <c r="R17" s="705" t="s">
        <v>14</v>
      </c>
      <c r="S17" s="706">
        <f>F17</f>
        <v>100</v>
      </c>
      <c r="T17" s="705" t="s">
        <v>14</v>
      </c>
      <c r="U17" s="706">
        <f>H17</f>
        <v>100</v>
      </c>
      <c r="V17" s="705" t="s">
        <v>14</v>
      </c>
      <c r="W17" s="706">
        <f>J17</f>
        <v>100</v>
      </c>
      <c r="X17" s="1353"/>
      <c r="Y17" s="382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821"/>
      <c r="Q18" s="1350"/>
      <c r="R18" s="705"/>
      <c r="S18" s="706"/>
      <c r="T18" s="705"/>
      <c r="U18" s="706"/>
      <c r="V18" s="705"/>
      <c r="W18" s="706"/>
      <c r="X18" s="1353"/>
      <c r="Y18" s="3821"/>
      <c r="Z18" s="1354"/>
      <c r="AA18" s="1351">
        <v>1</v>
      </c>
      <c r="AB18" s="1351">
        <v>1</v>
      </c>
      <c r="AC18" s="1351">
        <v>1</v>
      </c>
    </row>
    <row r="19" spans="1:29" ht="15">
      <c r="A19" s="379"/>
      <c r="B19" s="402" t="s">
        <v>1812</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21"/>
      <c r="Q19" s="1350" t="str">
        <f>B19</f>
        <v>公共配套设施</v>
      </c>
      <c r="R19" s="705" t="s">
        <v>14</v>
      </c>
      <c r="S19" s="706">
        <f>F19</f>
        <v>100</v>
      </c>
      <c r="T19" s="705" t="s">
        <v>14</v>
      </c>
      <c r="U19" s="706">
        <f>H19</f>
        <v>100</v>
      </c>
      <c r="V19" s="705" t="s">
        <v>14</v>
      </c>
      <c r="W19" s="706">
        <f>J19</f>
        <v>100</v>
      </c>
      <c r="X19" s="1353"/>
      <c r="Y19" s="382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821"/>
      <c r="Q20" s="1350"/>
      <c r="R20" s="705"/>
      <c r="S20" s="706"/>
      <c r="T20" s="705"/>
      <c r="U20" s="706"/>
      <c r="V20" s="705"/>
      <c r="W20" s="706"/>
      <c r="X20" s="1353"/>
      <c r="Y20" s="3821"/>
      <c r="Z20" s="1354"/>
      <c r="AA20" s="1351">
        <v>1</v>
      </c>
      <c r="AB20" s="1351">
        <v>1</v>
      </c>
      <c r="AC20" s="1351">
        <v>1</v>
      </c>
    </row>
    <row r="21" spans="1:29" ht="15">
      <c r="A21" s="379"/>
      <c r="B21" s="1130" t="s">
        <v>1813</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21"/>
      <c r="Q21" s="1350" t="str">
        <f>B21</f>
        <v>基础设施水平</v>
      </c>
      <c r="R21" s="705" t="s">
        <v>14</v>
      </c>
      <c r="S21" s="706">
        <f>F21</f>
        <v>100</v>
      </c>
      <c r="T21" s="705" t="s">
        <v>14</v>
      </c>
      <c r="U21" s="706">
        <f>H21</f>
        <v>100</v>
      </c>
      <c r="V21" s="705" t="s">
        <v>14</v>
      </c>
      <c r="W21" s="706">
        <f>J21</f>
        <v>100</v>
      </c>
      <c r="X21" s="1353"/>
      <c r="Y21" s="382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821"/>
      <c r="Q22" s="1350"/>
      <c r="R22" s="705"/>
      <c r="S22" s="706"/>
      <c r="T22" s="705"/>
      <c r="U22" s="706"/>
      <c r="V22" s="705"/>
      <c r="W22" s="706"/>
      <c r="X22" s="1353"/>
      <c r="Y22" s="3821"/>
      <c r="Z22" s="1354"/>
      <c r="AA22" s="1351">
        <v>1</v>
      </c>
      <c r="AB22" s="1351">
        <v>1</v>
      </c>
      <c r="AC22" s="1351">
        <v>1</v>
      </c>
    </row>
    <row r="23" spans="1:29" ht="15">
      <c r="A23" s="379"/>
      <c r="B23" s="402" t="s">
        <v>1814</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21"/>
      <c r="Q23" s="1350" t="str">
        <f>B23</f>
        <v>环境质量</v>
      </c>
      <c r="R23" s="705" t="s">
        <v>14</v>
      </c>
      <c r="S23" s="706">
        <f>F23</f>
        <v>100</v>
      </c>
      <c r="T23" s="705" t="s">
        <v>14</v>
      </c>
      <c r="U23" s="706">
        <f>H23</f>
        <v>100</v>
      </c>
      <c r="V23" s="705" t="s">
        <v>14</v>
      </c>
      <c r="W23" s="706">
        <f>J23</f>
        <v>100</v>
      </c>
      <c r="X23" s="1353"/>
      <c r="Y23" s="3821"/>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821"/>
      <c r="Q24" s="1350"/>
      <c r="R24" s="705"/>
      <c r="S24" s="706"/>
      <c r="T24" s="705"/>
      <c r="U24" s="706"/>
      <c r="V24" s="705"/>
      <c r="W24" s="706"/>
      <c r="X24" s="1353"/>
      <c r="Y24" s="3821"/>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21"/>
      <c r="Q25" s="1350">
        <f>B25</f>
        <v>111</v>
      </c>
      <c r="R25" s="705" t="s">
        <v>14</v>
      </c>
      <c r="S25" s="706">
        <f>F25</f>
        <v>100</v>
      </c>
      <c r="T25" s="705" t="s">
        <v>14</v>
      </c>
      <c r="U25" s="706">
        <f>H25</f>
        <v>100</v>
      </c>
      <c r="V25" s="705" t="s">
        <v>14</v>
      </c>
      <c r="W25" s="706">
        <f>J25</f>
        <v>100</v>
      </c>
      <c r="X25" s="1353"/>
      <c r="Y25" s="3821"/>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21"/>
      <c r="Q26" s="1350">
        <f t="shared" ref="Q26:Q40" si="11">B26</f>
        <v>111</v>
      </c>
      <c r="R26" s="705" t="s">
        <v>14</v>
      </c>
      <c r="S26" s="706">
        <f>F26</f>
        <v>100</v>
      </c>
      <c r="T26" s="705" t="s">
        <v>14</v>
      </c>
      <c r="U26" s="706">
        <f>H26</f>
        <v>100</v>
      </c>
      <c r="V26" s="705" t="s">
        <v>14</v>
      </c>
      <c r="W26" s="706">
        <f>J26</f>
        <v>100</v>
      </c>
      <c r="X26" s="1353"/>
      <c r="Y26" s="3821"/>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21"/>
      <c r="Q27" s="1341">
        <f t="shared" si="11"/>
        <v>111</v>
      </c>
      <c r="R27" s="701" t="s">
        <v>14</v>
      </c>
      <c r="S27" s="702">
        <f>F27</f>
        <v>100</v>
      </c>
      <c r="T27" s="701" t="s">
        <v>14</v>
      </c>
      <c r="U27" s="702">
        <f>H27</f>
        <v>100</v>
      </c>
      <c r="V27" s="701" t="s">
        <v>14</v>
      </c>
      <c r="W27" s="702">
        <f>J27</f>
        <v>100</v>
      </c>
      <c r="X27" s="703"/>
      <c r="Y27" s="3821"/>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21"/>
      <c r="Q28" s="1350">
        <f t="shared" si="11"/>
        <v>111</v>
      </c>
      <c r="R28" s="705" t="s">
        <v>14</v>
      </c>
      <c r="S28" s="706">
        <f t="shared" ref="S28:S40" si="12">F28</f>
        <v>100</v>
      </c>
      <c r="T28" s="705" t="s">
        <v>14</v>
      </c>
      <c r="U28" s="706">
        <f t="shared" ref="U28:U40" si="13">H28</f>
        <v>100</v>
      </c>
      <c r="V28" s="705" t="s">
        <v>14</v>
      </c>
      <c r="W28" s="706">
        <f t="shared" ref="W28:W40" si="14">J28</f>
        <v>100</v>
      </c>
      <c r="X28" s="1353"/>
      <c r="Y28" s="3821"/>
      <c r="Z28" s="1354">
        <f t="shared" ref="Z28:Z40" si="15">Q28</f>
        <v>111</v>
      </c>
      <c r="AA28" s="1351">
        <f t="shared" si="3"/>
        <v>1</v>
      </c>
      <c r="AB28" s="1351">
        <f t="shared" si="4"/>
        <v>1</v>
      </c>
      <c r="AC28" s="1351">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22" t="s">
        <v>1696</v>
      </c>
      <c r="Q29" s="1350" t="str">
        <f t="shared" si="11"/>
        <v>建筑类型</v>
      </c>
      <c r="R29" s="705" t="s">
        <v>14</v>
      </c>
      <c r="S29" s="706">
        <f t="shared" si="12"/>
        <v>100</v>
      </c>
      <c r="T29" s="705" t="s">
        <v>14</v>
      </c>
      <c r="U29" s="706">
        <f t="shared" si="13"/>
        <v>100</v>
      </c>
      <c r="V29" s="705" t="s">
        <v>14</v>
      </c>
      <c r="W29" s="706">
        <f t="shared" si="14"/>
        <v>100</v>
      </c>
      <c r="X29" s="1353"/>
      <c r="Y29" s="382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23"/>
      <c r="Q30" s="707" t="str">
        <f t="shared" si="11"/>
        <v>项目建筑规模</v>
      </c>
      <c r="R30" s="708" t="s">
        <v>14</v>
      </c>
      <c r="S30" s="709" t="e">
        <f t="shared" si="12"/>
        <v>#N/A</v>
      </c>
      <c r="T30" s="708" t="s">
        <v>14</v>
      </c>
      <c r="U30" s="709" t="e">
        <f t="shared" si="13"/>
        <v>#N/A</v>
      </c>
      <c r="V30" s="708" t="s">
        <v>14</v>
      </c>
      <c r="W30" s="709" t="e">
        <f t="shared" si="14"/>
        <v>#N/A</v>
      </c>
      <c r="X30" s="710"/>
      <c r="Y30" s="382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23"/>
      <c r="Q31" s="1350" t="str">
        <f t="shared" si="11"/>
        <v>建筑结构</v>
      </c>
      <c r="R31" s="705" t="s">
        <v>14</v>
      </c>
      <c r="S31" s="706">
        <f t="shared" si="12"/>
        <v>100</v>
      </c>
      <c r="T31" s="705" t="s">
        <v>14</v>
      </c>
      <c r="U31" s="706">
        <f t="shared" si="13"/>
        <v>100</v>
      </c>
      <c r="V31" s="705" t="s">
        <v>14</v>
      </c>
      <c r="W31" s="706">
        <f t="shared" si="14"/>
        <v>100</v>
      </c>
      <c r="X31" s="1353"/>
      <c r="Y31" s="382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23"/>
      <c r="Q32" s="1350" t="str">
        <f t="shared" si="11"/>
        <v>公共部分装修</v>
      </c>
      <c r="R32" s="705" t="s">
        <v>14</v>
      </c>
      <c r="S32" s="706">
        <f t="shared" si="12"/>
        <v>100</v>
      </c>
      <c r="T32" s="705" t="s">
        <v>14</v>
      </c>
      <c r="U32" s="706">
        <f t="shared" si="13"/>
        <v>100</v>
      </c>
      <c r="V32" s="705" t="s">
        <v>14</v>
      </c>
      <c r="W32" s="706">
        <f t="shared" si="14"/>
        <v>100</v>
      </c>
      <c r="X32" s="1353"/>
      <c r="Y32" s="382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23"/>
      <c r="Q33" s="1350" t="str">
        <f t="shared" si="11"/>
        <v>成新度</v>
      </c>
      <c r="R33" s="705" t="s">
        <v>14</v>
      </c>
      <c r="S33" s="706" t="e">
        <f t="shared" si="12"/>
        <v>#N/A</v>
      </c>
      <c r="T33" s="705" t="s">
        <v>14</v>
      </c>
      <c r="U33" s="706" t="e">
        <f t="shared" si="13"/>
        <v>#N/A</v>
      </c>
      <c r="V33" s="705" t="s">
        <v>14</v>
      </c>
      <c r="W33" s="706" t="e">
        <f t="shared" si="14"/>
        <v>#N/A</v>
      </c>
      <c r="X33" s="1353"/>
      <c r="Y33" s="382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23"/>
      <c r="Q34" s="1341" t="str">
        <f t="shared" si="11"/>
        <v>物业管理</v>
      </c>
      <c r="R34" s="701" t="s">
        <v>14</v>
      </c>
      <c r="S34" s="702">
        <f t="shared" si="12"/>
        <v>100</v>
      </c>
      <c r="T34" s="701" t="s">
        <v>14</v>
      </c>
      <c r="U34" s="702">
        <f t="shared" si="13"/>
        <v>100</v>
      </c>
      <c r="V34" s="701" t="s">
        <v>14</v>
      </c>
      <c r="W34" s="702">
        <f t="shared" si="14"/>
        <v>100</v>
      </c>
      <c r="X34" s="703"/>
      <c r="Y34" s="38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23" t="s">
        <v>1696</v>
      </c>
      <c r="Q35" s="1350" t="str">
        <f t="shared" si="11"/>
        <v>市政基础设施</v>
      </c>
      <c r="R35" s="705" t="s">
        <v>14</v>
      </c>
      <c r="S35" s="706">
        <f t="shared" si="12"/>
        <v>100</v>
      </c>
      <c r="T35" s="705" t="s">
        <v>14</v>
      </c>
      <c r="U35" s="706">
        <f t="shared" si="13"/>
        <v>100</v>
      </c>
      <c r="V35" s="705" t="s">
        <v>14</v>
      </c>
      <c r="W35" s="706">
        <f t="shared" si="14"/>
        <v>100</v>
      </c>
      <c r="X35" s="1353"/>
      <c r="Y35" s="382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23"/>
      <c r="Q36" s="1350" t="str">
        <f t="shared" si="11"/>
        <v>内部装修</v>
      </c>
      <c r="R36" s="705" t="s">
        <v>14</v>
      </c>
      <c r="S36" s="706">
        <f t="shared" si="12"/>
        <v>100</v>
      </c>
      <c r="T36" s="705" t="s">
        <v>14</v>
      </c>
      <c r="U36" s="706">
        <f t="shared" si="13"/>
        <v>100</v>
      </c>
      <c r="V36" s="705" t="s">
        <v>14</v>
      </c>
      <c r="W36" s="706">
        <f t="shared" si="14"/>
        <v>100</v>
      </c>
      <c r="X36" s="1353"/>
      <c r="Y36" s="382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23"/>
      <c r="Q37" s="1350" t="str">
        <f t="shared" si="11"/>
        <v>内部装修状况</v>
      </c>
      <c r="R37" s="705" t="s">
        <v>14</v>
      </c>
      <c r="S37" s="706">
        <f t="shared" si="12"/>
        <v>100</v>
      </c>
      <c r="T37" s="705" t="s">
        <v>14</v>
      </c>
      <c r="U37" s="706">
        <f t="shared" si="13"/>
        <v>100</v>
      </c>
      <c r="V37" s="705" t="s">
        <v>14</v>
      </c>
      <c r="W37" s="706">
        <f t="shared" si="14"/>
        <v>100</v>
      </c>
      <c r="X37" s="1353"/>
      <c r="Y37" s="382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23"/>
      <c r="Q38" s="707">
        <f t="shared" si="11"/>
        <v>111</v>
      </c>
      <c r="R38" s="708" t="s">
        <v>14</v>
      </c>
      <c r="S38" s="709">
        <f t="shared" si="12"/>
        <v>100</v>
      </c>
      <c r="T38" s="708" t="s">
        <v>14</v>
      </c>
      <c r="U38" s="709">
        <f t="shared" si="13"/>
        <v>100</v>
      </c>
      <c r="V38" s="708" t="s">
        <v>14</v>
      </c>
      <c r="W38" s="709">
        <f t="shared" si="14"/>
        <v>100</v>
      </c>
      <c r="X38" s="710"/>
      <c r="Y38" s="382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23"/>
      <c r="Q39" s="1350">
        <f t="shared" si="11"/>
        <v>111</v>
      </c>
      <c r="R39" s="705" t="s">
        <v>14</v>
      </c>
      <c r="S39" s="706">
        <f t="shared" si="12"/>
        <v>100</v>
      </c>
      <c r="T39" s="705" t="s">
        <v>14</v>
      </c>
      <c r="U39" s="706">
        <f t="shared" si="13"/>
        <v>100</v>
      </c>
      <c r="V39" s="705" t="s">
        <v>14</v>
      </c>
      <c r="W39" s="706">
        <f t="shared" si="14"/>
        <v>100</v>
      </c>
      <c r="X39" s="1353"/>
      <c r="Y39" s="382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61"/>
      <c r="Q40" s="1350">
        <f t="shared" si="11"/>
        <v>111</v>
      </c>
      <c r="R40" s="705" t="s">
        <v>14</v>
      </c>
      <c r="S40" s="706">
        <f t="shared" si="12"/>
        <v>100</v>
      </c>
      <c r="T40" s="705" t="s">
        <v>14</v>
      </c>
      <c r="U40" s="706">
        <f t="shared" si="13"/>
        <v>100</v>
      </c>
      <c r="V40" s="705" t="s">
        <v>14</v>
      </c>
      <c r="W40" s="706">
        <f t="shared" si="14"/>
        <v>100</v>
      </c>
      <c r="X40" s="1353"/>
      <c r="Y40" s="3861"/>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805" t="str">
        <f>A41</f>
        <v>成交单价（元/平方米）</v>
      </c>
      <c r="Q41" s="3805"/>
      <c r="R41" s="3857">
        <f>E41</f>
        <v>0</v>
      </c>
      <c r="S41" s="3857"/>
      <c r="T41" s="3857">
        <f>G41</f>
        <v>0</v>
      </c>
      <c r="U41" s="3857"/>
      <c r="V41" s="3857">
        <f>I41</f>
        <v>0</v>
      </c>
      <c r="W41" s="3857"/>
      <c r="X41" s="690"/>
      <c r="Y41" s="712"/>
      <c r="Z41" s="690"/>
      <c r="AA41" s="690"/>
      <c r="AB41" s="690"/>
      <c r="AC41" s="690"/>
    </row>
    <row r="42" spans="1:29" ht="15.75" thickBot="1">
      <c r="A42" s="437" t="s">
        <v>1793</v>
      </c>
      <c r="B42" s="438"/>
      <c r="C42" s="1159" t="e">
        <f>R43</f>
        <v>#DIV/0!</v>
      </c>
      <c r="D42" s="2313" t="s">
        <v>2138</v>
      </c>
      <c r="E42" s="1160" t="e">
        <f>R42</f>
        <v>#DIV/0!</v>
      </c>
      <c r="F42" s="2314"/>
      <c r="G42" s="1159" t="e">
        <f>T42</f>
        <v>#DIV/0!</v>
      </c>
      <c r="H42" s="2314"/>
      <c r="I42" s="1160" t="e">
        <f>V42</f>
        <v>#DIV/0!</v>
      </c>
      <c r="J42" s="2314"/>
      <c r="K42" s="2316">
        <f>F42+H42+J42</f>
        <v>0</v>
      </c>
      <c r="L42" s="925"/>
      <c r="M42" s="926"/>
      <c r="N42" s="913"/>
      <c r="O42" s="926"/>
      <c r="P42" s="3805" t="str">
        <f>A42</f>
        <v>比较价值（元/平方米）</v>
      </c>
      <c r="Q42" s="3805"/>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825" t="str">
        <f>A43</f>
        <v>估价对象XX用房的比较价值（楼面单价，元/平方米）</v>
      </c>
      <c r="Q43" s="3826"/>
      <c r="R43" s="3856" t="e">
        <f>IF(F1="售价",ROUND(IF(D42="简单平均",AVERAGE(R42:V42),R42*F42+T42*H42+V42*J42),0),ROUND(IF(D42="简单平均",AVERAGE(R42:V42),R42*F42+T42*H42+V42*J42),1))</f>
        <v>#DIV/0!</v>
      </c>
      <c r="S43" s="3856"/>
      <c r="T43" s="3856"/>
      <c r="U43" s="3856"/>
      <c r="V43" s="3856"/>
      <c r="W43" s="3856"/>
      <c r="X43" s="690"/>
      <c r="Y43" s="690"/>
      <c r="Z43" s="690"/>
      <c r="AA43" s="690"/>
      <c r="AB43" s="690"/>
      <c r="AC43" s="690"/>
    </row>
    <row r="44" spans="1:29">
      <c r="A44" s="2715"/>
      <c r="B44" s="2715"/>
      <c r="C44" s="2715"/>
      <c r="D44" s="2715"/>
      <c r="E44" s="2715"/>
      <c r="F44" s="2715"/>
      <c r="G44" s="2719"/>
      <c r="H44" s="2715"/>
      <c r="I44" s="2715"/>
      <c r="J44" s="2715"/>
      <c r="K44" s="2720"/>
      <c r="L44" s="888"/>
      <c r="M44" s="926"/>
      <c r="N44" s="926"/>
      <c r="O44" s="926"/>
    </row>
    <row r="45" spans="1:29">
      <c r="A45" s="2715"/>
      <c r="B45" s="2715"/>
      <c r="C45" s="2715"/>
      <c r="D45" s="2715"/>
      <c r="E45" s="2715"/>
      <c r="F45" s="2715"/>
      <c r="G45" s="2715"/>
      <c r="H45" s="2715"/>
      <c r="I45" s="2715"/>
      <c r="J45" s="2715"/>
      <c r="K45" s="2720"/>
      <c r="L45" s="888"/>
      <c r="M45" s="926"/>
      <c r="N45" s="926"/>
      <c r="O45" s="926"/>
    </row>
    <row r="46" spans="1:29" ht="13.5" customHeight="1">
      <c r="A46" s="2715"/>
      <c r="B46" s="271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8"/>
      <c r="M46" s="926"/>
      <c r="N46" s="926"/>
      <c r="O46" s="926"/>
    </row>
    <row r="47" spans="1:29" ht="13.5" customHeight="1">
      <c r="A47" s="2715"/>
      <c r="B47" s="271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8"/>
      <c r="M47" s="926"/>
      <c r="N47" s="926"/>
      <c r="O47" s="926"/>
    </row>
    <row r="48" spans="1:29" s="451" customFormat="1" ht="13.5" customHeight="1">
      <c r="A48" s="2718"/>
      <c r="B48" s="271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9"/>
      <c r="M48" s="927"/>
      <c r="N48" s="927"/>
      <c r="O48" s="927"/>
    </row>
    <row r="49" spans="1:17" s="451" customFormat="1">
      <c r="A49" s="2718"/>
      <c r="B49" s="2721"/>
      <c r="C49" s="2722"/>
      <c r="D49" s="2718"/>
      <c r="E49" s="2718"/>
      <c r="F49" s="2718"/>
      <c r="G49" s="2718"/>
      <c r="H49" s="2718"/>
      <c r="I49" s="2718"/>
      <c r="J49" s="2718"/>
      <c r="K49" s="2723"/>
      <c r="L49" s="929"/>
      <c r="M49" s="927"/>
      <c r="N49" s="927"/>
      <c r="O49" s="927"/>
    </row>
    <row r="50" spans="1:17">
      <c r="A50" s="2715"/>
      <c r="B50" s="2721"/>
      <c r="C50" s="2722"/>
      <c r="D50" s="2715"/>
      <c r="E50" s="2715"/>
      <c r="F50" s="2715"/>
      <c r="G50" s="2715"/>
      <c r="H50" s="2715"/>
      <c r="I50" s="2715"/>
      <c r="J50" s="2715"/>
      <c r="K50" s="2720"/>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0"/>
      <c r="O54" s="2761"/>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2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4"/>
      <c r="M2" s="2725"/>
      <c r="N2" s="2725"/>
      <c r="O2" s="2725"/>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24"/>
      <c r="M3" s="2725" t="e">
        <f ca="1">IF(C2="——",IF(B37="元/平方米",ROUND(C39*D3/10000,0),ROUND(F3*C39/10000,0)),IF(B37="元/平方米",ROUND(C39*D3/10000,0),ROUND(F3*C39/10000,0))-D2)</f>
        <v>#DIV/0!</v>
      </c>
      <c r="N3" s="2725"/>
      <c r="O3" s="2725"/>
      <c r="P3" s="1164"/>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5"/>
      <c r="M4" s="2706"/>
      <c r="N4" s="2706"/>
      <c r="O4" s="2706"/>
      <c r="P4" s="3810" t="s">
        <v>1775</v>
      </c>
      <c r="Q4" s="3811"/>
      <c r="R4" s="3792" t="s">
        <v>1771</v>
      </c>
      <c r="S4" s="3793"/>
      <c r="T4" s="3792" t="s">
        <v>1772</v>
      </c>
      <c r="U4" s="3793"/>
      <c r="V4" s="3818" t="s">
        <v>1773</v>
      </c>
      <c r="W4" s="3818"/>
      <c r="X4" s="1353"/>
      <c r="Y4" s="3792" t="s">
        <v>1775</v>
      </c>
      <c r="Z4" s="3793"/>
      <c r="AA4" s="3787" t="s">
        <v>1771</v>
      </c>
      <c r="AB4" s="3788" t="s">
        <v>1772</v>
      </c>
      <c r="AC4" s="3787" t="s">
        <v>1773</v>
      </c>
    </row>
    <row r="5" spans="1:29" ht="15">
      <c r="A5" s="358"/>
      <c r="B5" s="359"/>
      <c r="C5" s="3802" t="s">
        <v>1673</v>
      </c>
      <c r="D5" s="3799"/>
      <c r="E5" s="3796" t="s">
        <v>1674</v>
      </c>
      <c r="F5" s="3797"/>
      <c r="G5" s="3802" t="s">
        <v>1675</v>
      </c>
      <c r="H5" s="3799"/>
      <c r="I5" s="3802" t="s">
        <v>1676</v>
      </c>
      <c r="J5" s="3799"/>
      <c r="K5" s="559"/>
      <c r="L5" s="2705"/>
      <c r="M5" s="2706"/>
      <c r="N5" s="2706"/>
      <c r="O5" s="2706"/>
      <c r="P5" s="3812"/>
      <c r="Q5" s="3813"/>
      <c r="R5" s="3794"/>
      <c r="S5" s="3795"/>
      <c r="T5" s="3794"/>
      <c r="U5" s="3795"/>
      <c r="V5" s="3818"/>
      <c r="W5" s="3818"/>
      <c r="X5" s="1353"/>
      <c r="Y5" s="3794"/>
      <c r="Z5" s="3795"/>
      <c r="AA5" s="3788"/>
      <c r="AB5" s="3788"/>
      <c r="AC5" s="3788"/>
    </row>
    <row r="6" spans="1:29" ht="15.75" thickBot="1">
      <c r="A6" s="360"/>
      <c r="B6" s="361"/>
      <c r="C6" s="3800" t="s">
        <v>1677</v>
      </c>
      <c r="D6" s="3801"/>
      <c r="E6" s="3803" t="s">
        <v>1677</v>
      </c>
      <c r="F6" s="3804"/>
      <c r="G6" s="3800" t="s">
        <v>1677</v>
      </c>
      <c r="H6" s="3801"/>
      <c r="I6" s="3800" t="s">
        <v>1677</v>
      </c>
      <c r="J6" s="3801"/>
      <c r="K6" s="559" t="s">
        <v>1678</v>
      </c>
      <c r="L6" s="2705"/>
      <c r="M6" s="2706"/>
      <c r="N6" s="2706"/>
      <c r="O6" s="2706"/>
      <c r="P6" s="3814"/>
      <c r="Q6" s="3815"/>
      <c r="R6" s="3794"/>
      <c r="S6" s="3795"/>
      <c r="T6" s="3816"/>
      <c r="U6" s="3817"/>
      <c r="V6" s="3818"/>
      <c r="W6" s="3818"/>
      <c r="X6" s="1353"/>
      <c r="Y6" s="3816"/>
      <c r="Z6" s="3817"/>
      <c r="AA6" s="3789"/>
      <c r="AB6" s="3789"/>
      <c r="AC6" s="3789"/>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7"/>
      <c r="M7" s="2708"/>
      <c r="N7" s="2708"/>
      <c r="O7" s="2708"/>
      <c r="P7" s="3790" t="s">
        <v>1680</v>
      </c>
      <c r="Q7" s="3819"/>
      <c r="R7" s="701" t="s">
        <v>14</v>
      </c>
      <c r="S7" s="702">
        <f t="shared" ref="S7:S14" si="0">F7</f>
        <v>0</v>
      </c>
      <c r="T7" s="701" t="s">
        <v>14</v>
      </c>
      <c r="U7" s="702">
        <f t="shared" ref="U7:U14" si="1">H7</f>
        <v>0</v>
      </c>
      <c r="V7" s="701" t="s">
        <v>14</v>
      </c>
      <c r="W7" s="702">
        <f t="shared" ref="W7:W14" si="2">J7</f>
        <v>0</v>
      </c>
      <c r="X7" s="703"/>
      <c r="Y7" s="3790" t="s">
        <v>1680</v>
      </c>
      <c r="Z7" s="37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790" t="s">
        <v>1683</v>
      </c>
      <c r="Q8" s="3791"/>
      <c r="R8" s="701" t="s">
        <v>14</v>
      </c>
      <c r="S8" s="702">
        <f t="shared" si="0"/>
        <v>100</v>
      </c>
      <c r="T8" s="701" t="s">
        <v>14</v>
      </c>
      <c r="U8" s="702">
        <f t="shared" si="1"/>
        <v>100</v>
      </c>
      <c r="V8" s="701" t="s">
        <v>14</v>
      </c>
      <c r="W8" s="702">
        <f t="shared" si="2"/>
        <v>100</v>
      </c>
      <c r="X8" s="703"/>
      <c r="Y8" s="3790" t="s">
        <v>1683</v>
      </c>
      <c r="Z8" s="37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805" t="s">
        <v>1686</v>
      </c>
      <c r="Q9" s="1341" t="str">
        <f t="shared" ref="Q9:Q14" si="6">B9</f>
        <v>用途</v>
      </c>
      <c r="R9" s="701" t="s">
        <v>14</v>
      </c>
      <c r="S9" s="702">
        <f t="shared" si="0"/>
        <v>100</v>
      </c>
      <c r="T9" s="701" t="s">
        <v>14</v>
      </c>
      <c r="U9" s="702">
        <f t="shared" si="1"/>
        <v>100</v>
      </c>
      <c r="V9" s="701" t="s">
        <v>14</v>
      </c>
      <c r="W9" s="702">
        <f t="shared" si="2"/>
        <v>100</v>
      </c>
      <c r="X9" s="703"/>
      <c r="Y9" s="3741" t="s">
        <v>1687</v>
      </c>
      <c r="Z9" s="52" t="str">
        <f t="shared" ref="Z9:Z14" si="7">Q9</f>
        <v>用途</v>
      </c>
      <c r="AA9" s="704">
        <f t="shared" si="3"/>
        <v>1</v>
      </c>
      <c r="AB9" s="704">
        <f t="shared" si="4"/>
        <v>1</v>
      </c>
      <c r="AC9" s="704">
        <f t="shared" si="5"/>
        <v>1</v>
      </c>
    </row>
    <row r="10" spans="1:29" s="378" customFormat="1" ht="27">
      <c r="A10" s="589"/>
      <c r="B10" s="590" t="s">
        <v>1688</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805"/>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805"/>
      <c r="Q11" s="1341">
        <f t="shared" si="6"/>
        <v>111</v>
      </c>
      <c r="R11" s="701" t="s">
        <v>14</v>
      </c>
      <c r="S11" s="702">
        <f t="shared" si="0"/>
        <v>100</v>
      </c>
      <c r="T11" s="701" t="s">
        <v>14</v>
      </c>
      <c r="U11" s="702">
        <f t="shared" si="1"/>
        <v>100</v>
      </c>
      <c r="V11" s="701" t="s">
        <v>14</v>
      </c>
      <c r="W11" s="702">
        <f t="shared" si="2"/>
        <v>100</v>
      </c>
      <c r="X11" s="703"/>
      <c r="Y11" s="37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805"/>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805"/>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
      <c r="A14" s="355" t="s">
        <v>1690</v>
      </c>
      <c r="B14" s="577" t="s">
        <v>1833</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820" t="s">
        <v>1691</v>
      </c>
      <c r="Q14" s="1350" t="str">
        <f t="shared" si="6"/>
        <v>交通便捷度</v>
      </c>
      <c r="R14" s="705" t="s">
        <v>14</v>
      </c>
      <c r="S14" s="706">
        <f t="shared" si="0"/>
        <v>100</v>
      </c>
      <c r="T14" s="705" t="s">
        <v>14</v>
      </c>
      <c r="U14" s="706">
        <f t="shared" si="1"/>
        <v>100</v>
      </c>
      <c r="V14" s="705" t="s">
        <v>14</v>
      </c>
      <c r="W14" s="706">
        <f t="shared" si="2"/>
        <v>100</v>
      </c>
      <c r="X14" s="1353"/>
      <c r="Y14" s="382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2"/>
      <c r="M15" s="2706"/>
      <c r="N15" s="2706"/>
      <c r="O15" s="2706"/>
      <c r="P15" s="3821"/>
      <c r="Q15" s="1350"/>
      <c r="R15" s="705"/>
      <c r="S15" s="706"/>
      <c r="T15" s="705"/>
      <c r="U15" s="706"/>
      <c r="V15" s="705"/>
      <c r="W15" s="706"/>
      <c r="X15" s="1353"/>
      <c r="Y15" s="3821"/>
      <c r="Z15" s="1354"/>
      <c r="AA15" s="1351">
        <v>1</v>
      </c>
      <c r="AB15" s="1351">
        <v>1</v>
      </c>
      <c r="AC15" s="1351">
        <v>1</v>
      </c>
    </row>
    <row r="16" spans="1:29" ht="15">
      <c r="A16" s="358"/>
      <c r="B16" s="579" t="s">
        <v>1812</v>
      </c>
      <c r="C16" s="1898"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821"/>
      <c r="Q16" s="1350" t="str">
        <f>B16</f>
        <v>公共配套设施</v>
      </c>
      <c r="R16" s="705" t="s">
        <v>14</v>
      </c>
      <c r="S16" s="706">
        <f>F16</f>
        <v>100</v>
      </c>
      <c r="T16" s="705" t="s">
        <v>14</v>
      </c>
      <c r="U16" s="706">
        <f>H16</f>
        <v>100</v>
      </c>
      <c r="V16" s="705" t="s">
        <v>14</v>
      </c>
      <c r="W16" s="706">
        <f>J16</f>
        <v>100</v>
      </c>
      <c r="X16" s="1353"/>
      <c r="Y16" s="382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2"/>
      <c r="M17" s="2706"/>
      <c r="N17" s="2706"/>
      <c r="O17" s="2706"/>
      <c r="P17" s="3821"/>
      <c r="Q17" s="1350"/>
      <c r="R17" s="705"/>
      <c r="S17" s="706"/>
      <c r="T17" s="705"/>
      <c r="U17" s="706"/>
      <c r="V17" s="705"/>
      <c r="W17" s="706"/>
      <c r="X17" s="1353"/>
      <c r="Y17" s="3821"/>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821"/>
      <c r="Q18" s="1350" t="str">
        <f>B18</f>
        <v>基础设施水平</v>
      </c>
      <c r="R18" s="705" t="s">
        <v>14</v>
      </c>
      <c r="S18" s="706">
        <f>F18</f>
        <v>100</v>
      </c>
      <c r="T18" s="705" t="s">
        <v>14</v>
      </c>
      <c r="U18" s="706">
        <f>H18</f>
        <v>100</v>
      </c>
      <c r="V18" s="705" t="s">
        <v>14</v>
      </c>
      <c r="W18" s="706">
        <f>J18</f>
        <v>100</v>
      </c>
      <c r="X18" s="1353"/>
      <c r="Y18" s="382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2"/>
      <c r="M19" s="2706"/>
      <c r="N19" s="2706"/>
      <c r="O19" s="2706"/>
      <c r="P19" s="3821"/>
      <c r="Q19" s="1350"/>
      <c r="R19" s="705"/>
      <c r="S19" s="706"/>
      <c r="T19" s="705"/>
      <c r="U19" s="706"/>
      <c r="V19" s="705"/>
      <c r="W19" s="706"/>
      <c r="X19" s="1353"/>
      <c r="Y19" s="3821"/>
      <c r="Z19" s="1354"/>
      <c r="AA19" s="1351">
        <v>1</v>
      </c>
      <c r="AB19" s="1351">
        <v>1</v>
      </c>
      <c r="AC19" s="1351">
        <v>1</v>
      </c>
    </row>
    <row r="20" spans="1:29" ht="15">
      <c r="A20" s="358"/>
      <c r="B20" s="579" t="s">
        <v>1834</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821"/>
      <c r="Q20" s="1350" t="str">
        <f>B20</f>
        <v>自然及人文环境</v>
      </c>
      <c r="R20" s="705" t="s">
        <v>14</v>
      </c>
      <c r="S20" s="706">
        <f>F20</f>
        <v>100</v>
      </c>
      <c r="T20" s="705" t="s">
        <v>14</v>
      </c>
      <c r="U20" s="706">
        <f>H20</f>
        <v>100</v>
      </c>
      <c r="V20" s="705" t="s">
        <v>14</v>
      </c>
      <c r="W20" s="706">
        <f>J20</f>
        <v>100</v>
      </c>
      <c r="X20" s="1353"/>
      <c r="Y20" s="382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2"/>
      <c r="M21" s="2706"/>
      <c r="N21" s="2706"/>
      <c r="O21" s="2706"/>
      <c r="P21" s="3821"/>
      <c r="Q21" s="1350"/>
      <c r="R21" s="705"/>
      <c r="S21" s="706"/>
      <c r="T21" s="705"/>
      <c r="U21" s="706"/>
      <c r="V21" s="705"/>
      <c r="W21" s="706"/>
      <c r="X21" s="1353"/>
      <c r="Y21" s="382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821"/>
      <c r="Q22" s="1350" t="str">
        <f>B22</f>
        <v>楼层</v>
      </c>
      <c r="R22" s="705" t="s">
        <v>14</v>
      </c>
      <c r="S22" s="706">
        <f>F22</f>
        <v>100</v>
      </c>
      <c r="T22" s="705" t="s">
        <v>14</v>
      </c>
      <c r="U22" s="706">
        <f>H22</f>
        <v>100</v>
      </c>
      <c r="V22" s="705" t="s">
        <v>14</v>
      </c>
      <c r="W22" s="706">
        <f>J22</f>
        <v>100</v>
      </c>
      <c r="X22" s="1353"/>
      <c r="Y22" s="382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821"/>
      <c r="Q23" s="1350">
        <f>B23</f>
        <v>111</v>
      </c>
      <c r="R23" s="705" t="s">
        <v>14</v>
      </c>
      <c r="S23" s="706">
        <f>F23</f>
        <v>100</v>
      </c>
      <c r="T23" s="705" t="s">
        <v>14</v>
      </c>
      <c r="U23" s="706">
        <f>H23</f>
        <v>100</v>
      </c>
      <c r="V23" s="705" t="s">
        <v>14</v>
      </c>
      <c r="W23" s="706">
        <f>J23</f>
        <v>100</v>
      </c>
      <c r="X23" s="1353"/>
      <c r="Y23" s="382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821"/>
      <c r="Q24" s="1350">
        <f t="shared" ref="Q24:Q36" si="11">B24</f>
        <v>111</v>
      </c>
      <c r="R24" s="705" t="s">
        <v>14</v>
      </c>
      <c r="S24" s="706">
        <f>F24</f>
        <v>100</v>
      </c>
      <c r="T24" s="705" t="s">
        <v>14</v>
      </c>
      <c r="U24" s="706">
        <f>H24</f>
        <v>100</v>
      </c>
      <c r="V24" s="705" t="s">
        <v>14</v>
      </c>
      <c r="W24" s="706">
        <f>J24</f>
        <v>100</v>
      </c>
      <c r="X24" s="1353"/>
      <c r="Y24" s="382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7"/>
      <c r="M25" s="2708"/>
      <c r="N25" s="2708"/>
      <c r="O25" s="2708"/>
      <c r="P25" s="3821"/>
      <c r="Q25" s="1341">
        <f t="shared" si="11"/>
        <v>111</v>
      </c>
      <c r="R25" s="701" t="s">
        <v>14</v>
      </c>
      <c r="S25" s="702">
        <f>F25</f>
        <v>100</v>
      </c>
      <c r="T25" s="701" t="s">
        <v>14</v>
      </c>
      <c r="U25" s="702">
        <f>H25</f>
        <v>100</v>
      </c>
      <c r="V25" s="701" t="s">
        <v>14</v>
      </c>
      <c r="W25" s="702">
        <f>J25</f>
        <v>100</v>
      </c>
      <c r="X25" s="703"/>
      <c r="Y25" s="3821"/>
      <c r="Z25" s="52">
        <f>Q25</f>
        <v>111</v>
      </c>
      <c r="AA25" s="1351">
        <f>D25/F25</f>
        <v>1</v>
      </c>
      <c r="AB25" s="1351">
        <f>D25/H25</f>
        <v>1</v>
      </c>
      <c r="AC25" s="1351">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822"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82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1"/>
      <c r="M27" s="2713"/>
      <c r="N27" s="2713"/>
      <c r="O27" s="2713"/>
      <c r="P27" s="3823"/>
      <c r="Q27" s="707" t="str">
        <f t="shared" si="11"/>
        <v>项目停车位配比</v>
      </c>
      <c r="R27" s="708" t="s">
        <v>14</v>
      </c>
      <c r="S27" s="709">
        <f t="shared" si="12"/>
        <v>100</v>
      </c>
      <c r="T27" s="708" t="s">
        <v>14</v>
      </c>
      <c r="U27" s="709">
        <f t="shared" si="13"/>
        <v>100</v>
      </c>
      <c r="V27" s="708" t="s">
        <v>14</v>
      </c>
      <c r="W27" s="709">
        <f t="shared" si="14"/>
        <v>100</v>
      </c>
      <c r="X27" s="710"/>
      <c r="Y27" s="382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823"/>
      <c r="Q28" s="1350" t="str">
        <f t="shared" si="11"/>
        <v>公共部分装修</v>
      </c>
      <c r="R28" s="705" t="s">
        <v>14</v>
      </c>
      <c r="S28" s="706">
        <f t="shared" si="12"/>
        <v>100</v>
      </c>
      <c r="T28" s="705" t="s">
        <v>14</v>
      </c>
      <c r="U28" s="706">
        <f t="shared" si="13"/>
        <v>100</v>
      </c>
      <c r="V28" s="705" t="s">
        <v>14</v>
      </c>
      <c r="W28" s="706">
        <f t="shared" si="14"/>
        <v>100</v>
      </c>
      <c r="X28" s="1353"/>
      <c r="Y28" s="382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823"/>
      <c r="Q29" s="1350" t="str">
        <f t="shared" si="11"/>
        <v>成新率</v>
      </c>
      <c r="R29" s="705" t="s">
        <v>14</v>
      </c>
      <c r="S29" s="706" t="e">
        <f t="shared" si="12"/>
        <v>#N/A</v>
      </c>
      <c r="T29" s="705" t="s">
        <v>14</v>
      </c>
      <c r="U29" s="706" t="e">
        <f t="shared" si="13"/>
        <v>#N/A</v>
      </c>
      <c r="V29" s="705" t="s">
        <v>14</v>
      </c>
      <c r="W29" s="706" t="e">
        <f t="shared" si="14"/>
        <v>#N/A</v>
      </c>
      <c r="X29" s="1353"/>
      <c r="Y29" s="382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2"/>
      <c r="M30" s="2706"/>
      <c r="N30" s="2706"/>
      <c r="O30" s="2706"/>
      <c r="P30" s="3823"/>
      <c r="Q30" s="1350" t="str">
        <f t="shared" si="11"/>
        <v>物业等级</v>
      </c>
      <c r="R30" s="705" t="s">
        <v>14</v>
      </c>
      <c r="S30" s="706">
        <f t="shared" si="12"/>
        <v>100</v>
      </c>
      <c r="T30" s="705" t="s">
        <v>14</v>
      </c>
      <c r="U30" s="706">
        <f t="shared" si="13"/>
        <v>100</v>
      </c>
      <c r="V30" s="705" t="s">
        <v>14</v>
      </c>
      <c r="W30" s="706">
        <f t="shared" si="14"/>
        <v>100</v>
      </c>
      <c r="X30" s="1353"/>
      <c r="Y30" s="382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823"/>
      <c r="Q31" s="1341" t="str">
        <f t="shared" si="11"/>
        <v>停车位面积</v>
      </c>
      <c r="R31" s="701" t="s">
        <v>14</v>
      </c>
      <c r="S31" s="702" t="e">
        <f t="shared" si="12"/>
        <v>#N/A</v>
      </c>
      <c r="T31" s="701" t="s">
        <v>14</v>
      </c>
      <c r="U31" s="702" t="e">
        <f t="shared" si="13"/>
        <v>#N/A</v>
      </c>
      <c r="V31" s="701" t="s">
        <v>14</v>
      </c>
      <c r="W31" s="702" t="e">
        <f t="shared" si="14"/>
        <v>#N/A</v>
      </c>
      <c r="X31" s="703"/>
      <c r="Y31" s="38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823" t="s">
        <v>1696</v>
      </c>
      <c r="Q32" s="1350" t="str">
        <f t="shared" si="11"/>
        <v>车位类型</v>
      </c>
      <c r="R32" s="705" t="s">
        <v>14</v>
      </c>
      <c r="S32" s="706">
        <f t="shared" si="12"/>
        <v>100</v>
      </c>
      <c r="T32" s="705" t="s">
        <v>14</v>
      </c>
      <c r="U32" s="706">
        <f t="shared" si="13"/>
        <v>100</v>
      </c>
      <c r="V32" s="705" t="s">
        <v>14</v>
      </c>
      <c r="W32" s="706">
        <f t="shared" si="14"/>
        <v>100</v>
      </c>
      <c r="X32" s="1353"/>
      <c r="Y32" s="382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823"/>
      <c r="Q33" s="1350" t="str">
        <f t="shared" si="11"/>
        <v>是否直接入户</v>
      </c>
      <c r="R33" s="705" t="s">
        <v>14</v>
      </c>
      <c r="S33" s="706">
        <f t="shared" si="12"/>
        <v>100</v>
      </c>
      <c r="T33" s="705" t="s">
        <v>14</v>
      </c>
      <c r="U33" s="706">
        <f t="shared" si="13"/>
        <v>100</v>
      </c>
      <c r="V33" s="705" t="s">
        <v>14</v>
      </c>
      <c r="W33" s="706">
        <f t="shared" si="14"/>
        <v>100</v>
      </c>
      <c r="X33" s="1353"/>
      <c r="Y33" s="382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823"/>
      <c r="Q34" s="1350">
        <f t="shared" si="11"/>
        <v>111</v>
      </c>
      <c r="R34" s="705" t="s">
        <v>14</v>
      </c>
      <c r="S34" s="706">
        <f t="shared" si="12"/>
        <v>100</v>
      </c>
      <c r="T34" s="705" t="s">
        <v>14</v>
      </c>
      <c r="U34" s="706">
        <f t="shared" si="13"/>
        <v>100</v>
      </c>
      <c r="V34" s="705" t="s">
        <v>14</v>
      </c>
      <c r="W34" s="706">
        <f t="shared" si="14"/>
        <v>100</v>
      </c>
      <c r="X34" s="1353"/>
      <c r="Y34" s="382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823"/>
      <c r="Q35" s="707">
        <f t="shared" si="11"/>
        <v>111</v>
      </c>
      <c r="R35" s="708" t="s">
        <v>14</v>
      </c>
      <c r="S35" s="709">
        <f t="shared" si="12"/>
        <v>100</v>
      </c>
      <c r="T35" s="708" t="s">
        <v>14</v>
      </c>
      <c r="U35" s="709">
        <f t="shared" si="13"/>
        <v>100</v>
      </c>
      <c r="V35" s="708" t="s">
        <v>14</v>
      </c>
      <c r="W35" s="709">
        <f t="shared" si="14"/>
        <v>100</v>
      </c>
      <c r="X35" s="710"/>
      <c r="Y35" s="382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823"/>
      <c r="Q36" s="1350">
        <f t="shared" si="11"/>
        <v>111</v>
      </c>
      <c r="R36" s="705" t="s">
        <v>14</v>
      </c>
      <c r="S36" s="706">
        <f t="shared" si="12"/>
        <v>100</v>
      </c>
      <c r="T36" s="705" t="s">
        <v>14</v>
      </c>
      <c r="U36" s="706">
        <f t="shared" si="13"/>
        <v>100</v>
      </c>
      <c r="V36" s="705" t="s">
        <v>14</v>
      </c>
      <c r="W36" s="706">
        <f t="shared" si="14"/>
        <v>100</v>
      </c>
      <c r="X36" s="1353"/>
      <c r="Y36" s="3823"/>
      <c r="Z36" s="1354">
        <f t="shared" si="15"/>
        <v>111</v>
      </c>
      <c r="AA36" s="1351">
        <f t="shared" si="3"/>
        <v>1</v>
      </c>
      <c r="AB36" s="1351">
        <f t="shared" si="4"/>
        <v>1</v>
      </c>
      <c r="AC36" s="1351">
        <f t="shared" si="5"/>
        <v>1</v>
      </c>
    </row>
    <row r="37" spans="1:29" ht="15">
      <c r="A37" s="430" t="s">
        <v>1844</v>
      </c>
      <c r="B37" s="1969" t="s">
        <v>3350</v>
      </c>
      <c r="C37" s="1153" t="s">
        <v>0</v>
      </c>
      <c r="D37" s="1154"/>
      <c r="E37" s="1155"/>
      <c r="F37" s="1156"/>
      <c r="G37" s="1157"/>
      <c r="H37" s="1158"/>
      <c r="I37" s="1155"/>
      <c r="J37" s="1158"/>
      <c r="K37" s="568"/>
      <c r="L37" s="2714"/>
      <c r="M37" s="2715"/>
      <c r="N37" s="2706"/>
      <c r="O37" s="2715"/>
      <c r="P37" s="3805" t="str">
        <f>A37</f>
        <v>成交单价</v>
      </c>
      <c r="Q37" s="3805"/>
      <c r="R37" s="3857">
        <f>E37</f>
        <v>0</v>
      </c>
      <c r="S37" s="3857"/>
      <c r="T37" s="3857">
        <f>G37</f>
        <v>0</v>
      </c>
      <c r="U37" s="3857"/>
      <c r="V37" s="3857">
        <f>I37</f>
        <v>0</v>
      </c>
      <c r="W37" s="3857"/>
      <c r="X37" s="690"/>
      <c r="Y37" s="712"/>
      <c r="Z37" s="690"/>
      <c r="AA37" s="690"/>
      <c r="AB37" s="690"/>
      <c r="AC37" s="690"/>
    </row>
    <row r="38" spans="1:29" ht="15.75" thickBot="1">
      <c r="A38" s="437" t="s">
        <v>1845</v>
      </c>
      <c r="B38" s="438" t="str">
        <f>B37</f>
        <v>元/平方米</v>
      </c>
      <c r="C38" s="1159" t="e">
        <f>R39</f>
        <v>#DIV/0!</v>
      </c>
      <c r="D38" s="2313" t="s">
        <v>2138</v>
      </c>
      <c r="E38" s="1160" t="e">
        <f>R38</f>
        <v>#DIV/0!</v>
      </c>
      <c r="F38" s="2314"/>
      <c r="G38" s="1159" t="e">
        <f>T38</f>
        <v>#DIV/0!</v>
      </c>
      <c r="H38" s="2314"/>
      <c r="I38" s="1160" t="e">
        <f>V38</f>
        <v>#DIV/0!</v>
      </c>
      <c r="J38" s="2314"/>
      <c r="K38" s="2316">
        <f>F38+H38+J38</f>
        <v>0</v>
      </c>
      <c r="L38" s="2714"/>
      <c r="M38" s="2715"/>
      <c r="N38" s="2715"/>
      <c r="O38" s="2715"/>
      <c r="P38" s="3805" t="str">
        <f>A38</f>
        <v>比较价值（元/平方米）</v>
      </c>
      <c r="Q38" s="3805"/>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14"/>
      <c r="M39" s="2715"/>
      <c r="N39" s="2715"/>
      <c r="O39" s="2715"/>
      <c r="P39" s="3825" t="str">
        <f>A39</f>
        <v>估价对象XX用房的比较价值（楼面单价，元/平方米）</v>
      </c>
      <c r="Q39" s="3826"/>
      <c r="R39" s="3879" t="e">
        <f>IF(F1="售价",ROUND(IF(D38="简单平均",AVERAGE(R38:W38),R38*F38+T38*H38+V38*J38),0),ROUND(IF(D38="简单平均",AVERAGE(R38:V38),R38*F38+T38*H38+V38*J38),1))</f>
        <v>#DIV/0!</v>
      </c>
      <c r="S39" s="3879"/>
      <c r="T39" s="3879"/>
      <c r="U39" s="3879"/>
      <c r="V39" s="3879"/>
      <c r="W39" s="3879"/>
      <c r="X39" s="690"/>
      <c r="Y39" s="690"/>
      <c r="Z39" s="690"/>
      <c r="AA39" s="690"/>
      <c r="AB39" s="690"/>
      <c r="AC39" s="690"/>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5" t="s">
        <v>1850</v>
      </c>
      <c r="B47" s="926"/>
      <c r="C47" s="939"/>
      <c r="D47" s="939"/>
      <c r="E47" s="939"/>
      <c r="F47" s="1166"/>
      <c r="G47" s="1166"/>
      <c r="H47" s="939"/>
      <c r="I47" s="939"/>
      <c r="J47" s="939"/>
      <c r="K47" s="940"/>
      <c r="L47" s="941"/>
      <c r="M47" s="939"/>
      <c r="N47" s="2759"/>
      <c r="O47" s="2759"/>
      <c r="P47" s="2748"/>
      <c r="Q47" s="2729"/>
      <c r="R47" s="2715"/>
      <c r="S47" s="2715"/>
      <c r="T47" s="2715"/>
      <c r="U47" s="2715"/>
      <c r="V47" s="2715"/>
      <c r="W47" s="2715"/>
      <c r="X47" s="2715"/>
      <c r="Y47" s="2715"/>
      <c r="Z47" s="2715"/>
      <c r="AA47" s="2715"/>
      <c r="AB47" s="2715"/>
      <c r="AC47" s="2715"/>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6">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1716</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1681</v>
      </c>
      <c r="B51" s="459"/>
      <c r="C51" s="471" t="s">
        <v>1776</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7">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1719</v>
      </c>
      <c r="B53" s="477" t="s">
        <v>1685</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1688</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8">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1727</v>
      </c>
      <c r="C65" s="527" t="s">
        <v>1721</v>
      </c>
      <c r="D65" s="527" t="s">
        <v>1722</v>
      </c>
      <c r="E65" s="527" t="s">
        <v>1723</v>
      </c>
      <c r="F65" s="527" t="s">
        <v>1724</v>
      </c>
      <c r="G65" s="527" t="s">
        <v>1725</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1813</v>
      </c>
      <c r="C67" s="608" t="s">
        <v>1799</v>
      </c>
      <c r="D67" s="608" t="s">
        <v>1800</v>
      </c>
      <c r="E67" s="608" t="s">
        <v>1801</v>
      </c>
      <c r="F67" s="608" t="s">
        <v>1802</v>
      </c>
      <c r="G67" s="608" t="s">
        <v>1803</v>
      </c>
      <c r="H67" s="488"/>
      <c r="I67" s="488"/>
      <c r="J67" s="488"/>
      <c r="K67" s="488"/>
      <c r="L67" s="488"/>
      <c r="M67" s="1128"/>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1733</v>
      </c>
      <c r="C69" s="527" t="s">
        <v>1721</v>
      </c>
      <c r="D69" s="527" t="s">
        <v>1722</v>
      </c>
      <c r="E69" s="527" t="s">
        <v>1723</v>
      </c>
      <c r="F69" s="527" t="s">
        <v>1724</v>
      </c>
      <c r="G69" s="527" t="s">
        <v>1725</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1852</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1694</v>
      </c>
      <c r="B79" s="477" t="s">
        <v>1853</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1854</v>
      </c>
      <c r="C81" s="609"/>
      <c r="D81" s="609"/>
      <c r="E81" s="609"/>
      <c r="F81" s="609"/>
      <c r="G81" s="609"/>
      <c r="H81" s="609"/>
      <c r="I81" s="609"/>
      <c r="J81" s="609"/>
      <c r="K81" s="610"/>
      <c r="L81" s="611"/>
      <c r="M81" s="612"/>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1740</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1"/>
      <c r="J86" s="571"/>
      <c r="K86" s="572"/>
      <c r="L86" s="573"/>
      <c r="M86" s="574"/>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1856</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1858</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1859</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4">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5"/>
      <c r="M4" s="2706"/>
      <c r="N4" s="2706"/>
      <c r="O4" s="2706"/>
      <c r="P4" s="3810" t="s">
        <v>1775</v>
      </c>
      <c r="Q4" s="3811"/>
      <c r="R4" s="3792" t="s">
        <v>1771</v>
      </c>
      <c r="S4" s="3793"/>
      <c r="T4" s="3792" t="s">
        <v>1772</v>
      </c>
      <c r="U4" s="3793"/>
      <c r="V4" s="3818" t="s">
        <v>1773</v>
      </c>
      <c r="W4" s="3818"/>
      <c r="X4" s="1353"/>
      <c r="Y4" s="3792" t="s">
        <v>1775</v>
      </c>
      <c r="Z4" s="3793"/>
      <c r="AA4" s="3787" t="s">
        <v>1771</v>
      </c>
      <c r="AB4" s="3788" t="s">
        <v>1772</v>
      </c>
      <c r="AC4" s="3787" t="s">
        <v>1773</v>
      </c>
    </row>
    <row r="5" spans="1:29" ht="15">
      <c r="A5" s="358"/>
      <c r="B5" s="359"/>
      <c r="C5" s="3802" t="s">
        <v>1673</v>
      </c>
      <c r="D5" s="3799"/>
      <c r="E5" s="3796" t="s">
        <v>1674</v>
      </c>
      <c r="F5" s="3797"/>
      <c r="G5" s="3802" t="s">
        <v>1675</v>
      </c>
      <c r="H5" s="3799"/>
      <c r="I5" s="3802" t="s">
        <v>1676</v>
      </c>
      <c r="J5" s="3799"/>
      <c r="K5" s="559"/>
      <c r="L5" s="2705"/>
      <c r="M5" s="2706"/>
      <c r="N5" s="2706"/>
      <c r="O5" s="2706"/>
      <c r="P5" s="3812"/>
      <c r="Q5" s="3813"/>
      <c r="R5" s="3794"/>
      <c r="S5" s="3795"/>
      <c r="T5" s="3794"/>
      <c r="U5" s="3795"/>
      <c r="V5" s="3818"/>
      <c r="W5" s="3818"/>
      <c r="X5" s="1353"/>
      <c r="Y5" s="3794"/>
      <c r="Z5" s="3795"/>
      <c r="AA5" s="3788"/>
      <c r="AB5" s="3788"/>
      <c r="AC5" s="3788"/>
    </row>
    <row r="6" spans="1:29" ht="15.75" thickBot="1">
      <c r="A6" s="360"/>
      <c r="B6" s="361"/>
      <c r="C6" s="3800" t="s">
        <v>1677</v>
      </c>
      <c r="D6" s="3801"/>
      <c r="E6" s="3803" t="s">
        <v>1677</v>
      </c>
      <c r="F6" s="3804"/>
      <c r="G6" s="3800" t="s">
        <v>1677</v>
      </c>
      <c r="H6" s="3801"/>
      <c r="I6" s="3800" t="s">
        <v>1677</v>
      </c>
      <c r="J6" s="3801"/>
      <c r="K6" s="559" t="s">
        <v>1678</v>
      </c>
      <c r="L6" s="2705"/>
      <c r="M6" s="2706"/>
      <c r="N6" s="2706"/>
      <c r="O6" s="2706"/>
      <c r="P6" s="3814"/>
      <c r="Q6" s="3815"/>
      <c r="R6" s="3794"/>
      <c r="S6" s="3795"/>
      <c r="T6" s="3816"/>
      <c r="U6" s="3817"/>
      <c r="V6" s="3818"/>
      <c r="W6" s="3818"/>
      <c r="X6" s="1353"/>
      <c r="Y6" s="3816"/>
      <c r="Z6" s="3817"/>
      <c r="AA6" s="3789"/>
      <c r="AB6" s="3789"/>
      <c r="AC6" s="3789"/>
    </row>
    <row r="7" spans="1:29" s="108" customFormat="1" ht="15.75" thickBot="1">
      <c r="A7" s="362" t="s">
        <v>1679</v>
      </c>
      <c r="B7" s="363"/>
      <c r="C7" s="364">
        <f>'数据-取费表'!B2</f>
        <v>45160</v>
      </c>
      <c r="D7" s="365">
        <v>100</v>
      </c>
      <c r="E7" s="366"/>
      <c r="F7" s="367">
        <f>SUMIF(46:46,YEAR(E7)&amp;"-"&amp;MONTH(E7),47:47)</f>
        <v>0</v>
      </c>
      <c r="G7" s="1970"/>
      <c r="H7" s="365">
        <f>SUMIF(46:46,YEAR(G7)&amp;"-"&amp;MONTH(G7),47:47)</f>
        <v>0</v>
      </c>
      <c r="I7" s="366"/>
      <c r="J7" s="365">
        <f>SUMIF(46:46,YEAR(I7)&amp;"-"&amp;MONTH(I7),47:47)</f>
        <v>0</v>
      </c>
      <c r="K7" s="560"/>
      <c r="L7" s="2707"/>
      <c r="M7" s="2708"/>
      <c r="N7" s="2708"/>
      <c r="O7" s="2708"/>
      <c r="P7" s="3790" t="s">
        <v>1680</v>
      </c>
      <c r="Q7" s="3819"/>
      <c r="R7" s="701" t="s">
        <v>14</v>
      </c>
      <c r="S7" s="702">
        <f t="shared" ref="S7:S14" si="0">F7</f>
        <v>0</v>
      </c>
      <c r="T7" s="701" t="s">
        <v>14</v>
      </c>
      <c r="U7" s="702">
        <f t="shared" ref="U7:U14" si="1">H7</f>
        <v>0</v>
      </c>
      <c r="V7" s="701" t="s">
        <v>14</v>
      </c>
      <c r="W7" s="702">
        <f t="shared" ref="W7:W14" si="2">J7</f>
        <v>0</v>
      </c>
      <c r="X7" s="703"/>
      <c r="Y7" s="3790" t="s">
        <v>1680</v>
      </c>
      <c r="Z7" s="37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790" t="s">
        <v>1683</v>
      </c>
      <c r="Q8" s="3791"/>
      <c r="R8" s="701" t="s">
        <v>14</v>
      </c>
      <c r="S8" s="702">
        <f t="shared" si="0"/>
        <v>100</v>
      </c>
      <c r="T8" s="701" t="s">
        <v>14</v>
      </c>
      <c r="U8" s="702">
        <f t="shared" si="1"/>
        <v>100</v>
      </c>
      <c r="V8" s="701" t="s">
        <v>14</v>
      </c>
      <c r="W8" s="702">
        <f t="shared" si="2"/>
        <v>100</v>
      </c>
      <c r="X8" s="703"/>
      <c r="Y8" s="3790" t="s">
        <v>1683</v>
      </c>
      <c r="Z8" s="37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805" t="s">
        <v>1686</v>
      </c>
      <c r="Q9" s="1341" t="str">
        <f t="shared" ref="Q9:Q14" si="6">B9</f>
        <v>用途</v>
      </c>
      <c r="R9" s="701" t="s">
        <v>14</v>
      </c>
      <c r="S9" s="702">
        <f t="shared" si="0"/>
        <v>100</v>
      </c>
      <c r="T9" s="701" t="s">
        <v>14</v>
      </c>
      <c r="U9" s="702">
        <f t="shared" si="1"/>
        <v>100</v>
      </c>
      <c r="V9" s="701" t="s">
        <v>14</v>
      </c>
      <c r="W9" s="702">
        <f t="shared" si="2"/>
        <v>100</v>
      </c>
      <c r="X9" s="703"/>
      <c r="Y9" s="3741" t="s">
        <v>1687</v>
      </c>
      <c r="Z9" s="52" t="str">
        <f t="shared" ref="Z9:Z14" si="7">Q9</f>
        <v>用途</v>
      </c>
      <c r="AA9" s="704">
        <f t="shared" si="3"/>
        <v>1</v>
      </c>
      <c r="AB9" s="704">
        <f t="shared" si="4"/>
        <v>1</v>
      </c>
      <c r="AC9" s="704">
        <f t="shared" si="5"/>
        <v>1</v>
      </c>
    </row>
    <row r="10" spans="1:29" s="378" customFormat="1" ht="27">
      <c r="A10" s="374"/>
      <c r="B10" s="375" t="s">
        <v>1688</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805"/>
      <c r="Q10" s="1341"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805"/>
      <c r="Q11" s="1341">
        <f t="shared" si="6"/>
        <v>111</v>
      </c>
      <c r="R11" s="701" t="s">
        <v>14</v>
      </c>
      <c r="S11" s="702">
        <f t="shared" si="0"/>
        <v>100</v>
      </c>
      <c r="T11" s="701" t="s">
        <v>14</v>
      </c>
      <c r="U11" s="702">
        <f t="shared" si="1"/>
        <v>100</v>
      </c>
      <c r="V11" s="701" t="s">
        <v>14</v>
      </c>
      <c r="W11" s="702">
        <f t="shared" si="2"/>
        <v>100</v>
      </c>
      <c r="X11" s="703"/>
      <c r="Y11" s="374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805"/>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2"/>
      <c r="M13" s="2706"/>
      <c r="N13" s="2706"/>
      <c r="O13" s="2764"/>
      <c r="P13" s="3805"/>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
      <c r="A14" s="391" t="s">
        <v>1690</v>
      </c>
      <c r="B14" s="61" t="s">
        <v>1833</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820" t="s">
        <v>1691</v>
      </c>
      <c r="Q14" s="1350" t="str">
        <f t="shared" si="6"/>
        <v>交通便捷度</v>
      </c>
      <c r="R14" s="705" t="s">
        <v>14</v>
      </c>
      <c r="S14" s="706">
        <f t="shared" si="0"/>
        <v>100</v>
      </c>
      <c r="T14" s="705" t="s">
        <v>14</v>
      </c>
      <c r="U14" s="706">
        <f t="shared" si="1"/>
        <v>100</v>
      </c>
      <c r="V14" s="705" t="s">
        <v>14</v>
      </c>
      <c r="W14" s="706">
        <f t="shared" si="2"/>
        <v>100</v>
      </c>
      <c r="X14" s="1353"/>
      <c r="Y14" s="382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2"/>
      <c r="M15" s="2706"/>
      <c r="N15" s="2706"/>
      <c r="O15" s="2764"/>
      <c r="P15" s="3821"/>
      <c r="Q15" s="1350"/>
      <c r="R15" s="705"/>
      <c r="S15" s="706"/>
      <c r="T15" s="705"/>
      <c r="U15" s="706"/>
      <c r="V15" s="705"/>
      <c r="W15" s="706"/>
      <c r="X15" s="1353"/>
      <c r="Y15" s="3821"/>
      <c r="Z15" s="1354"/>
      <c r="AA15" s="1351">
        <v>1</v>
      </c>
      <c r="AB15" s="1351">
        <v>1</v>
      </c>
      <c r="AC15" s="1351">
        <v>1</v>
      </c>
    </row>
    <row r="16" spans="1:29" ht="15">
      <c r="A16" s="379"/>
      <c r="B16" s="402" t="s">
        <v>1812</v>
      </c>
      <c r="C16" s="1898"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821"/>
      <c r="Q16" s="1350" t="str">
        <f>B16</f>
        <v>公共配套设施</v>
      </c>
      <c r="R16" s="705" t="s">
        <v>14</v>
      </c>
      <c r="S16" s="706">
        <f>F16</f>
        <v>100</v>
      </c>
      <c r="T16" s="705" t="s">
        <v>14</v>
      </c>
      <c r="U16" s="706">
        <f>H16</f>
        <v>100</v>
      </c>
      <c r="V16" s="705" t="s">
        <v>14</v>
      </c>
      <c r="W16" s="706">
        <f>J16</f>
        <v>100</v>
      </c>
      <c r="X16" s="1353"/>
      <c r="Y16" s="382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2"/>
      <c r="M17" s="2706"/>
      <c r="N17" s="2706"/>
      <c r="O17" s="2764"/>
      <c r="P17" s="3821"/>
      <c r="Q17" s="1350"/>
      <c r="R17" s="705"/>
      <c r="S17" s="706"/>
      <c r="T17" s="705"/>
      <c r="U17" s="706"/>
      <c r="V17" s="705"/>
      <c r="W17" s="706"/>
      <c r="X17" s="1353"/>
      <c r="Y17" s="3821"/>
      <c r="Z17" s="1354"/>
      <c r="AA17" s="1351">
        <v>1</v>
      </c>
      <c r="AB17" s="1351">
        <v>1</v>
      </c>
      <c r="AC17" s="1351">
        <v>1</v>
      </c>
    </row>
    <row r="18" spans="1:29" ht="15">
      <c r="A18" s="379"/>
      <c r="B18" s="1130"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821"/>
      <c r="Q18" s="1350" t="str">
        <f>B18</f>
        <v>基础设施水平</v>
      </c>
      <c r="R18" s="705" t="s">
        <v>14</v>
      </c>
      <c r="S18" s="706">
        <f>F18</f>
        <v>100</v>
      </c>
      <c r="T18" s="705" t="s">
        <v>14</v>
      </c>
      <c r="U18" s="706">
        <f>H18</f>
        <v>100</v>
      </c>
      <c r="V18" s="705" t="s">
        <v>14</v>
      </c>
      <c r="W18" s="706">
        <f>J18</f>
        <v>100</v>
      </c>
      <c r="X18" s="1353"/>
      <c r="Y18" s="3821"/>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2"/>
      <c r="M19" s="2706"/>
      <c r="N19" s="2706"/>
      <c r="O19" s="2764"/>
      <c r="P19" s="3821"/>
      <c r="Q19" s="1350"/>
      <c r="R19" s="705"/>
      <c r="S19" s="706"/>
      <c r="T19" s="705"/>
      <c r="U19" s="706"/>
      <c r="V19" s="705"/>
      <c r="W19" s="706"/>
      <c r="X19" s="1353"/>
      <c r="Y19" s="3821"/>
      <c r="Z19" s="1354"/>
      <c r="AA19" s="1351">
        <v>1</v>
      </c>
      <c r="AB19" s="1351">
        <v>1</v>
      </c>
      <c r="AC19" s="1351">
        <v>1</v>
      </c>
    </row>
    <row r="20" spans="1:29" ht="15">
      <c r="A20" s="379"/>
      <c r="B20" s="402" t="s">
        <v>1834</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821"/>
      <c r="Q20" s="1350" t="str">
        <f>B20</f>
        <v>自然及人文环境</v>
      </c>
      <c r="R20" s="705" t="s">
        <v>14</v>
      </c>
      <c r="S20" s="706">
        <f>F20</f>
        <v>100</v>
      </c>
      <c r="T20" s="705" t="s">
        <v>14</v>
      </c>
      <c r="U20" s="706">
        <f>H20</f>
        <v>100</v>
      </c>
      <c r="V20" s="705" t="s">
        <v>14</v>
      </c>
      <c r="W20" s="706">
        <f>J20</f>
        <v>100</v>
      </c>
      <c r="X20" s="1353"/>
      <c r="Y20" s="382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2"/>
      <c r="M21" s="2706"/>
      <c r="N21" s="2706"/>
      <c r="O21" s="2764"/>
      <c r="P21" s="3821"/>
      <c r="Q21" s="1350"/>
      <c r="R21" s="705"/>
      <c r="S21" s="706"/>
      <c r="T21" s="705"/>
      <c r="U21" s="706"/>
      <c r="V21" s="705"/>
      <c r="W21" s="706"/>
      <c r="X21" s="1353"/>
      <c r="Y21" s="382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821"/>
      <c r="Q22" s="1350" t="str">
        <f>B22</f>
        <v>楼层</v>
      </c>
      <c r="R22" s="705" t="s">
        <v>14</v>
      </c>
      <c r="S22" s="706">
        <f>F22</f>
        <v>100</v>
      </c>
      <c r="T22" s="705" t="s">
        <v>14</v>
      </c>
      <c r="U22" s="706">
        <f>H22</f>
        <v>100</v>
      </c>
      <c r="V22" s="705" t="s">
        <v>14</v>
      </c>
      <c r="W22" s="706">
        <f>J22</f>
        <v>100</v>
      </c>
      <c r="X22" s="1353"/>
      <c r="Y22" s="382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821"/>
      <c r="Q23" s="1350">
        <f>B23</f>
        <v>111</v>
      </c>
      <c r="R23" s="705" t="s">
        <v>14</v>
      </c>
      <c r="S23" s="706">
        <f>F23</f>
        <v>100</v>
      </c>
      <c r="T23" s="705" t="s">
        <v>14</v>
      </c>
      <c r="U23" s="706">
        <f>H23</f>
        <v>100</v>
      </c>
      <c r="V23" s="705" t="s">
        <v>14</v>
      </c>
      <c r="W23" s="706">
        <f>J23</f>
        <v>100</v>
      </c>
      <c r="X23" s="1353"/>
      <c r="Y23" s="382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821"/>
      <c r="Q24" s="1350">
        <f t="shared" ref="Q24:Q34" si="11">B24</f>
        <v>111</v>
      </c>
      <c r="R24" s="705" t="s">
        <v>14</v>
      </c>
      <c r="S24" s="706">
        <f>F24</f>
        <v>100</v>
      </c>
      <c r="T24" s="705" t="s">
        <v>14</v>
      </c>
      <c r="U24" s="706">
        <f>H24</f>
        <v>100</v>
      </c>
      <c r="V24" s="705" t="s">
        <v>14</v>
      </c>
      <c r="W24" s="706">
        <f>J24</f>
        <v>100</v>
      </c>
      <c r="X24" s="1353"/>
      <c r="Y24" s="3821"/>
      <c r="Z24" s="1354">
        <f>Q24</f>
        <v>111</v>
      </c>
      <c r="AA24" s="1351">
        <f t="shared" si="3"/>
        <v>1</v>
      </c>
      <c r="AB24" s="1351">
        <f t="shared" si="4"/>
        <v>1</v>
      </c>
      <c r="AC24" s="1351">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07"/>
      <c r="M25" s="2708"/>
      <c r="N25" s="2708"/>
      <c r="O25" s="2762"/>
      <c r="P25" s="3821"/>
      <c r="Q25" s="1341">
        <f t="shared" si="11"/>
        <v>111</v>
      </c>
      <c r="R25" s="701" t="s">
        <v>14</v>
      </c>
      <c r="S25" s="702">
        <f>F25</f>
        <v>100</v>
      </c>
      <c r="T25" s="701" t="s">
        <v>14</v>
      </c>
      <c r="U25" s="702">
        <f>H25</f>
        <v>100</v>
      </c>
      <c r="V25" s="701" t="s">
        <v>14</v>
      </c>
      <c r="W25" s="702">
        <f>J25</f>
        <v>100</v>
      </c>
      <c r="X25" s="703"/>
      <c r="Y25" s="3821"/>
      <c r="Z25" s="52">
        <f>Q25</f>
        <v>111</v>
      </c>
      <c r="AA25" s="1351">
        <f>D25/F25</f>
        <v>1</v>
      </c>
      <c r="AB25" s="1351">
        <f>D25/H25</f>
        <v>1</v>
      </c>
      <c r="AC25" s="1351">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2"/>
      <c r="M26" s="2706"/>
      <c r="N26" s="2706"/>
      <c r="O26" s="2764"/>
      <c r="P26" s="3822"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82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823"/>
      <c r="Q27" s="707" t="str">
        <f t="shared" si="11"/>
        <v>成新率</v>
      </c>
      <c r="R27" s="708" t="s">
        <v>14</v>
      </c>
      <c r="S27" s="709" t="e">
        <f t="shared" si="12"/>
        <v>#N/A</v>
      </c>
      <c r="T27" s="708" t="s">
        <v>14</v>
      </c>
      <c r="U27" s="709" t="e">
        <f t="shared" si="13"/>
        <v>#N/A</v>
      </c>
      <c r="V27" s="708" t="s">
        <v>14</v>
      </c>
      <c r="W27" s="709" t="e">
        <f t="shared" si="14"/>
        <v>#N/A</v>
      </c>
      <c r="X27" s="710"/>
      <c r="Y27" s="382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823"/>
      <c r="Q28" s="1350" t="str">
        <f t="shared" si="11"/>
        <v>物业等级</v>
      </c>
      <c r="R28" s="705" t="s">
        <v>14</v>
      </c>
      <c r="S28" s="706">
        <f t="shared" si="12"/>
        <v>100</v>
      </c>
      <c r="T28" s="705" t="s">
        <v>14</v>
      </c>
      <c r="U28" s="706">
        <f t="shared" si="13"/>
        <v>100</v>
      </c>
      <c r="V28" s="705" t="s">
        <v>14</v>
      </c>
      <c r="W28" s="706">
        <f t="shared" si="14"/>
        <v>100</v>
      </c>
      <c r="X28" s="1353"/>
      <c r="Y28" s="382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2"/>
      <c r="M29" s="2706"/>
      <c r="N29" s="2706"/>
      <c r="O29" s="2764"/>
      <c r="P29" s="3823"/>
      <c r="Q29" s="1350" t="str">
        <f t="shared" si="11"/>
        <v>有无电梯</v>
      </c>
      <c r="R29" s="705" t="s">
        <v>14</v>
      </c>
      <c r="S29" s="706">
        <f t="shared" si="12"/>
        <v>100</v>
      </c>
      <c r="T29" s="705" t="s">
        <v>14</v>
      </c>
      <c r="U29" s="706">
        <f t="shared" si="13"/>
        <v>100</v>
      </c>
      <c r="V29" s="705" t="s">
        <v>14</v>
      </c>
      <c r="W29" s="706">
        <f t="shared" si="14"/>
        <v>100</v>
      </c>
      <c r="X29" s="1353"/>
      <c r="Y29" s="382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823"/>
      <c r="Q30" s="1350" t="str">
        <f t="shared" si="11"/>
        <v>建筑面积</v>
      </c>
      <c r="R30" s="705" t="s">
        <v>14</v>
      </c>
      <c r="S30" s="706" t="e">
        <f t="shared" si="12"/>
        <v>#N/A</v>
      </c>
      <c r="T30" s="705" t="s">
        <v>14</v>
      </c>
      <c r="U30" s="706" t="e">
        <f t="shared" si="13"/>
        <v>#N/A</v>
      </c>
      <c r="V30" s="705" t="s">
        <v>14</v>
      </c>
      <c r="W30" s="706" t="e">
        <f t="shared" si="14"/>
        <v>#N/A</v>
      </c>
      <c r="X30" s="1353"/>
      <c r="Y30" s="382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7"/>
      <c r="M31" s="2708"/>
      <c r="N31" s="2708"/>
      <c r="O31" s="2762"/>
      <c r="P31" s="3823"/>
      <c r="Q31" s="1341" t="str">
        <f t="shared" si="11"/>
        <v>是否封闭</v>
      </c>
      <c r="R31" s="701" t="s">
        <v>14</v>
      </c>
      <c r="S31" s="702">
        <f t="shared" si="12"/>
        <v>100</v>
      </c>
      <c r="T31" s="701" t="s">
        <v>14</v>
      </c>
      <c r="U31" s="702">
        <f t="shared" si="13"/>
        <v>100</v>
      </c>
      <c r="V31" s="701" t="s">
        <v>14</v>
      </c>
      <c r="W31" s="702">
        <f t="shared" si="14"/>
        <v>100</v>
      </c>
      <c r="X31" s="703"/>
      <c r="Y31" s="382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823" t="s">
        <v>1696</v>
      </c>
      <c r="Q32" s="1350">
        <f t="shared" si="11"/>
        <v>111</v>
      </c>
      <c r="R32" s="705" t="s">
        <v>14</v>
      </c>
      <c r="S32" s="706">
        <f t="shared" si="12"/>
        <v>100</v>
      </c>
      <c r="T32" s="705" t="s">
        <v>14</v>
      </c>
      <c r="U32" s="706">
        <f t="shared" si="13"/>
        <v>100</v>
      </c>
      <c r="V32" s="705" t="s">
        <v>14</v>
      </c>
      <c r="W32" s="706">
        <f t="shared" si="14"/>
        <v>100</v>
      </c>
      <c r="X32" s="1353"/>
      <c r="Y32" s="382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823"/>
      <c r="Q33" s="1350">
        <f t="shared" si="11"/>
        <v>111</v>
      </c>
      <c r="R33" s="705" t="s">
        <v>14</v>
      </c>
      <c r="S33" s="706">
        <f t="shared" si="12"/>
        <v>100</v>
      </c>
      <c r="T33" s="705" t="s">
        <v>14</v>
      </c>
      <c r="U33" s="706">
        <f t="shared" si="13"/>
        <v>100</v>
      </c>
      <c r="V33" s="705" t="s">
        <v>14</v>
      </c>
      <c r="W33" s="706">
        <f t="shared" si="14"/>
        <v>100</v>
      </c>
      <c r="X33" s="1353"/>
      <c r="Y33" s="3823"/>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2"/>
      <c r="M34" s="2706"/>
      <c r="N34" s="2706"/>
      <c r="O34" s="2764"/>
      <c r="P34" s="3823"/>
      <c r="Q34" s="1350">
        <f t="shared" si="11"/>
        <v>111</v>
      </c>
      <c r="R34" s="705" t="s">
        <v>14</v>
      </c>
      <c r="S34" s="706">
        <f t="shared" si="12"/>
        <v>100</v>
      </c>
      <c r="T34" s="705" t="s">
        <v>14</v>
      </c>
      <c r="U34" s="706">
        <f t="shared" si="13"/>
        <v>100</v>
      </c>
      <c r="V34" s="705" t="s">
        <v>14</v>
      </c>
      <c r="W34" s="706">
        <f t="shared" si="14"/>
        <v>100</v>
      </c>
      <c r="X34" s="1353"/>
      <c r="Y34" s="3823"/>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14"/>
      <c r="M35" s="2715"/>
      <c r="N35" s="2706"/>
      <c r="O35" s="2715"/>
      <c r="P35" s="3805" t="str">
        <f>A35</f>
        <v>成交单价（元/平方米）</v>
      </c>
      <c r="Q35" s="3805"/>
      <c r="R35" s="3857">
        <f>E35</f>
        <v>0</v>
      </c>
      <c r="S35" s="3857"/>
      <c r="T35" s="3857">
        <f>G35</f>
        <v>0</v>
      </c>
      <c r="U35" s="3857"/>
      <c r="V35" s="3857">
        <f>I35</f>
        <v>0</v>
      </c>
      <c r="W35" s="3857"/>
      <c r="X35" s="690"/>
      <c r="Y35" s="712"/>
      <c r="Z35" s="690"/>
      <c r="AA35" s="690"/>
      <c r="AB35" s="690"/>
      <c r="AC35" s="690"/>
    </row>
    <row r="36" spans="1:30" ht="15.75" thickBot="1">
      <c r="A36" s="437" t="s">
        <v>1793</v>
      </c>
      <c r="B36" s="438"/>
      <c r="C36" s="1159" t="e">
        <f>R37</f>
        <v>#DIV/0!</v>
      </c>
      <c r="D36" s="2313" t="s">
        <v>2138</v>
      </c>
      <c r="E36" s="1160" t="e">
        <f>R36</f>
        <v>#DIV/0!</v>
      </c>
      <c r="F36" s="2314"/>
      <c r="G36" s="1159" t="e">
        <f>T36</f>
        <v>#DIV/0!</v>
      </c>
      <c r="H36" s="2314"/>
      <c r="I36" s="1160" t="e">
        <f>V36</f>
        <v>#DIV/0!</v>
      </c>
      <c r="J36" s="2314"/>
      <c r="K36" s="2316">
        <f>F36+H36+J36</f>
        <v>0</v>
      </c>
      <c r="L36" s="2714"/>
      <c r="M36" s="2715"/>
      <c r="N36" s="2706"/>
      <c r="O36" s="2715"/>
      <c r="P36" s="3805" t="str">
        <f>A36</f>
        <v>比较价值（元/平方米）</v>
      </c>
      <c r="Q36" s="3805"/>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4"/>
      <c r="M37" s="2715"/>
      <c r="N37" s="2715"/>
      <c r="O37" s="2715"/>
      <c r="P37" s="3825" t="str">
        <f>A37</f>
        <v>估价对象XX用房的比较价值（楼面单价，元/平方米）</v>
      </c>
      <c r="Q37" s="3826"/>
      <c r="R37" s="3879" t="e">
        <f>IF(F1="售价",ROUND(IF(D36="简单平均",AVERAGE(R36:W36),R36*F36+T36*H36+V36*J36),0),ROUND(IF(D36="简单平均",AVERAGE(R36:V36),R36*F36+T36*H36+V36*J36),1))</f>
        <v>#DIV/0!</v>
      </c>
      <c r="S37" s="3879"/>
      <c r="T37" s="3879"/>
      <c r="U37" s="3879"/>
      <c r="V37" s="3879"/>
      <c r="W37" s="3879"/>
      <c r="X37" s="690"/>
      <c r="Y37" s="690"/>
      <c r="Z37" s="690"/>
      <c r="AA37" s="690"/>
      <c r="AB37" s="690"/>
      <c r="AC37" s="690"/>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4" t="s">
        <v>1798</v>
      </c>
      <c r="B45" s="690"/>
      <c r="C45" s="695"/>
      <c r="D45" s="695"/>
      <c r="E45" s="695"/>
      <c r="F45" s="696"/>
      <c r="G45" s="696"/>
      <c r="H45" s="695"/>
      <c r="I45" s="695"/>
      <c r="J45" s="695"/>
      <c r="K45" s="697"/>
      <c r="L45" s="698"/>
      <c r="M45" s="695"/>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81">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1716</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1681</v>
      </c>
      <c r="B49" s="459"/>
      <c r="C49" s="471" t="s">
        <v>1776</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7">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1719</v>
      </c>
      <c r="B51" s="477" t="s">
        <v>1685</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1688</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8">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1863</v>
      </c>
      <c r="C63" s="527" t="s">
        <v>1721</v>
      </c>
      <c r="D63" s="527" t="s">
        <v>1722</v>
      </c>
      <c r="E63" s="527" t="s">
        <v>1723</v>
      </c>
      <c r="F63" s="527" t="s">
        <v>1724</v>
      </c>
      <c r="G63" s="527" t="s">
        <v>1725</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1813</v>
      </c>
      <c r="C65" s="608" t="s">
        <v>1799</v>
      </c>
      <c r="D65" s="608" t="s">
        <v>1800</v>
      </c>
      <c r="E65" s="608" t="s">
        <v>1801</v>
      </c>
      <c r="F65" s="608" t="s">
        <v>1802</v>
      </c>
      <c r="G65" s="608" t="s">
        <v>1803</v>
      </c>
      <c r="H65" s="488"/>
      <c r="I65" s="488"/>
      <c r="J65" s="488"/>
      <c r="K65" s="488"/>
      <c r="L65" s="488"/>
      <c r="M65" s="1128"/>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1733</v>
      </c>
      <c r="C67" s="527" t="s">
        <v>1721</v>
      </c>
      <c r="D67" s="527" t="s">
        <v>1722</v>
      </c>
      <c r="E67" s="527" t="s">
        <v>1723</v>
      </c>
      <c r="F67" s="527" t="s">
        <v>1724</v>
      </c>
      <c r="G67" s="527" t="s">
        <v>1725</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1852</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1694</v>
      </c>
      <c r="B77" s="477" t="s">
        <v>1740</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8"/>
      <c r="J80" s="608"/>
      <c r="K80" s="616"/>
      <c r="L80" s="617"/>
      <c r="M80" s="618"/>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1856</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1864</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1866</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4">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5"/>
      <c r="B98" s="935"/>
      <c r="C98" s="935"/>
      <c r="D98" s="935"/>
      <c r="E98" s="935"/>
      <c r="F98" s="935"/>
      <c r="G98" s="935"/>
      <c r="H98" s="935"/>
      <c r="I98" s="935"/>
      <c r="J98" s="935"/>
      <c r="K98" s="936"/>
      <c r="L98" s="937"/>
      <c r="M98" s="935"/>
      <c r="N98" s="2715"/>
      <c r="O98" s="2715"/>
      <c r="P98" s="2715"/>
      <c r="Q98" s="2715"/>
      <c r="R98" s="2715"/>
      <c r="S98" s="2715"/>
      <c r="T98" s="2715"/>
      <c r="U98" s="2715"/>
      <c r="V98" s="2715"/>
      <c r="W98" s="2715"/>
      <c r="X98" s="2715"/>
      <c r="Y98" s="2715"/>
      <c r="Z98" s="2715"/>
      <c r="AA98" s="2715"/>
      <c r="AB98" s="2715"/>
      <c r="AC98" s="2715"/>
      <c r="AD98" s="2715"/>
    </row>
    <row r="99" spans="1:30">
      <c r="A99" s="935"/>
      <c r="B99" s="935"/>
      <c r="C99" s="935"/>
      <c r="D99" s="935"/>
      <c r="E99" s="935"/>
      <c r="F99" s="935"/>
      <c r="G99" s="935"/>
      <c r="H99" s="935"/>
      <c r="I99" s="935"/>
      <c r="J99" s="935"/>
      <c r="K99" s="936"/>
      <c r="L99" s="937"/>
      <c r="M99" s="935"/>
      <c r="N99" s="2715"/>
      <c r="O99" s="2715"/>
      <c r="P99" s="2715"/>
      <c r="Q99" s="2715"/>
      <c r="R99" s="2715"/>
      <c r="S99" s="2715"/>
      <c r="T99" s="2715"/>
      <c r="U99" s="2715"/>
      <c r="V99" s="2715"/>
      <c r="W99" s="2715"/>
      <c r="X99" s="2715"/>
      <c r="Y99" s="2715"/>
      <c r="Z99" s="2715"/>
      <c r="AA99" s="2715"/>
      <c r="AB99" s="2715"/>
      <c r="AC99" s="2715"/>
      <c r="AD99" s="2715"/>
    </row>
    <row r="100" spans="1:30">
      <c r="A100" s="935"/>
      <c r="B100" s="935"/>
      <c r="C100" s="935"/>
      <c r="D100" s="935"/>
      <c r="E100" s="935"/>
      <c r="F100" s="935"/>
      <c r="G100" s="935"/>
      <c r="H100" s="935"/>
      <c r="I100" s="935"/>
      <c r="J100" s="935"/>
      <c r="K100" s="936"/>
      <c r="L100" s="937"/>
      <c r="M100" s="935"/>
      <c r="N100" s="2715"/>
      <c r="O100" s="2715"/>
      <c r="P100" s="2715"/>
      <c r="Q100" s="2715"/>
      <c r="R100" s="2715"/>
      <c r="S100" s="2715"/>
      <c r="T100" s="2715"/>
      <c r="U100" s="2715"/>
      <c r="V100" s="2715"/>
      <c r="W100" s="2715"/>
      <c r="X100" s="2715"/>
      <c r="Y100" s="2715"/>
      <c r="Z100" s="2715"/>
      <c r="AA100" s="2715"/>
      <c r="AB100" s="2715"/>
      <c r="AC100" s="2715"/>
      <c r="AD100" s="2715"/>
    </row>
    <row r="101" spans="1:30">
      <c r="A101" s="935"/>
      <c r="B101" s="935"/>
      <c r="C101" s="935"/>
      <c r="D101" s="935"/>
      <c r="E101" s="935"/>
      <c r="F101" s="935"/>
      <c r="G101" s="935"/>
      <c r="H101" s="935"/>
      <c r="I101" s="935"/>
      <c r="J101" s="935"/>
      <c r="K101" s="936"/>
      <c r="L101" s="937"/>
      <c r="M101" s="935"/>
      <c r="N101" s="2715"/>
      <c r="O101" s="2715"/>
      <c r="P101" s="2715"/>
      <c r="Q101" s="2715"/>
      <c r="R101" s="2715"/>
      <c r="S101" s="2715"/>
      <c r="T101" s="2715"/>
      <c r="U101" s="2715"/>
      <c r="V101" s="2715"/>
      <c r="W101" s="2715"/>
      <c r="X101" s="2715"/>
      <c r="Y101" s="2715"/>
      <c r="Z101" s="2715"/>
      <c r="AA101" s="2715"/>
      <c r="AB101" s="2715"/>
      <c r="AC101" s="2715"/>
      <c r="AD101" s="2715"/>
    </row>
    <row r="102" spans="1:30">
      <c r="A102" s="935"/>
      <c r="B102" s="935"/>
      <c r="C102" s="935"/>
      <c r="D102" s="935"/>
      <c r="E102" s="935"/>
      <c r="F102" s="935"/>
      <c r="G102" s="935"/>
      <c r="H102" s="935"/>
      <c r="I102" s="935"/>
      <c r="J102" s="935"/>
      <c r="K102" s="936"/>
      <c r="L102" s="937"/>
      <c r="M102" s="935"/>
      <c r="N102" s="2715"/>
      <c r="O102" s="2715"/>
      <c r="P102" s="2715"/>
      <c r="Q102" s="2715"/>
      <c r="R102" s="2715"/>
      <c r="S102" s="2715"/>
      <c r="T102" s="2715"/>
      <c r="U102" s="2715"/>
      <c r="V102" s="2715"/>
      <c r="W102" s="2715"/>
      <c r="X102" s="2715"/>
      <c r="Y102" s="2715"/>
      <c r="Z102" s="2715"/>
      <c r="AA102" s="2715"/>
      <c r="AB102" s="2715"/>
      <c r="AC102" s="2715"/>
      <c r="AD102" s="2715"/>
    </row>
    <row r="103" spans="1:30">
      <c r="A103" s="935"/>
      <c r="B103" s="935"/>
      <c r="C103" s="935"/>
      <c r="D103" s="935"/>
      <c r="E103" s="935"/>
      <c r="F103" s="935"/>
      <c r="G103" s="935"/>
      <c r="H103" s="935"/>
      <c r="I103" s="935"/>
      <c r="J103" s="935"/>
      <c r="K103" s="936"/>
      <c r="L103" s="937"/>
      <c r="M103" s="935"/>
      <c r="N103" s="935"/>
      <c r="O103" s="935"/>
      <c r="P103" s="2715"/>
      <c r="Q103" s="2715"/>
      <c r="R103" s="2715"/>
      <c r="S103" s="2715"/>
      <c r="T103" s="2715"/>
      <c r="U103" s="2715"/>
      <c r="V103" s="2715"/>
      <c r="W103" s="2715"/>
      <c r="X103" s="2715"/>
      <c r="Y103" s="2715"/>
      <c r="Z103" s="2715"/>
      <c r="AA103" s="2715"/>
      <c r="AB103" s="2715"/>
      <c r="AC103" s="2715"/>
      <c r="AD103" s="2715"/>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3448</v>
      </c>
      <c r="D1" s="1360" t="s">
        <v>43</v>
      </c>
      <c r="E1" s="1361" t="s">
        <v>678</v>
      </c>
      <c r="F1" s="1061">
        <f ca="1">J53</f>
        <v>37.75</v>
      </c>
      <c r="G1" s="1376">
        <f>MATCH(C1,'数据-取费表'!A6:A16,0)+5</f>
        <v>7</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4493</v>
      </c>
      <c r="C2" s="1385" t="s">
        <v>805</v>
      </c>
      <c r="D2" s="1385"/>
      <c r="E2" s="1386"/>
      <c r="F2" s="1387"/>
      <c r="G2" s="2696"/>
      <c r="H2" s="2685"/>
      <c r="I2" s="2685"/>
      <c r="J2" s="2685"/>
      <c r="K2" s="2686"/>
      <c r="L2" s="2685"/>
      <c r="M2" s="2685"/>
    </row>
    <row r="3" spans="1:37" ht="18" customHeight="1" thickBot="1">
      <c r="A3" s="1388" t="s">
        <v>806</v>
      </c>
      <c r="B3" s="1389">
        <f ca="1">IF(ISERROR(B2*10000/F43),0,ROUND(B2*10000/F43,0))</f>
        <v>28212</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265</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265</v>
      </c>
      <c r="K6" s="155" t="s">
        <v>2108</v>
      </c>
      <c r="L6" s="302" t="s">
        <v>696</v>
      </c>
      <c r="M6" s="303">
        <f ca="1">INDIRECT("'数据-取费表'!z"&amp;$G$1)</f>
        <v>4.8</v>
      </c>
    </row>
    <row r="7" spans="1:37" ht="18" customHeight="1">
      <c r="A7" s="1072"/>
      <c r="B7" s="3835"/>
      <c r="C7" s="1074"/>
      <c r="D7" s="307"/>
      <c r="E7" s="3455" t="s">
        <v>697</v>
      </c>
      <c r="F7" s="303">
        <f ca="1">IF(INDIRECT("'数据-取费表'!ah"&amp;$G$1)="",INDIRECT("'数据-取费表'!k"&amp;$G$1),INDIRECT("'数据-取费表'!ah"&amp;$G$1))</f>
        <v>1592.61</v>
      </c>
      <c r="G7" s="1382"/>
      <c r="H7" s="304"/>
      <c r="I7" s="3835"/>
      <c r="J7" s="306"/>
      <c r="K7" s="307"/>
      <c r="L7" s="302" t="s">
        <v>697</v>
      </c>
      <c r="M7" s="303">
        <f ca="1">F7</f>
        <v>1592.61</v>
      </c>
    </row>
    <row r="8" spans="1:37" ht="18" customHeight="1">
      <c r="A8" s="304"/>
      <c r="B8" s="3835"/>
      <c r="C8" s="306"/>
      <c r="D8" s="307"/>
      <c r="E8" s="302" t="s">
        <v>698</v>
      </c>
      <c r="F8" s="303">
        <f ca="1">INDIRECT("'数据-取费表'!ai"&amp;$G$1)</f>
        <v>365</v>
      </c>
      <c r="G8" s="1382"/>
      <c r="H8" s="304"/>
      <c r="I8" s="3835"/>
      <c r="J8" s="306"/>
      <c r="K8" s="307"/>
      <c r="L8" s="302" t="s">
        <v>698</v>
      </c>
      <c r="M8" s="303">
        <f ca="1">INDIRECT("'数据-取费表'!ai"&amp;$G$1)</f>
        <v>365</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7" t="s">
        <v>705</v>
      </c>
      <c r="E13" s="3447" t="s">
        <v>706</v>
      </c>
      <c r="F13" s="1081">
        <f ca="1">INDIRECT("'数据-取费表'!y"&amp;$G$1)</f>
        <v>0</v>
      </c>
      <c r="G13" s="1382"/>
      <c r="H13" s="1078">
        <v>2</v>
      </c>
      <c r="I13" s="1079" t="s">
        <v>704</v>
      </c>
      <c r="J13" s="1067">
        <f ca="1">ROUND(J14*J15,0)</f>
        <v>1045</v>
      </c>
      <c r="K13" s="1086" t="s">
        <v>705</v>
      </c>
      <c r="L13" s="1390"/>
      <c r="M13" s="1391"/>
    </row>
    <row r="14" spans="1:37" ht="18" customHeight="1">
      <c r="A14" s="981" t="s">
        <v>397</v>
      </c>
      <c r="B14" s="302" t="s">
        <v>707</v>
      </c>
      <c r="C14" s="318">
        <f ca="1">INDIRECT("'数据-取费表'!m"&amp;$G$1)+INDIRECT("'数据-取费表'!t"&amp;$G$1)</f>
        <v>673</v>
      </c>
      <c r="D14" s="3451" t="s">
        <v>708</v>
      </c>
      <c r="E14" s="3449"/>
      <c r="F14" s="319"/>
      <c r="G14" s="1382"/>
      <c r="H14" s="981" t="s">
        <v>398</v>
      </c>
      <c r="I14" s="302" t="s">
        <v>709</v>
      </c>
      <c r="J14" s="21">
        <f ca="1">C29</f>
        <v>1045</v>
      </c>
      <c r="K14" s="3454"/>
      <c r="L14" s="806"/>
      <c r="M14" s="807"/>
    </row>
    <row r="15" spans="1:37" s="1395" customFormat="1" ht="18" customHeight="1" thickBot="1">
      <c r="A15" s="981" t="s">
        <v>399</v>
      </c>
      <c r="B15" s="302" t="s">
        <v>710</v>
      </c>
      <c r="C15" s="21">
        <f ca="1">ROUND(C14*F15,0)</f>
        <v>34</v>
      </c>
      <c r="D15" s="3448" t="s">
        <v>711</v>
      </c>
      <c r="E15" s="3448"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58</v>
      </c>
      <c r="K16" s="1086" t="s">
        <v>715</v>
      </c>
      <c r="L16" s="3452"/>
      <c r="M16" s="1071"/>
    </row>
    <row r="17" spans="1:37" s="1395" customFormat="1" ht="18" customHeight="1">
      <c r="A17" s="981" t="s">
        <v>681</v>
      </c>
      <c r="B17" s="302" t="s">
        <v>716</v>
      </c>
      <c r="C17" s="21">
        <f ca="1">ROUND(F17*(F43+INDIRECT("'数据-取费表'!S"&amp;$G$1))/10000,0)</f>
        <v>32</v>
      </c>
      <c r="D17" s="302" t="s">
        <v>717</v>
      </c>
      <c r="E17" s="302" t="s">
        <v>718</v>
      </c>
      <c r="F17" s="23">
        <f>'数据-取费表'!B35</f>
        <v>200</v>
      </c>
      <c r="G17" s="1394"/>
      <c r="H17" s="981" t="s">
        <v>398</v>
      </c>
      <c r="I17" s="302" t="s">
        <v>719</v>
      </c>
      <c r="J17" s="2312">
        <f ca="1">ROUND(IF(AND(项目基本情况!B11="自然人",项目基本情况!B10="北京市"),J6*M17/(1+'数据-取费表'!C42),J18+J19+J20),2)</f>
        <v>44.17</v>
      </c>
      <c r="K17" s="3451" t="s">
        <v>720</v>
      </c>
      <c r="L17" s="3450"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10</v>
      </c>
      <c r="D18" s="302" t="s">
        <v>711</v>
      </c>
      <c r="E18" s="302" t="s">
        <v>712</v>
      </c>
      <c r="F18" s="322">
        <f>'数据-取费表'!B36</f>
        <v>1.4999999999999999E-2</v>
      </c>
      <c r="G18" s="1394"/>
      <c r="H18" s="981" t="s">
        <v>397</v>
      </c>
      <c r="I18" s="302" t="s">
        <v>723</v>
      </c>
      <c r="J18" s="21">
        <f ca="1">ROUND(J6*M18/(1+'数据-取费表'!C42),2)</f>
        <v>13.88</v>
      </c>
      <c r="K18" s="3450"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749</v>
      </c>
      <c r="D19" s="131" t="s">
        <v>726</v>
      </c>
      <c r="E19" s="3457"/>
      <c r="F19" s="23"/>
      <c r="G19" s="1382"/>
      <c r="H19" s="981" t="s">
        <v>399</v>
      </c>
      <c r="I19" s="302" t="s">
        <v>727</v>
      </c>
      <c r="J19" s="21">
        <f ca="1">IF(K19="按租金收入计税",ROUND(J6*M19/(1+'数据-取费表'!C42),2),ROUND(C29*M19*0.7,2))</f>
        <v>30.29</v>
      </c>
      <c r="K19" s="1368" t="s">
        <v>3332</v>
      </c>
      <c r="L19" s="302" t="s">
        <v>712</v>
      </c>
      <c r="M19" s="322">
        <f>IF(K19="按租金收入计税",'数据-取费表'!B51,'数据-取费表'!B50)</f>
        <v>0.12</v>
      </c>
    </row>
    <row r="20" spans="1:37" s="1395" customFormat="1" ht="18" customHeight="1">
      <c r="A20" s="981" t="s">
        <v>402</v>
      </c>
      <c r="B20" s="302" t="s">
        <v>728</v>
      </c>
      <c r="C20" s="21">
        <f ca="1">ROUND(C19*F20,0)</f>
        <v>22</v>
      </c>
      <c r="D20" s="2424"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f ca="1">ROUND(J14*M22,2)</f>
        <v>10.45</v>
      </c>
      <c r="K22" s="3450"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1.05</v>
      </c>
      <c r="K23" s="345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2.65</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f ca="1">J5-J16</f>
        <v>207</v>
      </c>
      <c r="K25" s="1094" t="s">
        <v>753</v>
      </c>
      <c r="L25" s="1095"/>
      <c r="M25" s="1096"/>
    </row>
    <row r="26" spans="1:37">
      <c r="A26" s="981" t="s">
        <v>397</v>
      </c>
      <c r="B26" s="302" t="s">
        <v>754</v>
      </c>
      <c r="C26" s="21">
        <f ca="1">ROUND((C19+C20)*F26,0)</f>
        <v>154</v>
      </c>
      <c r="D26" s="2424" t="s">
        <v>755</v>
      </c>
      <c r="E26" s="313" t="s">
        <v>756</v>
      </c>
      <c r="F26" s="312">
        <f ca="1">INDIRECT("'数据-取费表'!q"&amp;$G$1)</f>
        <v>0.2</v>
      </c>
      <c r="G26" s="1382"/>
      <c r="H26" s="299" t="s">
        <v>395</v>
      </c>
      <c r="I26" s="300" t="s">
        <v>757</v>
      </c>
      <c r="J26" s="301">
        <f ca="1">IF(J5&lt;&gt;0,ROUND(J25*(1-((1+M28)/(1+M26))^M27)/(M26-M28),0),0)</f>
        <v>4554</v>
      </c>
      <c r="K26" s="324" t="s">
        <v>758</v>
      </c>
      <c r="L26" s="302" t="s">
        <v>759</v>
      </c>
      <c r="M26" s="312">
        <f ca="1">INDIRECT("'数据-取费表'!I"&amp;$G$1)</f>
        <v>5.5E-2</v>
      </c>
    </row>
    <row r="27" spans="1:37" ht="18" customHeight="1">
      <c r="A27" s="981" t="s">
        <v>399</v>
      </c>
      <c r="B27" s="302" t="s">
        <v>760</v>
      </c>
      <c r="C27" s="21">
        <f ca="1">ROUND(F21*F26,4)</f>
        <v>6.0000000000000001E-3</v>
      </c>
      <c r="D27" s="2424" t="s">
        <v>761</v>
      </c>
      <c r="E27" s="3448"/>
      <c r="F27" s="321"/>
      <c r="G27" s="1382"/>
      <c r="H27" s="304"/>
      <c r="I27" s="305"/>
      <c r="J27" s="306"/>
      <c r="K27" s="332" t="s">
        <v>762</v>
      </c>
      <c r="L27" s="302" t="s">
        <v>763</v>
      </c>
      <c r="M27" s="333">
        <f ca="1">INDIRECT("'数据-取费表'!ag"&amp;$G$1)</f>
        <v>37.4</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1045</v>
      </c>
      <c r="D29" s="1091"/>
      <c r="E29" s="1089"/>
      <c r="F29" s="1092"/>
      <c r="G29" s="1394"/>
      <c r="H29" s="334" t="s">
        <v>396</v>
      </c>
      <c r="I29" s="335" t="s">
        <v>768</v>
      </c>
      <c r="J29" s="336">
        <f ca="1">ROUND(J26/(1+F40)^F41,0)</f>
        <v>4469</v>
      </c>
      <c r="K29" s="337" t="s">
        <v>769</v>
      </c>
      <c r="L29" s="338"/>
      <c r="M29" s="339">
        <f ca="1">INDIRECT("'数据-取费表'!k"&amp;$G$1)</f>
        <v>1592.61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10</v>
      </c>
      <c r="D30" s="1086" t="s">
        <v>715</v>
      </c>
      <c r="E30" s="3452"/>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3451" t="s">
        <v>720</v>
      </c>
      <c r="E31" s="3450"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3450"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10.45</v>
      </c>
      <c r="D36" s="3450" t="s">
        <v>771</v>
      </c>
      <c r="E36" s="302" t="s">
        <v>712</v>
      </c>
      <c r="F36" s="328">
        <f ca="1">INDIRECT("'数据-取费表'!Ak"&amp;$G$1)</f>
        <v>0.01</v>
      </c>
      <c r="G36" s="1382"/>
      <c r="H36" s="2690"/>
      <c r="I36" s="1396"/>
      <c r="J36" s="1397"/>
      <c r="K36" s="2534"/>
      <c r="L36" s="2690"/>
      <c r="M36" s="2690"/>
    </row>
    <row r="37" spans="1:18" ht="18" customHeight="1">
      <c r="A37" s="981" t="s">
        <v>437</v>
      </c>
      <c r="B37" s="302" t="s">
        <v>742</v>
      </c>
      <c r="C37" s="21">
        <f ca="1">ROUND(C13*F37,2)</f>
        <v>0</v>
      </c>
      <c r="D37" s="3450"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-10</v>
      </c>
      <c r="D39" s="1094" t="s">
        <v>753</v>
      </c>
      <c r="E39" s="1095"/>
      <c r="F39" s="1096"/>
      <c r="G39" s="1382"/>
      <c r="H39" s="2690"/>
      <c r="I39" s="1396"/>
      <c r="J39" s="1397"/>
      <c r="K39" s="2694"/>
      <c r="L39" s="2690"/>
      <c r="M39" s="2690"/>
    </row>
    <row r="40" spans="1:18" ht="18" customHeight="1">
      <c r="A40" s="299" t="s">
        <v>395</v>
      </c>
      <c r="B40" s="300" t="s">
        <v>774</v>
      </c>
      <c r="C40" s="301">
        <f ca="1">ROUND(C39*(1-((1+F42)/(1+F40))^F41)/(F40-F42),0)</f>
        <v>-3</v>
      </c>
      <c r="D40" s="324" t="s">
        <v>758</v>
      </c>
      <c r="E40" s="302" t="s">
        <v>759</v>
      </c>
      <c r="F40" s="312">
        <f ca="1">INDIRECT("'数据-取费表'!I"&amp;$G$1)</f>
        <v>5.5E-2</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-19</v>
      </c>
      <c r="D43" s="337" t="s">
        <v>777</v>
      </c>
      <c r="E43" s="338" t="s">
        <v>778</v>
      </c>
      <c r="F43" s="339">
        <f ca="1">INDIRECT("'数据-取费表'!k"&amp;$G$1)</f>
        <v>1592.61</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27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40</v>
      </c>
      <c r="M47" s="1378" t="str">
        <f>IF(ISNUMBER(FIND("住宅",C1)),"住宅","非住宅")</f>
        <v>非住宅</v>
      </c>
      <c r="O47" s="1416" t="s">
        <v>403</v>
      </c>
      <c r="P47" s="1417" t="s">
        <v>817</v>
      </c>
      <c r="Q47" s="1418">
        <f ca="1">C40+J29</f>
        <v>4466</v>
      </c>
      <c r="R47" s="1418" t="s">
        <v>818</v>
      </c>
    </row>
    <row r="48" spans="1:18" s="1382" customFormat="1" ht="28.5" thickBot="1">
      <c r="A48" s="1109" t="s">
        <v>438</v>
      </c>
      <c r="B48" s="300" t="s">
        <v>692</v>
      </c>
      <c r="C48" s="3456">
        <f ca="1">C49+C53+C55</f>
        <v>0</v>
      </c>
      <c r="D48" s="1111"/>
      <c r="E48" s="1112"/>
      <c r="F48" s="961"/>
      <c r="G48" s="722"/>
      <c r="H48" s="723"/>
      <c r="I48" s="1419" t="s">
        <v>819</v>
      </c>
      <c r="J48" s="1420" t="s">
        <v>3404</v>
      </c>
      <c r="K48" s="1421" t="s">
        <v>820</v>
      </c>
      <c r="L48" s="1422">
        <f ca="1">INDIRECT("'数据-取费表'!f"&amp;$G$1)</f>
        <v>37.75</v>
      </c>
      <c r="O48" s="1416" t="s">
        <v>404</v>
      </c>
      <c r="P48" s="1417" t="s">
        <v>821</v>
      </c>
      <c r="Q48" s="1418">
        <f ca="1">J60</f>
        <v>27</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1045</v>
      </c>
      <c r="R49" s="1418" t="s">
        <v>818</v>
      </c>
    </row>
    <row r="50" spans="1:18" s="1382" customFormat="1" ht="13.5" thickBot="1">
      <c r="A50" s="975"/>
      <c r="B50" s="978"/>
      <c r="C50" s="1117"/>
      <c r="D50" s="952"/>
      <c r="E50" s="1055" t="s">
        <v>697</v>
      </c>
      <c r="F50" s="1056">
        <f ca="1">F7</f>
        <v>1592.61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-189</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37.75</v>
      </c>
      <c r="K53" s="3832" t="s">
        <v>837</v>
      </c>
      <c r="L53" s="3833"/>
      <c r="O53" s="1416" t="s">
        <v>409</v>
      </c>
      <c r="P53" s="1417" t="s">
        <v>838</v>
      </c>
      <c r="Q53" s="1418">
        <f ca="1">Q47+Q48</f>
        <v>4493</v>
      </c>
      <c r="R53" s="1418" t="s">
        <v>410</v>
      </c>
    </row>
    <row r="54" spans="1:18" s="1382" customFormat="1" ht="13.5" thickBot="1">
      <c r="A54" s="1152"/>
      <c r="B54" s="1365" t="s">
        <v>679</v>
      </c>
      <c r="C54" s="958"/>
      <c r="D54" s="1364"/>
      <c r="E54" s="345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3"/>
      <c r="F55" s="1438"/>
      <c r="I55" s="1441" t="s">
        <v>840</v>
      </c>
      <c r="J55" s="1442">
        <f ca="1">ROUND(IF(J47="钢混",J57/J50,1-(1-2%)*(J50-J57)/J50),3)</f>
        <v>0.371</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4466</v>
      </c>
      <c r="R56" s="1418" t="s">
        <v>818</v>
      </c>
    </row>
    <row r="57" spans="1:18" s="1382" customFormat="1" ht="24.75" thickBot="1">
      <c r="A57" s="1449"/>
      <c r="B57" s="949" t="s">
        <v>767</v>
      </c>
      <c r="C57" s="238">
        <f ca="1">C29</f>
        <v>1045</v>
      </c>
      <c r="D57" s="1450"/>
      <c r="E57" s="1451"/>
      <c r="F57" s="1452"/>
      <c r="I57" s="1453" t="s">
        <v>844</v>
      </c>
      <c r="J57" s="1454">
        <f ca="1">IF(OR(M47="住宅",J51&lt;L48,J56="是"),"——",J51-L48)</f>
        <v>22.25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10</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418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27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1.5</v>
      </c>
      <c r="I62" s="1460" t="s">
        <v>858</v>
      </c>
      <c r="J62" s="1461" t="s">
        <v>859</v>
      </c>
      <c r="K62" s="1461" t="s">
        <v>860</v>
      </c>
      <c r="L62" s="1461" t="s">
        <v>861</v>
      </c>
      <c r="M62" s="1462" t="s">
        <v>862</v>
      </c>
      <c r="O62" s="1416" t="s">
        <v>409</v>
      </c>
      <c r="P62" s="1417" t="s">
        <v>863</v>
      </c>
      <c r="Q62" s="1418">
        <f ca="1">Q56+Q57</f>
        <v>4466</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10.45</v>
      </c>
      <c r="D64" s="963" t="s">
        <v>791</v>
      </c>
      <c r="E64" s="949" t="s">
        <v>744</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4466</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-10</v>
      </c>
      <c r="D67" s="962" t="s">
        <v>753</v>
      </c>
      <c r="E67" s="967"/>
      <c r="F67" s="968"/>
      <c r="O67" s="1426" t="s">
        <v>405</v>
      </c>
      <c r="P67" s="1417" t="s">
        <v>850</v>
      </c>
      <c r="Q67" s="1464">
        <f ca="1">L51</f>
        <v>-189</v>
      </c>
      <c r="R67" s="1418" t="s">
        <v>870</v>
      </c>
    </row>
    <row r="68" spans="1:18" s="1382" customFormat="1" ht="16.5" thickBot="1">
      <c r="A68" s="946" t="s">
        <v>395</v>
      </c>
      <c r="B68" s="947" t="s">
        <v>774</v>
      </c>
      <c r="C68" s="301">
        <f ca="1">ROUND(C67*(1-((1+F70)/(1+F68))^F69)/(F68-F70),0)</f>
        <v>-3</v>
      </c>
      <c r="D68" s="964" t="s">
        <v>758</v>
      </c>
      <c r="E68" s="949" t="s">
        <v>759</v>
      </c>
      <c r="F68" s="312">
        <f ca="1">F40</f>
        <v>5.5E-2</v>
      </c>
      <c r="O68" s="1426" t="s">
        <v>406</v>
      </c>
      <c r="P68" s="1465" t="s">
        <v>871</v>
      </c>
      <c r="Q68" s="1418">
        <f ca="1">ROUND(Q69-Q70*Q71,0)</f>
        <v>-10</v>
      </c>
      <c r="R68" s="1418" t="s">
        <v>414</v>
      </c>
    </row>
    <row r="69" spans="1:18" s="1382" customFormat="1" ht="13.5" thickBot="1">
      <c r="A69" s="950"/>
      <c r="B69" s="951"/>
      <c r="C69" s="306"/>
      <c r="D69" s="969" t="s">
        <v>762</v>
      </c>
      <c r="E69" s="949" t="s">
        <v>763</v>
      </c>
      <c r="F69" s="333">
        <f ca="1">F41</f>
        <v>0.35</v>
      </c>
      <c r="O69" s="1426" t="s">
        <v>411</v>
      </c>
      <c r="P69" s="1465" t="s">
        <v>872</v>
      </c>
      <c r="Q69" s="1418">
        <f ca="1">C39</f>
        <v>-10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-19</v>
      </c>
      <c r="D71" s="972" t="s">
        <v>777</v>
      </c>
      <c r="E71" s="973" t="s">
        <v>778</v>
      </c>
      <c r="F71" s="339">
        <f ca="1">F43</f>
        <v>1592.61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4466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3450</v>
      </c>
      <c r="D1" s="1360" t="s">
        <v>43</v>
      </c>
      <c r="E1" s="1361" t="s">
        <v>678</v>
      </c>
      <c r="F1" s="1061">
        <f ca="1">J53</f>
        <v>47.75</v>
      </c>
      <c r="G1" s="1376">
        <f>MATCH(C1,'数据-取费表'!A6:A16,0)+5</f>
        <v>8</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30</v>
      </c>
      <c r="C2" s="1385" t="s">
        <v>805</v>
      </c>
      <c r="D2" s="1385"/>
      <c r="E2" s="1386"/>
      <c r="F2" s="1387"/>
      <c r="G2" s="2696"/>
      <c r="H2" s="2685"/>
      <c r="I2" s="2685"/>
      <c r="J2" s="2685"/>
      <c r="K2" s="2686"/>
      <c r="L2" s="2685"/>
      <c r="M2" s="2685"/>
    </row>
    <row r="3" spans="1:37" ht="18" customHeight="1" thickBot="1">
      <c r="A3" s="1388" t="s">
        <v>806</v>
      </c>
      <c r="B3" s="1389">
        <f ca="1">IF(ISERROR(B2*10000/F43),0,ROUND(B2*10000/F43,0))</f>
        <v>661</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3</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3</v>
      </c>
      <c r="K6" s="155" t="s">
        <v>2108</v>
      </c>
      <c r="L6" s="302" t="s">
        <v>696</v>
      </c>
      <c r="M6" s="303">
        <f ca="1">INDIRECT("'数据-取费表'!z"&amp;$G$1)</f>
        <v>350</v>
      </c>
    </row>
    <row r="7" spans="1:37" ht="18" customHeight="1">
      <c r="A7" s="1072"/>
      <c r="B7" s="3835"/>
      <c r="C7" s="1074"/>
      <c r="D7" s="307"/>
      <c r="E7" s="3455" t="s">
        <v>697</v>
      </c>
      <c r="F7" s="303">
        <f ca="1">IF(INDIRECT("'数据-取费表'!ah"&amp;$G$1)="",INDIRECT("'数据-取费表'!k"&amp;$G$1),INDIRECT("'数据-取费表'!ah"&amp;$G$1))</f>
        <v>8</v>
      </c>
      <c r="G7" s="1382"/>
      <c r="H7" s="304"/>
      <c r="I7" s="3835"/>
      <c r="J7" s="306"/>
      <c r="K7" s="307"/>
      <c r="L7" s="302" t="s">
        <v>697</v>
      </c>
      <c r="M7" s="303">
        <f ca="1">F7</f>
        <v>8</v>
      </c>
    </row>
    <row r="8" spans="1:37" ht="18" customHeight="1">
      <c r="A8" s="304"/>
      <c r="B8" s="3835"/>
      <c r="C8" s="306"/>
      <c r="D8" s="307"/>
      <c r="E8" s="302" t="s">
        <v>698</v>
      </c>
      <c r="F8" s="303">
        <f ca="1">INDIRECT("'数据-取费表'!ai"&amp;$G$1)</f>
        <v>12</v>
      </c>
      <c r="G8" s="1382"/>
      <c r="H8" s="304"/>
      <c r="I8" s="3835"/>
      <c r="J8" s="306"/>
      <c r="K8" s="307"/>
      <c r="L8" s="302" t="s">
        <v>698</v>
      </c>
      <c r="M8" s="303">
        <f ca="1">INDIRECT("'数据-取费表'!ai"&amp;$G$1)</f>
        <v>12</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7" t="s">
        <v>705</v>
      </c>
      <c r="E13" s="3447" t="s">
        <v>706</v>
      </c>
      <c r="F13" s="1081">
        <f ca="1">INDIRECT("'数据-取费表'!y"&amp;$G$1)</f>
        <v>0</v>
      </c>
      <c r="G13" s="1382"/>
      <c r="H13" s="1078">
        <v>2</v>
      </c>
      <c r="I13" s="1079" t="s">
        <v>704</v>
      </c>
      <c r="J13" s="1067">
        <f ca="1">ROUND(J14*J15,0)</f>
        <v>260</v>
      </c>
      <c r="K13" s="1086" t="s">
        <v>705</v>
      </c>
      <c r="L13" s="1390"/>
      <c r="M13" s="1391"/>
    </row>
    <row r="14" spans="1:37" ht="18" customHeight="1">
      <c r="A14" s="981" t="s">
        <v>397</v>
      </c>
      <c r="B14" s="302" t="s">
        <v>707</v>
      </c>
      <c r="C14" s="318">
        <f ca="1">INDIRECT("'数据-取费表'!m"&amp;$G$1)+INDIRECT("'数据-取费表'!t"&amp;$G$1)</f>
        <v>192</v>
      </c>
      <c r="D14" s="3451" t="s">
        <v>708</v>
      </c>
      <c r="E14" s="3449"/>
      <c r="F14" s="319"/>
      <c r="G14" s="1382"/>
      <c r="H14" s="981" t="s">
        <v>398</v>
      </c>
      <c r="I14" s="302" t="s">
        <v>709</v>
      </c>
      <c r="J14" s="21">
        <f ca="1">C29</f>
        <v>260</v>
      </c>
      <c r="K14" s="3454"/>
      <c r="L14" s="806"/>
      <c r="M14" s="807"/>
    </row>
    <row r="15" spans="1:37" s="1395" customFormat="1" ht="18" customHeight="1" thickBot="1">
      <c r="A15" s="981" t="s">
        <v>399</v>
      </c>
      <c r="B15" s="302" t="s">
        <v>710</v>
      </c>
      <c r="C15" s="21">
        <f ca="1">ROUND(C14*F15,0)</f>
        <v>10</v>
      </c>
      <c r="D15" s="3448" t="s">
        <v>711</v>
      </c>
      <c r="E15" s="3448"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3452"/>
      <c r="M16" s="1071"/>
    </row>
    <row r="17" spans="1:37" s="1395" customFormat="1" ht="18" customHeight="1">
      <c r="A17" s="981" t="s">
        <v>681</v>
      </c>
      <c r="B17" s="302" t="s">
        <v>716</v>
      </c>
      <c r="C17" s="21">
        <f ca="1">ROUND(F17*(F43+INDIRECT("'数据-取费表'!S"&amp;$G$1))/10000,0)</f>
        <v>9</v>
      </c>
      <c r="D17" s="302" t="s">
        <v>717</v>
      </c>
      <c r="E17" s="302" t="s">
        <v>718</v>
      </c>
      <c r="F17" s="23">
        <f>'数据-取费表'!B35</f>
        <v>200</v>
      </c>
      <c r="G17" s="1394"/>
      <c r="H17" s="981" t="s">
        <v>398</v>
      </c>
      <c r="I17" s="302" t="s">
        <v>719</v>
      </c>
      <c r="J17" s="2312">
        <f ca="1">ROUND(IF(AND(项目基本情况!B11="自然人",项目基本情况!B10="北京市"),J6*M17/(1+'数据-取费表'!C42),J18+J19+J20),2)</f>
        <v>0.5</v>
      </c>
      <c r="K17" s="3451" t="s">
        <v>720</v>
      </c>
      <c r="L17" s="3450"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v>
      </c>
      <c r="D18" s="302" t="s">
        <v>711</v>
      </c>
      <c r="E18" s="302" t="s">
        <v>712</v>
      </c>
      <c r="F18" s="322">
        <f>'数据-取费表'!B36</f>
        <v>1.4999999999999999E-2</v>
      </c>
      <c r="G18" s="1394"/>
      <c r="H18" s="981" t="s">
        <v>397</v>
      </c>
      <c r="I18" s="302" t="s">
        <v>723</v>
      </c>
      <c r="J18" s="21">
        <f ca="1">ROUND(J6*M18/(1+'数据-取费表'!C42),2)</f>
        <v>0.16</v>
      </c>
      <c r="K18" s="3450"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214</v>
      </c>
      <c r="D19" s="131" t="s">
        <v>726</v>
      </c>
      <c r="E19" s="3457"/>
      <c r="F19" s="23"/>
      <c r="G19" s="1382"/>
      <c r="H19" s="981" t="s">
        <v>399</v>
      </c>
      <c r="I19" s="302" t="s">
        <v>727</v>
      </c>
      <c r="J19" s="21">
        <f ca="1">IF(K19="按租金收入计税",ROUND(J6*M19/(1+'数据-取费表'!C42),2),ROUND(C29*M19*0.7,2))</f>
        <v>0.34</v>
      </c>
      <c r="K19" s="1368" t="s">
        <v>3332</v>
      </c>
      <c r="L19" s="302" t="s">
        <v>712</v>
      </c>
      <c r="M19" s="322">
        <f>IF(K19="按租金收入计税",'数据-取费表'!B51,'数据-取费表'!B50)</f>
        <v>0.12</v>
      </c>
    </row>
    <row r="20" spans="1:37" s="1395" customFormat="1" ht="18" customHeight="1">
      <c r="A20" s="981" t="s">
        <v>402</v>
      </c>
      <c r="B20" s="302" t="s">
        <v>728</v>
      </c>
      <c r="C20" s="21">
        <f ca="1">ROUND(C19*F20,0)</f>
        <v>6</v>
      </c>
      <c r="D20" s="2424"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f ca="1">ROUND(J14*M22,2)</f>
        <v>1.3</v>
      </c>
      <c r="K22" s="3450"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0.26</v>
      </c>
      <c r="K23" s="345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0.03</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f ca="1">J5-J16</f>
        <v>1</v>
      </c>
      <c r="K25" s="1094" t="s">
        <v>753</v>
      </c>
      <c r="L25" s="1095"/>
      <c r="M25" s="1096"/>
    </row>
    <row r="26" spans="1:37">
      <c r="A26" s="981" t="s">
        <v>397</v>
      </c>
      <c r="B26" s="302" t="s">
        <v>754</v>
      </c>
      <c r="C26" s="21">
        <f ca="1">ROUND((C19+C20)*F26,0)</f>
        <v>11</v>
      </c>
      <c r="D26" s="2424" t="s">
        <v>755</v>
      </c>
      <c r="E26" s="313" t="s">
        <v>756</v>
      </c>
      <c r="F26" s="312">
        <f ca="1">INDIRECT("'数据-取费表'!q"&amp;$G$1)</f>
        <v>0.05</v>
      </c>
      <c r="G26" s="1382"/>
      <c r="H26" s="299" t="s">
        <v>395</v>
      </c>
      <c r="I26" s="300" t="s">
        <v>757</v>
      </c>
      <c r="J26" s="301">
        <f ca="1">IF(J5&lt;&gt;0,ROUND(J25*(1-((1+M28)/(1+M26))^M27)/(M26-M28),0),0)</f>
        <v>27</v>
      </c>
      <c r="K26" s="324" t="s">
        <v>758</v>
      </c>
      <c r="L26" s="302" t="s">
        <v>759</v>
      </c>
      <c r="M26" s="312">
        <f ca="1">INDIRECT("'数据-取费表'!I"&amp;$G$1)</f>
        <v>0.05</v>
      </c>
    </row>
    <row r="27" spans="1:37" ht="18" customHeight="1">
      <c r="A27" s="981" t="s">
        <v>399</v>
      </c>
      <c r="B27" s="302" t="s">
        <v>760</v>
      </c>
      <c r="C27" s="21">
        <f ca="1">ROUND(F21*F26,4)</f>
        <v>1.5E-3</v>
      </c>
      <c r="D27" s="2424" t="s">
        <v>761</v>
      </c>
      <c r="E27" s="3448"/>
      <c r="F27" s="321"/>
      <c r="G27" s="1382"/>
      <c r="H27" s="304"/>
      <c r="I27" s="305"/>
      <c r="J27" s="306"/>
      <c r="K27" s="332" t="s">
        <v>762</v>
      </c>
      <c r="L27" s="302" t="s">
        <v>763</v>
      </c>
      <c r="M27" s="333">
        <f ca="1">INDIRECT("'数据-取费表'!ag"&amp;$G$1)</f>
        <v>47.4</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260</v>
      </c>
      <c r="D29" s="1091"/>
      <c r="E29" s="1089"/>
      <c r="F29" s="1092"/>
      <c r="G29" s="1394"/>
      <c r="H29" s="334" t="s">
        <v>396</v>
      </c>
      <c r="I29" s="335" t="s">
        <v>768</v>
      </c>
      <c r="J29" s="336">
        <f ca="1">ROUND(J26/(1+F40)^F41,0)</f>
        <v>27</v>
      </c>
      <c r="K29" s="337" t="s">
        <v>769</v>
      </c>
      <c r="L29" s="338"/>
      <c r="M29" s="339">
        <f ca="1">INDIRECT("'数据-取费表'!k"&amp;$G$1)</f>
        <v>453.68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v>
      </c>
      <c r="D30" s="1086" t="s">
        <v>715</v>
      </c>
      <c r="E30" s="3452"/>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3451" t="s">
        <v>720</v>
      </c>
      <c r="E31" s="3450"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3450"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1.3</v>
      </c>
      <c r="D36" s="3450" t="s">
        <v>771</v>
      </c>
      <c r="E36" s="302" t="s">
        <v>712</v>
      </c>
      <c r="F36" s="328">
        <f ca="1">INDIRECT("'数据-取费表'!Ak"&amp;$G$1)</f>
        <v>5.0000000000000001E-3</v>
      </c>
      <c r="G36" s="1382"/>
      <c r="H36" s="2690"/>
      <c r="I36" s="1396"/>
      <c r="J36" s="1397"/>
      <c r="K36" s="2534"/>
      <c r="L36" s="2690"/>
      <c r="M36" s="2690"/>
    </row>
    <row r="37" spans="1:18" ht="18" customHeight="1">
      <c r="A37" s="981" t="s">
        <v>437</v>
      </c>
      <c r="B37" s="302" t="s">
        <v>742</v>
      </c>
      <c r="C37" s="21">
        <f ca="1">ROUND(C13*F37,2)</f>
        <v>0</v>
      </c>
      <c r="D37" s="3450"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-1</v>
      </c>
      <c r="D39" s="1094" t="s">
        <v>753</v>
      </c>
      <c r="E39" s="1095"/>
      <c r="F39" s="1096"/>
      <c r="G39" s="1382"/>
      <c r="H39" s="2690"/>
      <c r="I39" s="1396"/>
      <c r="J39" s="1397"/>
      <c r="K39" s="2694"/>
      <c r="L39" s="2690"/>
      <c r="M39" s="2690"/>
    </row>
    <row r="40" spans="1:18" ht="18" customHeight="1">
      <c r="A40" s="299" t="s">
        <v>395</v>
      </c>
      <c r="B40" s="300" t="s">
        <v>774</v>
      </c>
      <c r="C40" s="301">
        <f ca="1">ROUND(C39*(1-((1+F42)/(1+F40))^F41)/(F40-F42),0)</f>
        <v>0</v>
      </c>
      <c r="D40" s="324" t="s">
        <v>758</v>
      </c>
      <c r="E40" s="302" t="s">
        <v>759</v>
      </c>
      <c r="F40" s="312">
        <f ca="1">INDIRECT("'数据-取费表'!I"&amp;$G$1)</f>
        <v>0.05</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0</v>
      </c>
      <c r="D43" s="337" t="s">
        <v>777</v>
      </c>
      <c r="E43" s="338" t="s">
        <v>778</v>
      </c>
      <c r="F43" s="339">
        <f ca="1">INDIRECT("'数据-取费表'!k"&amp;$G$1)</f>
        <v>453.68</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27</v>
      </c>
      <c r="R47" s="1418" t="s">
        <v>818</v>
      </c>
    </row>
    <row r="48" spans="1:18" s="1382" customFormat="1" ht="28.5" thickBot="1">
      <c r="A48" s="1109" t="s">
        <v>438</v>
      </c>
      <c r="B48" s="300" t="s">
        <v>692</v>
      </c>
      <c r="C48" s="3456">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3</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260</v>
      </c>
      <c r="R49" s="1418" t="s">
        <v>818</v>
      </c>
    </row>
    <row r="50" spans="1:18" s="1382" customFormat="1" ht="13.5" thickBot="1">
      <c r="A50" s="975"/>
      <c r="B50" s="978"/>
      <c r="C50" s="1117"/>
      <c r="D50" s="952"/>
      <c r="E50" s="1055" t="s">
        <v>697</v>
      </c>
      <c r="F50" s="1056">
        <f ca="1">F7</f>
        <v>8</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-21</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832" t="s">
        <v>837</v>
      </c>
      <c r="L53" s="3833"/>
      <c r="O53" s="1416" t="s">
        <v>409</v>
      </c>
      <c r="P53" s="1417" t="s">
        <v>838</v>
      </c>
      <c r="Q53" s="1418">
        <f ca="1">Q47+Q48</f>
        <v>30</v>
      </c>
      <c r="R53" s="1418" t="s">
        <v>410</v>
      </c>
    </row>
    <row r="54" spans="1:18" s="1382" customFormat="1" ht="13.5" thickBot="1">
      <c r="A54" s="1152"/>
      <c r="B54" s="1365" t="s">
        <v>679</v>
      </c>
      <c r="C54" s="958"/>
      <c r="D54" s="1364"/>
      <c r="E54" s="345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3"/>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27</v>
      </c>
      <c r="R56" s="1418" t="s">
        <v>818</v>
      </c>
    </row>
    <row r="57" spans="1:18" s="1382" customFormat="1" ht="24.75" thickBot="1">
      <c r="A57" s="1449"/>
      <c r="B57" s="949" t="s">
        <v>767</v>
      </c>
      <c r="C57" s="238">
        <f ca="1">C29</f>
        <v>260</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104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1.5</v>
      </c>
      <c r="I62" s="1460" t="s">
        <v>858</v>
      </c>
      <c r="J62" s="1461" t="s">
        <v>859</v>
      </c>
      <c r="K62" s="1461" t="s">
        <v>860</v>
      </c>
      <c r="L62" s="1461" t="s">
        <v>861</v>
      </c>
      <c r="M62" s="1462" t="s">
        <v>862</v>
      </c>
      <c r="O62" s="1416" t="s">
        <v>409</v>
      </c>
      <c r="P62" s="1417" t="s">
        <v>863</v>
      </c>
      <c r="Q62" s="1418">
        <f ca="1">Q56+Q57</f>
        <v>27</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1.3</v>
      </c>
      <c r="D64" s="963" t="s">
        <v>791</v>
      </c>
      <c r="E64" s="949" t="s">
        <v>744</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27</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v>
      </c>
      <c r="D67" s="962" t="s">
        <v>753</v>
      </c>
      <c r="E67" s="967"/>
      <c r="F67" s="968"/>
      <c r="O67" s="1426" t="s">
        <v>405</v>
      </c>
      <c r="P67" s="1417" t="s">
        <v>850</v>
      </c>
      <c r="Q67" s="1464">
        <f ca="1">L51</f>
        <v>-21</v>
      </c>
      <c r="R67" s="1418" t="s">
        <v>870</v>
      </c>
    </row>
    <row r="68" spans="1:18" s="1382" customFormat="1" ht="16.5" thickBot="1">
      <c r="A68" s="946" t="s">
        <v>395</v>
      </c>
      <c r="B68" s="947" t="s">
        <v>774</v>
      </c>
      <c r="C68" s="301">
        <f ca="1">ROUND(C67*(1-((1+F70)/(1+F68))^F69)/(F68-F70),0)</f>
        <v>0</v>
      </c>
      <c r="D68" s="964" t="s">
        <v>758</v>
      </c>
      <c r="E68" s="949" t="s">
        <v>759</v>
      </c>
      <c r="F68" s="312">
        <f ca="1">F40</f>
        <v>0.05</v>
      </c>
      <c r="O68" s="1426" t="s">
        <v>406</v>
      </c>
      <c r="P68" s="1465" t="s">
        <v>871</v>
      </c>
      <c r="Q68" s="1418">
        <f ca="1">ROUND(Q69-Q70*Q71,0)</f>
        <v>-1</v>
      </c>
      <c r="R68" s="1418" t="s">
        <v>414</v>
      </c>
    </row>
    <row r="69" spans="1:18" s="1382" customFormat="1" ht="13.5" thickBot="1">
      <c r="A69" s="950"/>
      <c r="B69" s="951"/>
      <c r="C69" s="306"/>
      <c r="D69" s="969" t="s">
        <v>762</v>
      </c>
      <c r="E69" s="949" t="s">
        <v>763</v>
      </c>
      <c r="F69" s="333">
        <f ca="1">F41</f>
        <v>0.35</v>
      </c>
      <c r="O69" s="1426" t="s">
        <v>411</v>
      </c>
      <c r="P69" s="1465" t="s">
        <v>872</v>
      </c>
      <c r="Q69" s="1418">
        <f ca="1">C39</f>
        <v>-1</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453.68</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27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29" ht="15">
      <c r="A4" s="355" t="s">
        <v>1769</v>
      </c>
      <c r="B4" s="356"/>
      <c r="C4" s="3806" t="s">
        <v>1770</v>
      </c>
      <c r="D4" s="3807"/>
      <c r="E4" s="3808" t="s">
        <v>1771</v>
      </c>
      <c r="F4" s="3809"/>
      <c r="G4" s="3806" t="s">
        <v>1772</v>
      </c>
      <c r="H4" s="3807"/>
      <c r="I4" s="3806" t="s">
        <v>1773</v>
      </c>
      <c r="J4" s="3807"/>
      <c r="K4" s="559" t="s">
        <v>1774</v>
      </c>
      <c r="L4" s="2705"/>
      <c r="M4" s="2706"/>
      <c r="N4" s="2706"/>
      <c r="O4" s="2706"/>
      <c r="P4" s="3810" t="s">
        <v>1775</v>
      </c>
      <c r="Q4" s="3811"/>
      <c r="R4" s="3792" t="s">
        <v>1771</v>
      </c>
      <c r="S4" s="3793"/>
      <c r="T4" s="3792" t="s">
        <v>1772</v>
      </c>
      <c r="U4" s="3793"/>
      <c r="V4" s="3818" t="s">
        <v>1773</v>
      </c>
      <c r="W4" s="3818"/>
      <c r="X4" s="1353"/>
      <c r="Y4" s="3792" t="s">
        <v>1775</v>
      </c>
      <c r="Z4" s="3793"/>
      <c r="AA4" s="3787" t="s">
        <v>1771</v>
      </c>
      <c r="AB4" s="3788" t="s">
        <v>1772</v>
      </c>
      <c r="AC4" s="3787" t="s">
        <v>1773</v>
      </c>
    </row>
    <row r="5" spans="1:29" ht="15">
      <c r="A5" s="358"/>
      <c r="B5" s="359"/>
      <c r="C5" s="3802" t="s">
        <v>1673</v>
      </c>
      <c r="D5" s="3799"/>
      <c r="E5" s="3796" t="s">
        <v>1674</v>
      </c>
      <c r="F5" s="3797"/>
      <c r="G5" s="3802" t="s">
        <v>1675</v>
      </c>
      <c r="H5" s="3799"/>
      <c r="I5" s="3802" t="s">
        <v>1676</v>
      </c>
      <c r="J5" s="3799"/>
      <c r="K5" s="559"/>
      <c r="L5" s="2705"/>
      <c r="M5" s="2706"/>
      <c r="N5" s="2706"/>
      <c r="O5" s="2706"/>
      <c r="P5" s="3812"/>
      <c r="Q5" s="3813"/>
      <c r="R5" s="3794"/>
      <c r="S5" s="3795"/>
      <c r="T5" s="3794"/>
      <c r="U5" s="3795"/>
      <c r="V5" s="3818"/>
      <c r="W5" s="3818"/>
      <c r="X5" s="1353"/>
      <c r="Y5" s="3794"/>
      <c r="Z5" s="3795"/>
      <c r="AA5" s="3788"/>
      <c r="AB5" s="3788"/>
      <c r="AC5" s="3788"/>
    </row>
    <row r="6" spans="1:29" ht="15.75" thickBot="1">
      <c r="A6" s="360"/>
      <c r="B6" s="361"/>
      <c r="C6" s="3880" t="s">
        <v>1919</v>
      </c>
      <c r="D6" s="3881"/>
      <c r="E6" s="3882" t="s">
        <v>1919</v>
      </c>
      <c r="F6" s="3883"/>
      <c r="G6" s="3880" t="s">
        <v>1919</v>
      </c>
      <c r="H6" s="3881"/>
      <c r="I6" s="3880" t="s">
        <v>1919</v>
      </c>
      <c r="J6" s="3881"/>
      <c r="K6" s="559" t="s">
        <v>1678</v>
      </c>
      <c r="L6" s="2705"/>
      <c r="M6" s="2706"/>
      <c r="N6" s="2706"/>
      <c r="O6" s="2706"/>
      <c r="P6" s="3814"/>
      <c r="Q6" s="3815"/>
      <c r="R6" s="3794"/>
      <c r="S6" s="3795"/>
      <c r="T6" s="3816"/>
      <c r="U6" s="3817"/>
      <c r="V6" s="3818"/>
      <c r="W6" s="3818"/>
      <c r="X6" s="1353"/>
      <c r="Y6" s="3816"/>
      <c r="Z6" s="3817"/>
      <c r="AA6" s="3789"/>
      <c r="AB6" s="3789"/>
      <c r="AC6" s="3789"/>
    </row>
    <row r="7" spans="1:29" s="108" customFormat="1" ht="15.75" thickBot="1">
      <c r="A7" s="362" t="s">
        <v>1679</v>
      </c>
      <c r="B7" s="363"/>
      <c r="C7" s="364">
        <f>'数据-取费表'!B2</f>
        <v>45160</v>
      </c>
      <c r="D7" s="365">
        <v>100</v>
      </c>
      <c r="E7" s="366"/>
      <c r="F7" s="367">
        <f>SUMIF(65:65,YEAR(E7)&amp;"-"&amp;INT((MONTH(E7)+2)/3),66:66)</f>
        <v>0</v>
      </c>
      <c r="G7" s="1970"/>
      <c r="H7" s="365">
        <f>SUMIF(65:65,YEAR(G7)&amp;"-"&amp;INT((MONTH(G7)+2)/3),66:66)</f>
        <v>0</v>
      </c>
      <c r="I7" s="1970"/>
      <c r="J7" s="365">
        <f>SUMIF(65:65,YEAR(I7)&amp;"-"&amp;INT((MONTH(I7)+2)/3),66:66)</f>
        <v>0</v>
      </c>
      <c r="K7" s="560"/>
      <c r="L7" s="2707"/>
      <c r="M7" s="2708"/>
      <c r="N7" s="2708"/>
      <c r="O7" s="2708"/>
      <c r="P7" s="3790" t="s">
        <v>1680</v>
      </c>
      <c r="Q7" s="3819"/>
      <c r="R7" s="701" t="s">
        <v>14</v>
      </c>
      <c r="S7" s="702">
        <f t="shared" ref="S7:S15" si="0">F7</f>
        <v>0</v>
      </c>
      <c r="T7" s="701" t="s">
        <v>14</v>
      </c>
      <c r="U7" s="702">
        <f t="shared" ref="U7:U15" si="1">H7</f>
        <v>0</v>
      </c>
      <c r="V7" s="701" t="s">
        <v>14</v>
      </c>
      <c r="W7" s="702">
        <f t="shared" ref="W7:W15" si="2">J7</f>
        <v>0</v>
      </c>
      <c r="X7" s="703"/>
      <c r="Y7" s="3790" t="s">
        <v>1680</v>
      </c>
      <c r="Z7" s="37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790" t="s">
        <v>1683</v>
      </c>
      <c r="Q8" s="3791"/>
      <c r="R8" s="701" t="s">
        <v>14</v>
      </c>
      <c r="S8" s="702">
        <f t="shared" si="0"/>
        <v>0</v>
      </c>
      <c r="T8" s="701" t="s">
        <v>14</v>
      </c>
      <c r="U8" s="702">
        <f t="shared" si="1"/>
        <v>0</v>
      </c>
      <c r="V8" s="701" t="s">
        <v>14</v>
      </c>
      <c r="W8" s="702">
        <f t="shared" si="2"/>
        <v>0</v>
      </c>
      <c r="X8" s="703"/>
      <c r="Y8" s="3790" t="s">
        <v>1683</v>
      </c>
      <c r="Z8" s="379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07"/>
      <c r="M9" s="2708"/>
      <c r="N9" s="2708"/>
      <c r="O9" s="2762"/>
      <c r="P9" s="3805" t="s">
        <v>1686</v>
      </c>
      <c r="Q9" s="1341" t="str">
        <f t="shared" ref="Q9:Q15" si="6">B9</f>
        <v>用途</v>
      </c>
      <c r="R9" s="701" t="s">
        <v>14</v>
      </c>
      <c r="S9" s="702">
        <f t="shared" si="0"/>
        <v>100</v>
      </c>
      <c r="T9" s="701" t="s">
        <v>14</v>
      </c>
      <c r="U9" s="702">
        <f t="shared" si="1"/>
        <v>100</v>
      </c>
      <c r="V9" s="701" t="s">
        <v>14</v>
      </c>
      <c r="W9" s="702">
        <f t="shared" si="2"/>
        <v>100</v>
      </c>
      <c r="X9" s="703"/>
      <c r="Y9" s="37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09"/>
      <c r="M10" s="2710"/>
      <c r="N10" s="2710"/>
      <c r="O10" s="2763"/>
      <c r="P10" s="3805"/>
      <c r="Q10" s="1341" t="str">
        <f t="shared" si="6"/>
        <v>土地使用年限（年）</v>
      </c>
      <c r="R10" s="701" t="s">
        <v>14</v>
      </c>
      <c r="S10" s="702">
        <f t="shared" si="0"/>
        <v>101</v>
      </c>
      <c r="T10" s="701" t="s">
        <v>14</v>
      </c>
      <c r="U10" s="702">
        <f t="shared" si="1"/>
        <v>101</v>
      </c>
      <c r="V10" s="701" t="s">
        <v>14</v>
      </c>
      <c r="W10" s="702">
        <f t="shared" si="2"/>
        <v>101</v>
      </c>
      <c r="X10" s="703"/>
      <c r="Y10" s="3741"/>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1"/>
      <c r="M11" s="2706"/>
      <c r="N11" s="2706"/>
      <c r="O11" s="2764"/>
      <c r="P11" s="3805"/>
      <c r="Q11" s="1341" t="str">
        <f t="shared" si="6"/>
        <v>容积率</v>
      </c>
      <c r="R11" s="701" t="s">
        <v>14</v>
      </c>
      <c r="S11" s="702" t="e">
        <f t="shared" si="0"/>
        <v>#N/A</v>
      </c>
      <c r="T11" s="701" t="s">
        <v>14</v>
      </c>
      <c r="U11" s="702" t="e">
        <f t="shared" si="1"/>
        <v>#N/A</v>
      </c>
      <c r="V11" s="701" t="s">
        <v>14</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07"/>
      <c r="M12" s="2708"/>
      <c r="N12" s="2708"/>
      <c r="O12" s="2762"/>
      <c r="P12" s="3805"/>
      <c r="Q12" s="1341">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2"/>
      <c r="M13" s="2706"/>
      <c r="N13" s="2706"/>
      <c r="O13" s="2764"/>
      <c r="P13" s="3805"/>
      <c r="Q13" s="1341">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2"/>
      <c r="M14" s="2706"/>
      <c r="N14" s="2706"/>
      <c r="O14" s="2764"/>
      <c r="P14" s="3805"/>
      <c r="Q14" s="1341">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15">
      <c r="A15" s="391" t="s">
        <v>1690</v>
      </c>
      <c r="B15" s="577"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2"/>
      <c r="M15" s="2706"/>
      <c r="N15" s="2706"/>
      <c r="O15" s="2764"/>
      <c r="P15" s="3820" t="s">
        <v>1691</v>
      </c>
      <c r="Q15" s="1350" t="str">
        <f t="shared" si="6"/>
        <v>产业集聚程度</v>
      </c>
      <c r="R15" s="705" t="s">
        <v>14</v>
      </c>
      <c r="S15" s="706">
        <f t="shared" si="0"/>
        <v>100</v>
      </c>
      <c r="T15" s="705" t="s">
        <v>14</v>
      </c>
      <c r="U15" s="706">
        <f t="shared" si="1"/>
        <v>100</v>
      </c>
      <c r="V15" s="705" t="s">
        <v>14</v>
      </c>
      <c r="W15" s="706">
        <f t="shared" si="2"/>
        <v>100</v>
      </c>
      <c r="X15" s="1353"/>
      <c r="Y15" s="382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2"/>
      <c r="M16" s="2706"/>
      <c r="N16" s="2706"/>
      <c r="O16" s="2764"/>
      <c r="P16" s="3821"/>
      <c r="Q16" s="1350"/>
      <c r="R16" s="705"/>
      <c r="S16" s="706"/>
      <c r="T16" s="705"/>
      <c r="U16" s="706"/>
      <c r="V16" s="705"/>
      <c r="W16" s="706"/>
      <c r="X16" s="1353"/>
      <c r="Y16" s="3821"/>
      <c r="Z16" s="1354"/>
      <c r="AA16" s="1351">
        <v>1</v>
      </c>
      <c r="AB16" s="1351">
        <v>1</v>
      </c>
      <c r="AC16" s="1351">
        <v>1</v>
      </c>
    </row>
    <row r="17" spans="1:29" ht="15">
      <c r="A17" s="379"/>
      <c r="B17" s="579" t="s">
        <v>1833</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2"/>
      <c r="M17" s="2706"/>
      <c r="N17" s="2706"/>
      <c r="O17" s="2764"/>
      <c r="P17" s="3821"/>
      <c r="Q17" s="1350" t="str">
        <f>B17</f>
        <v>交通便捷度</v>
      </c>
      <c r="R17" s="705" t="s">
        <v>14</v>
      </c>
      <c r="S17" s="706">
        <f>F17</f>
        <v>100</v>
      </c>
      <c r="T17" s="705" t="s">
        <v>14</v>
      </c>
      <c r="U17" s="706">
        <f>H17</f>
        <v>100</v>
      </c>
      <c r="V17" s="705" t="s">
        <v>14</v>
      </c>
      <c r="W17" s="706">
        <f>J17</f>
        <v>100</v>
      </c>
      <c r="X17" s="1353"/>
      <c r="Y17" s="382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2"/>
      <c r="M18" s="2706"/>
      <c r="N18" s="2706"/>
      <c r="O18" s="2764"/>
      <c r="P18" s="3821"/>
      <c r="Q18" s="1350"/>
      <c r="R18" s="705"/>
      <c r="S18" s="706"/>
      <c r="T18" s="705"/>
      <c r="U18" s="706"/>
      <c r="V18" s="705"/>
      <c r="W18" s="706"/>
      <c r="X18" s="1353"/>
      <c r="Y18" s="3821"/>
      <c r="Z18" s="1354"/>
      <c r="AA18" s="1351">
        <v>1</v>
      </c>
      <c r="AB18" s="1351">
        <v>1</v>
      </c>
      <c r="AC18" s="1351">
        <v>1</v>
      </c>
    </row>
    <row r="19" spans="1:29" ht="15">
      <c r="A19" s="379"/>
      <c r="B19" s="579" t="s">
        <v>1871</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2"/>
      <c r="M19" s="2706"/>
      <c r="N19" s="2706"/>
      <c r="O19" s="2764"/>
      <c r="P19" s="3821"/>
      <c r="Q19" s="1350" t="str">
        <f t="shared" ref="Q19:Q33" si="8">B19</f>
        <v>区域土地利用方向</v>
      </c>
      <c r="R19" s="705" t="s">
        <v>14</v>
      </c>
      <c r="S19" s="706">
        <f>F19</f>
        <v>100</v>
      </c>
      <c r="T19" s="705" t="s">
        <v>14</v>
      </c>
      <c r="U19" s="706">
        <f>H19</f>
        <v>100</v>
      </c>
      <c r="V19" s="705" t="s">
        <v>14</v>
      </c>
      <c r="W19" s="706">
        <f>J19</f>
        <v>100</v>
      </c>
      <c r="X19" s="1353"/>
      <c r="Y19" s="382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2"/>
      <c r="M20" s="2706"/>
      <c r="N20" s="2706"/>
      <c r="O20" s="2764"/>
      <c r="P20" s="3821"/>
      <c r="Q20" s="1350"/>
      <c r="R20" s="705"/>
      <c r="S20" s="706"/>
      <c r="T20" s="705"/>
      <c r="U20" s="706"/>
      <c r="V20" s="705"/>
      <c r="W20" s="706"/>
      <c r="X20" s="1353"/>
      <c r="Y20" s="3821"/>
      <c r="Z20" s="1354"/>
      <c r="AA20" s="1351"/>
      <c r="AB20" s="1351"/>
      <c r="AC20" s="1351"/>
    </row>
    <row r="21" spans="1:29" ht="15">
      <c r="A21" s="358"/>
      <c r="B21" s="579" t="s">
        <v>1921</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2"/>
      <c r="M21" s="2706"/>
      <c r="N21" s="2706"/>
      <c r="O21" s="2764"/>
      <c r="P21" s="3821"/>
      <c r="Q21" s="1350" t="str">
        <f t="shared" si="8"/>
        <v>环境状况</v>
      </c>
      <c r="R21" s="705" t="s">
        <v>14</v>
      </c>
      <c r="S21" s="706">
        <f>F21</f>
        <v>100</v>
      </c>
      <c r="T21" s="705" t="s">
        <v>14</v>
      </c>
      <c r="U21" s="706">
        <f>H21</f>
        <v>100</v>
      </c>
      <c r="V21" s="705" t="s">
        <v>14</v>
      </c>
      <c r="W21" s="706">
        <f>J21</f>
        <v>100</v>
      </c>
      <c r="X21" s="1353"/>
      <c r="Y21" s="382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2"/>
      <c r="M22" s="2706"/>
      <c r="N22" s="2706"/>
      <c r="O22" s="2764"/>
      <c r="P22" s="3821"/>
      <c r="Q22" s="1350"/>
      <c r="R22" s="705"/>
      <c r="S22" s="706"/>
      <c r="T22" s="705"/>
      <c r="U22" s="706"/>
      <c r="V22" s="705"/>
      <c r="W22" s="706"/>
      <c r="X22" s="1353"/>
      <c r="Y22" s="3821"/>
      <c r="Z22" s="1354"/>
      <c r="AA22" s="1351">
        <v>1</v>
      </c>
      <c r="AB22" s="1351">
        <v>1</v>
      </c>
      <c r="AC22" s="1351">
        <v>1</v>
      </c>
    </row>
    <row r="23" spans="1:29" s="108" customFormat="1" ht="15">
      <c r="A23" s="597"/>
      <c r="B23" s="581" t="s">
        <v>1778</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7"/>
      <c r="M23" s="2708"/>
      <c r="N23" s="2708"/>
      <c r="O23" s="2762"/>
      <c r="P23" s="3821"/>
      <c r="Q23" s="1341" t="str">
        <f t="shared" si="8"/>
        <v>公共配套设施</v>
      </c>
      <c r="R23" s="701" t="s">
        <v>14</v>
      </c>
      <c r="S23" s="702">
        <f>F23</f>
        <v>100</v>
      </c>
      <c r="T23" s="701" t="s">
        <v>14</v>
      </c>
      <c r="U23" s="702">
        <f>H23</f>
        <v>100</v>
      </c>
      <c r="V23" s="701" t="s">
        <v>14</v>
      </c>
      <c r="W23" s="702">
        <f>J23</f>
        <v>100</v>
      </c>
      <c r="X23" s="703"/>
      <c r="Y23" s="3821"/>
      <c r="Z23" s="52" t="str">
        <f>Q23</f>
        <v>公共配套设施</v>
      </c>
      <c r="AA23" s="1351">
        <f>D23/F23</f>
        <v>1</v>
      </c>
      <c r="AB23" s="1351">
        <f>D23/H23</f>
        <v>1</v>
      </c>
      <c r="AC23" s="1351">
        <f>D23/J23</f>
        <v>1</v>
      </c>
    </row>
    <row r="24" spans="1:29" s="108" customFormat="1" ht="15">
      <c r="A24" s="597"/>
      <c r="B24" s="580"/>
      <c r="C24" s="1974"/>
      <c r="D24" s="399"/>
      <c r="E24" s="1902"/>
      <c r="F24" s="399"/>
      <c r="G24" s="1902"/>
      <c r="H24" s="399"/>
      <c r="I24" s="398"/>
      <c r="J24" s="399"/>
      <c r="K24" s="620"/>
      <c r="L24" s="2707"/>
      <c r="M24" s="2708"/>
      <c r="N24" s="2708"/>
      <c r="O24" s="2762"/>
      <c r="P24" s="3821"/>
      <c r="Q24" s="1341"/>
      <c r="R24" s="701"/>
      <c r="S24" s="702"/>
      <c r="T24" s="701"/>
      <c r="U24" s="702"/>
      <c r="V24" s="701"/>
      <c r="W24" s="702"/>
      <c r="X24" s="703"/>
      <c r="Y24" s="3821"/>
      <c r="Z24" s="52"/>
      <c r="AA24" s="704">
        <v>1</v>
      </c>
      <c r="AB24" s="704">
        <v>1</v>
      </c>
      <c r="AC24" s="704">
        <v>1</v>
      </c>
    </row>
    <row r="25" spans="1:29" s="108" customFormat="1" ht="15">
      <c r="A25" s="597"/>
      <c r="B25" s="581" t="s">
        <v>1779</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7"/>
      <c r="M25" s="2708"/>
      <c r="N25" s="2708"/>
      <c r="O25" s="2762"/>
      <c r="P25" s="3821"/>
      <c r="Q25" s="1341" t="str">
        <f t="shared" ref="Q25" si="9">B25</f>
        <v>基础设施水平</v>
      </c>
      <c r="R25" s="701" t="s">
        <v>14</v>
      </c>
      <c r="S25" s="702">
        <f>F25</f>
        <v>100</v>
      </c>
      <c r="T25" s="701" t="s">
        <v>14</v>
      </c>
      <c r="U25" s="702">
        <f>H25</f>
        <v>100</v>
      </c>
      <c r="V25" s="701" t="s">
        <v>14</v>
      </c>
      <c r="W25" s="702">
        <f>J25</f>
        <v>100</v>
      </c>
      <c r="X25" s="703"/>
      <c r="Y25" s="3821"/>
      <c r="Z25" s="52" t="str">
        <f>Q25</f>
        <v>基础设施水平</v>
      </c>
      <c r="AA25" s="1351">
        <f>D25/F25</f>
        <v>1</v>
      </c>
      <c r="AB25" s="1351">
        <f>D25/H25</f>
        <v>1</v>
      </c>
      <c r="AC25" s="1351">
        <f>D25/J25</f>
        <v>1</v>
      </c>
    </row>
    <row r="26" spans="1:29" s="108" customFormat="1" ht="15">
      <c r="A26" s="597"/>
      <c r="B26" s="580"/>
      <c r="C26" s="1974"/>
      <c r="D26" s="399"/>
      <c r="E26" s="1975"/>
      <c r="F26" s="399"/>
      <c r="G26" s="1975"/>
      <c r="H26" s="399"/>
      <c r="I26" s="1975"/>
      <c r="J26" s="399"/>
      <c r="K26" s="620"/>
      <c r="L26" s="2707"/>
      <c r="M26" s="2708"/>
      <c r="N26" s="2708"/>
      <c r="O26" s="2762"/>
      <c r="P26" s="3821"/>
      <c r="Q26" s="1341"/>
      <c r="R26" s="701"/>
      <c r="S26" s="702"/>
      <c r="T26" s="701"/>
      <c r="U26" s="702"/>
      <c r="V26" s="701"/>
      <c r="W26" s="702"/>
      <c r="X26" s="703"/>
      <c r="Y26" s="38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2"/>
      <c r="M27" s="2706"/>
      <c r="N27" s="2706"/>
      <c r="O27" s="2764"/>
      <c r="P27" s="3821"/>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821"/>
      <c r="Z27" s="1354" t="str">
        <f t="shared" ref="Z27:Z40" si="13">Q27</f>
        <v>临街状况</v>
      </c>
      <c r="AA27" s="1351">
        <f t="shared" si="3"/>
        <v>1</v>
      </c>
      <c r="AB27" s="1351">
        <f t="shared" si="4"/>
        <v>1</v>
      </c>
      <c r="AC27" s="1351">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2"/>
      <c r="M28" s="2706"/>
      <c r="N28" s="2706"/>
      <c r="O28" s="2764"/>
      <c r="P28" s="3821"/>
      <c r="Q28" s="1350" t="str">
        <f t="shared" si="8"/>
        <v>毗邻道路的类型与等级</v>
      </c>
      <c r="R28" s="705" t="s">
        <v>14</v>
      </c>
      <c r="S28" s="706">
        <f t="shared" si="10"/>
        <v>100</v>
      </c>
      <c r="T28" s="705" t="s">
        <v>14</v>
      </c>
      <c r="U28" s="706">
        <f t="shared" si="11"/>
        <v>100</v>
      </c>
      <c r="V28" s="705" t="s">
        <v>14</v>
      </c>
      <c r="W28" s="706">
        <f t="shared" si="12"/>
        <v>100</v>
      </c>
      <c r="X28" s="1353"/>
      <c r="Y28" s="382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2"/>
      <c r="M29" s="2706"/>
      <c r="N29" s="2706"/>
      <c r="O29" s="2764"/>
      <c r="P29" s="3821"/>
      <c r="Q29" s="1350"/>
      <c r="R29" s="705"/>
      <c r="S29" s="706"/>
      <c r="T29" s="705"/>
      <c r="U29" s="706"/>
      <c r="V29" s="705"/>
      <c r="W29" s="706"/>
      <c r="X29" s="1353"/>
      <c r="Y29" s="3821"/>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2"/>
      <c r="M30" s="2706"/>
      <c r="N30" s="2706"/>
      <c r="O30" s="2764"/>
      <c r="P30" s="3821"/>
      <c r="Q30" s="1350" t="str">
        <f t="shared" si="8"/>
        <v>土地级别</v>
      </c>
      <c r="R30" s="705" t="s">
        <v>14</v>
      </c>
      <c r="S30" s="706">
        <f t="shared" si="10"/>
        <v>100</v>
      </c>
      <c r="T30" s="705" t="s">
        <v>14</v>
      </c>
      <c r="U30" s="706">
        <f t="shared" si="11"/>
        <v>100</v>
      </c>
      <c r="V30" s="705" t="s">
        <v>14</v>
      </c>
      <c r="W30" s="706">
        <f t="shared" si="12"/>
        <v>100</v>
      </c>
      <c r="X30" s="1353"/>
      <c r="Y30" s="3821"/>
      <c r="Z30" s="1354" t="str">
        <f t="shared" si="13"/>
        <v>土地级别</v>
      </c>
      <c r="AA30" s="1351">
        <f t="shared" si="3"/>
        <v>1</v>
      </c>
      <c r="AB30" s="1351">
        <f t="shared" si="4"/>
        <v>1</v>
      </c>
      <c r="AC30" s="1351">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821"/>
      <c r="Q31" s="1350">
        <f t="shared" si="8"/>
        <v>111</v>
      </c>
      <c r="R31" s="705" t="s">
        <v>14</v>
      </c>
      <c r="S31" s="706">
        <f t="shared" si="10"/>
        <v>100</v>
      </c>
      <c r="T31" s="705" t="s">
        <v>14</v>
      </c>
      <c r="U31" s="706">
        <f t="shared" si="11"/>
        <v>100</v>
      </c>
      <c r="V31" s="705" t="s">
        <v>14</v>
      </c>
      <c r="W31" s="706">
        <f t="shared" si="12"/>
        <v>100</v>
      </c>
      <c r="X31" s="1353"/>
      <c r="Y31" s="3821"/>
      <c r="Z31" s="1354">
        <f t="shared" si="13"/>
        <v>111</v>
      </c>
      <c r="AA31" s="1351">
        <f t="shared" si="3"/>
        <v>1</v>
      </c>
      <c r="AB31" s="1351">
        <f t="shared" si="4"/>
        <v>1</v>
      </c>
      <c r="AC31" s="1351">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2"/>
      <c r="M32" s="2706"/>
      <c r="N32" s="2706"/>
      <c r="O32" s="2764"/>
      <c r="P32" s="3822" t="s">
        <v>1696</v>
      </c>
      <c r="Q32" s="1350">
        <f t="shared" si="8"/>
        <v>111</v>
      </c>
      <c r="R32" s="705" t="s">
        <v>14</v>
      </c>
      <c r="S32" s="706">
        <f t="shared" si="10"/>
        <v>100</v>
      </c>
      <c r="T32" s="705" t="s">
        <v>14</v>
      </c>
      <c r="U32" s="706">
        <f t="shared" si="11"/>
        <v>100</v>
      </c>
      <c r="V32" s="705" t="s">
        <v>14</v>
      </c>
      <c r="W32" s="706">
        <f t="shared" si="12"/>
        <v>100</v>
      </c>
      <c r="X32" s="1353"/>
      <c r="Y32" s="3823" t="s">
        <v>1696</v>
      </c>
      <c r="Z32" s="1354">
        <f t="shared" si="13"/>
        <v>111</v>
      </c>
      <c r="AA32" s="1351">
        <f t="shared" si="3"/>
        <v>1</v>
      </c>
      <c r="AB32" s="1351">
        <f t="shared" si="4"/>
        <v>1</v>
      </c>
      <c r="AC32" s="1351">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1"/>
      <c r="M33" s="2713"/>
      <c r="N33" s="2713"/>
      <c r="O33" s="2765"/>
      <c r="P33" s="3823"/>
      <c r="Q33" s="1350">
        <f t="shared" si="8"/>
        <v>111</v>
      </c>
      <c r="R33" s="708" t="s">
        <v>14</v>
      </c>
      <c r="S33" s="709">
        <f t="shared" si="10"/>
        <v>100</v>
      </c>
      <c r="T33" s="708" t="s">
        <v>14</v>
      </c>
      <c r="U33" s="709">
        <f t="shared" si="11"/>
        <v>100</v>
      </c>
      <c r="V33" s="708" t="s">
        <v>14</v>
      </c>
      <c r="W33" s="709">
        <f t="shared" si="12"/>
        <v>100</v>
      </c>
      <c r="X33" s="710"/>
      <c r="Y33" s="382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2"/>
      <c r="M34" s="2706"/>
      <c r="N34" s="2706"/>
      <c r="O34" s="2764"/>
      <c r="P34" s="3823"/>
      <c r="Q34" s="1350" t="str">
        <f>B34</f>
        <v>宗地面积</v>
      </c>
      <c r="R34" s="705" t="s">
        <v>14</v>
      </c>
      <c r="S34" s="706" t="e">
        <f t="shared" si="10"/>
        <v>#N/A</v>
      </c>
      <c r="T34" s="705" t="s">
        <v>14</v>
      </c>
      <c r="U34" s="706" t="e">
        <f t="shared" si="11"/>
        <v>#N/A</v>
      </c>
      <c r="V34" s="705" t="s">
        <v>14</v>
      </c>
      <c r="W34" s="706" t="e">
        <f t="shared" si="12"/>
        <v>#N/A</v>
      </c>
      <c r="X34" s="1353"/>
      <c r="Y34" s="382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2"/>
      <c r="M35" s="2706"/>
      <c r="N35" s="2706"/>
      <c r="O35" s="2764"/>
      <c r="P35" s="3823"/>
      <c r="Q35" s="1350" t="str">
        <f t="shared" ref="Q35:Q40" si="14">B35</f>
        <v>宗地形状</v>
      </c>
      <c r="R35" s="705" t="s">
        <v>14</v>
      </c>
      <c r="S35" s="706">
        <f t="shared" si="10"/>
        <v>100</v>
      </c>
      <c r="T35" s="705" t="s">
        <v>14</v>
      </c>
      <c r="U35" s="706">
        <f t="shared" si="11"/>
        <v>100</v>
      </c>
      <c r="V35" s="705" t="s">
        <v>14</v>
      </c>
      <c r="W35" s="706">
        <f t="shared" si="12"/>
        <v>100</v>
      </c>
      <c r="X35" s="1353"/>
      <c r="Y35" s="3823"/>
      <c r="Z35" s="1354" t="str">
        <f t="shared" si="13"/>
        <v>宗地形状</v>
      </c>
      <c r="AA35" s="1351">
        <f t="shared" si="3"/>
        <v>1</v>
      </c>
      <c r="AB35" s="1351">
        <f t="shared" si="4"/>
        <v>1</v>
      </c>
      <c r="AC35" s="1351">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7"/>
      <c r="M36" s="2708"/>
      <c r="N36" s="2708"/>
      <c r="O36" s="2762"/>
      <c r="P36" s="3823"/>
      <c r="Q36" s="1350" t="str">
        <f t="shared" si="14"/>
        <v>宗地开发程度</v>
      </c>
      <c r="R36" s="701" t="s">
        <v>14</v>
      </c>
      <c r="S36" s="702">
        <f t="shared" si="10"/>
        <v>100</v>
      </c>
      <c r="T36" s="701" t="s">
        <v>14</v>
      </c>
      <c r="U36" s="702">
        <f t="shared" si="11"/>
        <v>100</v>
      </c>
      <c r="V36" s="701" t="s">
        <v>14</v>
      </c>
      <c r="W36" s="702">
        <f t="shared" si="12"/>
        <v>100</v>
      </c>
      <c r="X36" s="703"/>
      <c r="Y36" s="382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2"/>
      <c r="M37" s="2706"/>
      <c r="N37" s="2706"/>
      <c r="O37" s="2764"/>
      <c r="P37" s="3823" t="s">
        <v>1696</v>
      </c>
      <c r="Q37" s="1350" t="str">
        <f t="shared" si="14"/>
        <v>工程地质条件</v>
      </c>
      <c r="R37" s="705" t="s">
        <v>14</v>
      </c>
      <c r="S37" s="706">
        <f t="shared" si="10"/>
        <v>100</v>
      </c>
      <c r="T37" s="705" t="s">
        <v>14</v>
      </c>
      <c r="U37" s="706">
        <f t="shared" si="11"/>
        <v>100</v>
      </c>
      <c r="V37" s="705" t="s">
        <v>14</v>
      </c>
      <c r="W37" s="706">
        <f t="shared" si="12"/>
        <v>100</v>
      </c>
      <c r="X37" s="1353"/>
      <c r="Y37" s="3823"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2"/>
      <c r="M38" s="2706"/>
      <c r="N38" s="2706"/>
      <c r="O38" s="2764"/>
      <c r="P38" s="3823"/>
      <c r="Q38" s="1350">
        <f t="shared" si="14"/>
        <v>111</v>
      </c>
      <c r="R38" s="705" t="s">
        <v>14</v>
      </c>
      <c r="S38" s="706">
        <f t="shared" si="10"/>
        <v>100</v>
      </c>
      <c r="T38" s="705" t="s">
        <v>14</v>
      </c>
      <c r="U38" s="706">
        <f t="shared" si="11"/>
        <v>100</v>
      </c>
      <c r="V38" s="705" t="s">
        <v>14</v>
      </c>
      <c r="W38" s="706">
        <f t="shared" si="12"/>
        <v>100</v>
      </c>
      <c r="X38" s="1353"/>
      <c r="Y38" s="382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2"/>
      <c r="M39" s="2706"/>
      <c r="N39" s="2706"/>
      <c r="O39" s="2764"/>
      <c r="P39" s="3823"/>
      <c r="Q39" s="1350">
        <f t="shared" si="14"/>
        <v>111</v>
      </c>
      <c r="R39" s="705" t="s">
        <v>14</v>
      </c>
      <c r="S39" s="706">
        <f t="shared" si="10"/>
        <v>100</v>
      </c>
      <c r="T39" s="705" t="s">
        <v>14</v>
      </c>
      <c r="U39" s="706">
        <f t="shared" si="11"/>
        <v>100</v>
      </c>
      <c r="V39" s="705" t="s">
        <v>14</v>
      </c>
      <c r="W39" s="706">
        <f t="shared" si="12"/>
        <v>100</v>
      </c>
      <c r="X39" s="1353"/>
      <c r="Y39" s="3823"/>
      <c r="Z39" s="1354">
        <f t="shared" si="13"/>
        <v>111</v>
      </c>
      <c r="AA39" s="1351">
        <f t="shared" si="3"/>
        <v>1</v>
      </c>
      <c r="AB39" s="1351">
        <f t="shared" si="4"/>
        <v>1</v>
      </c>
      <c r="AC39" s="1351">
        <f t="shared" si="5"/>
        <v>1</v>
      </c>
    </row>
    <row r="40" spans="1:31" s="422" customFormat="1" ht="15.75" thickBot="1">
      <c r="A40" s="419"/>
      <c r="B40" s="1133">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1"/>
      <c r="M40" s="2713"/>
      <c r="N40" s="2713"/>
      <c r="O40" s="2765"/>
      <c r="P40" s="3823"/>
      <c r="Q40" s="1350">
        <f t="shared" si="14"/>
        <v>111</v>
      </c>
      <c r="R40" s="708" t="s">
        <v>14</v>
      </c>
      <c r="S40" s="709">
        <f t="shared" si="10"/>
        <v>100</v>
      </c>
      <c r="T40" s="708" t="s">
        <v>14</v>
      </c>
      <c r="U40" s="709">
        <f t="shared" si="11"/>
        <v>100</v>
      </c>
      <c r="V40" s="708" t="s">
        <v>14</v>
      </c>
      <c r="W40" s="709">
        <f t="shared" si="12"/>
        <v>100</v>
      </c>
      <c r="X40" s="710"/>
      <c r="Y40" s="3823"/>
      <c r="Z40" s="711">
        <f t="shared" si="13"/>
        <v>111</v>
      </c>
      <c r="AA40" s="1351">
        <f t="shared" si="3"/>
        <v>1</v>
      </c>
      <c r="AB40" s="1351">
        <f t="shared" si="4"/>
        <v>1</v>
      </c>
      <c r="AC40" s="1351">
        <f t="shared" si="5"/>
        <v>1</v>
      </c>
    </row>
    <row r="41" spans="1:31" ht="15">
      <c r="A41" s="430" t="s">
        <v>1844</v>
      </c>
      <c r="B41" s="1978" t="s">
        <v>1922</v>
      </c>
      <c r="C41" s="630" t="s">
        <v>0</v>
      </c>
      <c r="D41" s="432"/>
      <c r="E41" s="433"/>
      <c r="F41" s="434"/>
      <c r="G41" s="435"/>
      <c r="H41" s="436"/>
      <c r="I41" s="433"/>
      <c r="J41" s="436"/>
      <c r="K41" s="714"/>
      <c r="L41" s="2714"/>
      <c r="M41" s="2706"/>
      <c r="N41" s="2706"/>
      <c r="O41" s="2715"/>
      <c r="P41" s="3805" t="str">
        <f>A41</f>
        <v>成交单价</v>
      </c>
      <c r="Q41" s="3805"/>
      <c r="R41" s="3818">
        <f>E41</f>
        <v>0</v>
      </c>
      <c r="S41" s="3818"/>
      <c r="T41" s="3818">
        <f>G41</f>
        <v>0</v>
      </c>
      <c r="U41" s="3818"/>
      <c r="V41" s="3818">
        <f>I41</f>
        <v>0</v>
      </c>
      <c r="W41" s="3818"/>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4"/>
      <c r="M42" s="2706"/>
      <c r="N42" s="2706"/>
      <c r="O42" s="2715"/>
      <c r="P42" s="3805" t="str">
        <f>A42</f>
        <v>比较价值（元/平方米）</v>
      </c>
      <c r="Q42" s="3805"/>
      <c r="R42" s="3824" t="e">
        <f>ROUND(PRODUCT(R41,AA7:AA40),0)</f>
        <v>#DIV/0!</v>
      </c>
      <c r="S42" s="3824"/>
      <c r="T42" s="3824" t="e">
        <f>ROUND(PRODUCT(T41,AB7:AB40),0)</f>
        <v>#DIV/0!</v>
      </c>
      <c r="U42" s="3824"/>
      <c r="V42" s="3824" t="e">
        <f>ROUND(PRODUCT(V41,AC7:AC40),0)</f>
        <v>#DIV/0!</v>
      </c>
      <c r="W42" s="38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4"/>
      <c r="M43" s="2706"/>
      <c r="N43" s="2706"/>
      <c r="O43" s="2715"/>
      <c r="P43" s="3825" t="str">
        <f>A43</f>
        <v>估价对象XX用房的比较价值（楼面单价，元/平方米）</v>
      </c>
      <c r="Q43" s="3826"/>
      <c r="R43" s="3827" t="e">
        <f>ROUND(IF(D42="简单平均",AVERAGE(R42:W42),R42*F42+T42*H42+V42*J42),0)</f>
        <v>#DIV/0!</v>
      </c>
      <c r="S43" s="3827"/>
      <c r="T43" s="3827"/>
      <c r="U43" s="3827"/>
      <c r="V43" s="3827"/>
      <c r="W43" s="3827"/>
      <c r="X43" s="690"/>
      <c r="Y43" s="690"/>
      <c r="Z43" s="690"/>
      <c r="AA43" s="690"/>
      <c r="AB43" s="690"/>
      <c r="AC43" s="690"/>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3"/>
      <c r="D49" s="691"/>
      <c r="E49" s="691"/>
      <c r="F49" s="691"/>
      <c r="G49" s="691"/>
      <c r="H49" s="691"/>
      <c r="I49" s="691"/>
      <c r="J49" s="691"/>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2" t="s">
        <v>1881</v>
      </c>
      <c r="B50" s="633" t="s">
        <v>1882</v>
      </c>
      <c r="C50" s="1979" t="s">
        <v>1883</v>
      </c>
      <c r="D50" s="1980" t="s">
        <v>1884</v>
      </c>
      <c r="E50" s="634" t="s">
        <v>1885</v>
      </c>
      <c r="F50" s="635" t="s">
        <v>1886</v>
      </c>
      <c r="G50" s="3806" t="s">
        <v>1887</v>
      </c>
      <c r="H50" s="3828"/>
      <c r="I50" s="1354" t="s">
        <v>1923</v>
      </c>
      <c r="J50" s="1354">
        <f>项目基本情况!F35</f>
        <v>0</v>
      </c>
      <c r="K50" s="1982"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40" customFormat="1">
      <c r="A51" s="636" t="s">
        <v>1890</v>
      </c>
      <c r="B51" s="637" t="e">
        <f>C43</f>
        <v>#DIV/0!</v>
      </c>
      <c r="C51" s="638">
        <v>1</v>
      </c>
      <c r="D51" s="943">
        <v>1</v>
      </c>
      <c r="E51" s="638">
        <f>'数据-汇总表'!E8+'数据-汇总表'!E9</f>
        <v>34681.870000000003</v>
      </c>
      <c r="F51" s="639" t="e">
        <f t="shared" ref="F51:F60" si="15">ROUND(B51*E51/10000,0)</f>
        <v>#DIV/0!</v>
      </c>
      <c r="G51" s="3829"/>
      <c r="H51" s="3805"/>
      <c r="I51" s="772">
        <v>1</v>
      </c>
      <c r="J51" s="772">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40" customFormat="1">
      <c r="A52" s="641" t="s">
        <v>1891</v>
      </c>
      <c r="B52" s="218" t="e">
        <f>ROUND($C$43*C52*D52,0)</f>
        <v>#DIV/0!</v>
      </c>
      <c r="C52" s="171">
        <f t="shared" ref="C52:C60" si="16">IF($C$50="北京市系数",I52,J52)</f>
        <v>0.6</v>
      </c>
      <c r="D52" s="944">
        <v>0.25</v>
      </c>
      <c r="E52" s="642"/>
      <c r="F52" s="639" t="e">
        <f t="shared" si="15"/>
        <v>#DIV/0!</v>
      </c>
      <c r="G52" s="2996" t="s">
        <v>1892</v>
      </c>
      <c r="H52" s="886" t="str">
        <f>项目基本情况!B37</f>
        <v>七级</v>
      </c>
      <c r="I52" s="772">
        <f>SUMIF(修正!A57:A68,H52,修正!B57:B68)</f>
        <v>0.6</v>
      </c>
      <c r="J52" s="773"/>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40" customFormat="1">
      <c r="A53" s="641" t="s">
        <v>1893</v>
      </c>
      <c r="B53" s="218" t="e">
        <f t="shared" ref="B53:B60" si="17">ROUND($C$43*C53*D53,0)</f>
        <v>#DIV/0!</v>
      </c>
      <c r="C53" s="171">
        <f t="shared" si="16"/>
        <v>0.3</v>
      </c>
      <c r="D53" s="944">
        <v>0.25</v>
      </c>
      <c r="E53" s="642"/>
      <c r="F53" s="639" t="e">
        <f t="shared" si="15"/>
        <v>#DIV/0!</v>
      </c>
      <c r="G53" s="2997"/>
      <c r="H53" s="886" t="str">
        <f>项目基本情况!B37</f>
        <v>七级</v>
      </c>
      <c r="I53" s="772">
        <f>SUMIF(修正!A57:A68,H53,修正!C57:C68)</f>
        <v>0.3</v>
      </c>
      <c r="J53" s="773"/>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40" customFormat="1">
      <c r="A54" s="641" t="s">
        <v>1894</v>
      </c>
      <c r="B54" s="218" t="e">
        <f t="shared" si="17"/>
        <v>#DIV/0!</v>
      </c>
      <c r="C54" s="171">
        <f t="shared" si="16"/>
        <v>0.25</v>
      </c>
      <c r="D54" s="944">
        <v>0.25</v>
      </c>
      <c r="E54" s="642"/>
      <c r="F54" s="639" t="e">
        <f t="shared" si="15"/>
        <v>#DIV/0!</v>
      </c>
      <c r="G54" s="2997"/>
      <c r="H54" s="886" t="str">
        <f>项目基本情况!B37</f>
        <v>七级</v>
      </c>
      <c r="I54" s="772">
        <f>SUMIF(修正!A57:A68,H54,修正!D57:D68)</f>
        <v>0.25</v>
      </c>
      <c r="J54" s="773"/>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40" customFormat="1" hidden="1">
      <c r="A55" s="641"/>
      <c r="B55" s="218"/>
      <c r="C55" s="171"/>
      <c r="D55" s="944"/>
      <c r="E55" s="642"/>
      <c r="F55" s="639"/>
      <c r="G55" s="2998"/>
      <c r="H55" s="886"/>
      <c r="I55" s="772"/>
      <c r="J55" s="773"/>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40" customFormat="1">
      <c r="A56" s="641" t="s">
        <v>1895</v>
      </c>
      <c r="B56" s="218" t="e">
        <f t="shared" si="17"/>
        <v>#DIV/0!</v>
      </c>
      <c r="C56" s="171">
        <f t="shared" si="16"/>
        <v>0.25</v>
      </c>
      <c r="D56" s="944">
        <v>0.25</v>
      </c>
      <c r="E56" s="217">
        <f>'数据-汇总表'!E11</f>
        <v>0</v>
      </c>
      <c r="F56" s="639" t="e">
        <f t="shared" si="15"/>
        <v>#DIV/0!</v>
      </c>
      <c r="G56" s="1983" t="s">
        <v>1896</v>
      </c>
      <c r="H56" s="886" t="str">
        <f>项目基本情况!C37</f>
        <v>七级</v>
      </c>
      <c r="I56" s="772">
        <f>SUMIF(修正!A57:A68,H56,修正!E57:E68)</f>
        <v>0.25</v>
      </c>
      <c r="J56" s="773"/>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40" customFormat="1">
      <c r="A58" s="641" t="s">
        <v>1899</v>
      </c>
      <c r="B58" s="218" t="e">
        <f t="shared" si="17"/>
        <v>#DIV/0!</v>
      </c>
      <c r="C58" s="171">
        <f t="shared" si="16"/>
        <v>0.15</v>
      </c>
      <c r="D58" s="944">
        <v>0.25</v>
      </c>
      <c r="E58" s="217">
        <f>'数据-汇总表'!E13</f>
        <v>453.68</v>
      </c>
      <c r="F58" s="639" t="e">
        <f t="shared" si="15"/>
        <v>#DIV/0!</v>
      </c>
      <c r="G58" s="891" t="s">
        <v>1900</v>
      </c>
      <c r="H58" s="886" t="str">
        <f>IF(G58="商业",项目基本情况!B37,IF(G58="办公",项目基本情况!C37,IF(G58="住宅",项目基本情况!D37,项目基本情况!E37)))</f>
        <v>七级</v>
      </c>
      <c r="I58" s="772">
        <f>SUMIF(修正!A57:A68,H58,修正!G57:G68)</f>
        <v>0.15</v>
      </c>
      <c r="J58" s="773"/>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40" customFormat="1">
      <c r="A59" s="641" t="s">
        <v>1901</v>
      </c>
      <c r="B59" s="218" t="e">
        <f t="shared" si="17"/>
        <v>#DIV/0!</v>
      </c>
      <c r="C59" s="171">
        <f t="shared" si="16"/>
        <v>0.15</v>
      </c>
      <c r="D59" s="944">
        <v>0.25</v>
      </c>
      <c r="E59" s="217">
        <f>'数据-汇总表'!E14</f>
        <v>0</v>
      </c>
      <c r="F59" s="639" t="e">
        <f t="shared" si="15"/>
        <v>#DIV/0!</v>
      </c>
      <c r="G59" s="1983" t="s">
        <v>1892</v>
      </c>
      <c r="H59" s="886" t="str">
        <f>项目基本情况!B37</f>
        <v>七级</v>
      </c>
      <c r="I59" s="772">
        <f>SUMIF(修正!A57:A68,H59,修正!G57:G68)</f>
        <v>0.15</v>
      </c>
      <c r="J59" s="773"/>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40" customFormat="1" ht="15" thickBot="1">
      <c r="A60" s="641" t="s">
        <v>1902</v>
      </c>
      <c r="B60" s="218" t="e">
        <f t="shared" si="17"/>
        <v>#DIV/0!</v>
      </c>
      <c r="C60" s="171">
        <f t="shared" si="16"/>
        <v>0.15</v>
      </c>
      <c r="D60" s="944">
        <v>0.25</v>
      </c>
      <c r="E60" s="217">
        <f>'数据-汇总表'!E15</f>
        <v>0</v>
      </c>
      <c r="F60" s="639" t="e">
        <f t="shared" si="15"/>
        <v>#DIV/0!</v>
      </c>
      <c r="G60" s="1984" t="s">
        <v>1896</v>
      </c>
      <c r="H60" s="896" t="str">
        <f>项目基本情况!C37</f>
        <v>七级</v>
      </c>
      <c r="I60" s="772">
        <f>SUMIF(修正!A57:A68,H60,修正!G57:G68)</f>
        <v>0.15</v>
      </c>
      <c r="J60" s="773"/>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6"/>
      <c r="B62" s="928"/>
      <c r="C62" s="930"/>
      <c r="D62" s="926"/>
      <c r="E62" s="926"/>
      <c r="F62" s="926"/>
      <c r="G62" s="926"/>
      <c r="H62" s="926"/>
      <c r="I62" s="926"/>
      <c r="J62" s="926"/>
      <c r="K62" s="887"/>
      <c r="L62" s="888"/>
      <c r="M62" s="926"/>
      <c r="N62" s="926"/>
      <c r="O62" s="926"/>
      <c r="P62" s="2715"/>
      <c r="Q62" s="2715"/>
      <c r="R62" s="2715"/>
      <c r="S62" s="2715"/>
      <c r="T62" s="2715"/>
      <c r="U62" s="2715"/>
      <c r="V62" s="2715"/>
      <c r="W62" s="2715"/>
      <c r="X62" s="2715"/>
      <c r="Y62" s="2715"/>
      <c r="Z62" s="2715"/>
      <c r="AA62" s="2715"/>
      <c r="AB62" s="2715"/>
      <c r="AC62" s="2715"/>
      <c r="AD62" s="2715"/>
      <c r="AE62" s="2715"/>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4" t="s">
        <v>1798</v>
      </c>
      <c r="B64" s="690"/>
      <c r="C64" s="695"/>
      <c r="D64" s="695"/>
      <c r="E64" s="695"/>
      <c r="F64" s="696"/>
      <c r="G64" s="696"/>
      <c r="H64" s="695"/>
      <c r="I64" s="695"/>
      <c r="J64" s="695"/>
      <c r="K64" s="697"/>
      <c r="L64" s="698"/>
      <c r="M64" s="695"/>
      <c r="N64" s="695"/>
      <c r="O64" s="939"/>
      <c r="P64" s="2759"/>
      <c r="Q64" s="2729"/>
      <c r="R64" s="2715"/>
      <c r="S64" s="2715"/>
      <c r="T64" s="2715"/>
      <c r="U64" s="2715"/>
      <c r="V64" s="2715"/>
      <c r="W64" s="2715"/>
      <c r="X64" s="2715"/>
      <c r="Y64" s="2715"/>
      <c r="Z64" s="2715"/>
      <c r="AA64" s="2715"/>
      <c r="AB64" s="2715"/>
      <c r="AC64" s="2715"/>
      <c r="AD64" s="2715"/>
      <c r="AE64" s="2715"/>
    </row>
    <row r="65" spans="1:31" s="457" customFormat="1" ht="15">
      <c r="A65" s="1985"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1716</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1681</v>
      </c>
      <c r="B68" s="459"/>
      <c r="C68" s="471" t="s">
        <v>1776</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7">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1719</v>
      </c>
      <c r="B70" s="477" t="s">
        <v>1685</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1688</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1690</v>
      </c>
      <c r="B83" s="477" t="s">
        <v>1829</v>
      </c>
      <c r="C83" s="522" t="s">
        <v>1721</v>
      </c>
      <c r="D83" s="522" t="s">
        <v>1722</v>
      </c>
      <c r="E83" s="522" t="s">
        <v>1723</v>
      </c>
      <c r="F83" s="522" t="s">
        <v>1724</v>
      </c>
      <c r="G83" s="522" t="s">
        <v>1725</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1726</v>
      </c>
      <c r="C85" s="527" t="s">
        <v>1721</v>
      </c>
      <c r="D85" s="527" t="s">
        <v>1722</v>
      </c>
      <c r="E85" s="527" t="s">
        <v>1723</v>
      </c>
      <c r="F85" s="527" t="s">
        <v>1724</v>
      </c>
      <c r="G85" s="527" t="s">
        <v>1725</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1815</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1873</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3"/>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5"/>
      <c r="H106" s="625"/>
      <c r="I106" s="625"/>
      <c r="J106" s="625"/>
      <c r="K106" s="625"/>
      <c r="L106" s="625"/>
      <c r="M106" s="647"/>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1914</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1916</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1917</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8"/>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887" t="s">
        <v>2084</v>
      </c>
      <c r="D1" s="3888"/>
      <c r="E1" s="3888"/>
      <c r="F1" s="3888"/>
      <c r="G1" s="3888"/>
      <c r="H1" s="3888"/>
      <c r="I1" s="3888"/>
      <c r="J1" s="3888"/>
      <c r="K1" s="3888"/>
      <c r="L1" s="3888"/>
      <c r="M1" s="3888"/>
      <c r="N1" s="3888"/>
      <c r="O1" s="3888"/>
      <c r="P1" s="3888"/>
      <c r="Q1" s="3888"/>
      <c r="R1" s="3888"/>
      <c r="S1" s="388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2095</v>
      </c>
      <c r="E19" s="1338"/>
      <c r="F19" s="1338"/>
      <c r="G19" s="1338"/>
      <c r="H19" s="1058"/>
      <c r="I19" s="159"/>
      <c r="J19" s="159"/>
      <c r="K19" s="159"/>
      <c r="L19" s="159"/>
      <c r="M19" s="159"/>
      <c r="N19" s="159"/>
      <c r="O19" s="159"/>
      <c r="P19" s="159"/>
      <c r="Q19" s="159"/>
      <c r="R19" s="718"/>
      <c r="S19" s="129"/>
    </row>
    <row r="20" spans="1:45" ht="16.5" thickBot="1">
      <c r="A20" s="662" t="s">
        <v>2096</v>
      </c>
      <c r="B20" s="294" t="e">
        <f ca="1">IF(D20="——",S22,S22-F20)</f>
        <v>#REF!</v>
      </c>
      <c r="C20" s="159"/>
      <c r="D20" s="2147"/>
      <c r="E20" s="1339"/>
      <c r="F20" s="982" t="e">
        <f ca="1">SUMIF(INDIRECT("'"&amp;H20&amp;"'"&amp;"!A:A"),"承租人权益价值",INDIRECT("'"&amp;H20&amp;"'"&amp;"!c:c"))</f>
        <v>#REF!</v>
      </c>
      <c r="G20" s="982"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4" t="s">
        <v>27</v>
      </c>
      <c r="D22" s="3885"/>
      <c r="E22" s="3885"/>
      <c r="F22" s="3885"/>
      <c r="G22" s="3885"/>
      <c r="H22" s="3885"/>
      <c r="I22" s="3885"/>
      <c r="J22" s="3885"/>
      <c r="K22" s="3885"/>
      <c r="L22" s="3885"/>
      <c r="M22" s="3885"/>
      <c r="N22" s="3885"/>
      <c r="O22" s="3885"/>
      <c r="P22" s="3885"/>
      <c r="Q22" s="388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0">
        <v>1</v>
      </c>
      <c r="D24" s="2801"/>
      <c r="E24" s="2800">
        <v>1</v>
      </c>
      <c r="F24" s="2801"/>
      <c r="G24" s="2800">
        <v>1</v>
      </c>
      <c r="H24" s="2801"/>
      <c r="I24" s="2800">
        <v>1</v>
      </c>
      <c r="J24" s="2801"/>
      <c r="K24" s="2800">
        <v>1</v>
      </c>
      <c r="L24" s="2801"/>
      <c r="M24" s="2800">
        <v>1</v>
      </c>
      <c r="N24" s="2801"/>
      <c r="O24" s="2800">
        <v>1</v>
      </c>
      <c r="P24" s="2801"/>
      <c r="Q24" s="280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7"/>
      <c r="C2" s="3587"/>
      <c r="D2" s="3587"/>
      <c r="E2" s="3587"/>
    </row>
    <row r="3" spans="1:5" ht="18">
      <c r="A3" s="3588" t="str">
        <f>IF(项目基本情况!B9="房地产市场价值","估价结果一览表（市场价值不需“结果表-1”）","估价结果一览表")</f>
        <v>估价结果一览表（市场价值不需“结果表-1”）</v>
      </c>
      <c r="B3" s="3588"/>
      <c r="C3" s="3588"/>
      <c r="D3" s="3588"/>
      <c r="E3" s="3588"/>
    </row>
    <row r="4" spans="1:5" ht="19.5" thickBot="1">
      <c r="A4" s="1491"/>
      <c r="B4" s="3586" t="s">
        <v>917</v>
      </c>
      <c r="C4" s="3586"/>
      <c r="D4" s="3586"/>
      <c r="E4" s="1491"/>
    </row>
    <row r="5" spans="1:5" ht="16.5" thickTop="1">
      <c r="A5" s="1489"/>
      <c r="B5" s="3584" t="s">
        <v>909</v>
      </c>
      <c r="C5" s="1492" t="s">
        <v>910</v>
      </c>
      <c r="D5" s="849">
        <f ca="1">结果表!H101</f>
        <v>85470</v>
      </c>
      <c r="E5" s="1489"/>
    </row>
    <row r="6" spans="1:5" ht="15.75">
      <c r="A6" s="1489"/>
      <c r="B6" s="3584"/>
      <c r="C6" s="1492" t="s">
        <v>911</v>
      </c>
      <c r="D6" s="849" t="str">
        <f ca="1">NUMBERSTRING(INT(D5*10000),2)&amp;"元整"</f>
        <v>捌亿伍仟肆佰柒拾万元整</v>
      </c>
      <c r="E6" s="1489"/>
    </row>
    <row r="7" spans="1:5" ht="15.75">
      <c r="A7" s="1489"/>
      <c r="B7" s="3589"/>
      <c r="C7" s="1493" t="s">
        <v>912</v>
      </c>
      <c r="D7" s="850">
        <f ca="1">结果表!H102</f>
        <v>24174</v>
      </c>
      <c r="E7" s="1489"/>
    </row>
    <row r="8" spans="1:5" ht="15.75">
      <c r="A8" s="1489"/>
      <c r="B8" s="3590" t="str">
        <f>结果表!E103</f>
        <v>2.估价师知悉的法定优先受偿款</v>
      </c>
      <c r="C8" s="1494" t="s">
        <v>913</v>
      </c>
      <c r="D8" s="850">
        <f>结果表!H103</f>
        <v>0</v>
      </c>
      <c r="E8" s="1489"/>
    </row>
    <row r="9" spans="1:5" ht="15.75">
      <c r="A9" s="1489"/>
      <c r="B9" s="359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83" t="str">
        <f>结果表!E107</f>
        <v>3.房地产抵押价值</v>
      </c>
      <c r="C13" s="1497" t="s">
        <v>910</v>
      </c>
      <c r="D13" s="852">
        <f ca="1">结果表!H107</f>
        <v>85470</v>
      </c>
      <c r="E13" s="1489"/>
    </row>
    <row r="14" spans="1:5" ht="15.75">
      <c r="A14" s="1489"/>
      <c r="B14" s="3584"/>
      <c r="C14" s="1492" t="s">
        <v>911</v>
      </c>
      <c r="D14" s="849" t="str">
        <f ca="1">NUMBERSTRING(INT(D13*10000),2)&amp;"元整"</f>
        <v>捌亿伍仟肆佰柒拾万元整</v>
      </c>
      <c r="E14" s="1489"/>
    </row>
    <row r="15" spans="1:5" ht="15">
      <c r="A15" s="1489"/>
      <c r="B15" s="3589"/>
      <c r="C15" s="1493" t="s">
        <v>921</v>
      </c>
      <c r="D15" s="858">
        <f ca="1">结果表!H108</f>
        <v>24174</v>
      </c>
      <c r="E15" s="1489"/>
    </row>
    <row r="16" spans="1:5" ht="15">
      <c r="A16" s="1489"/>
      <c r="B16" s="3590" t="str">
        <f>结果表!E109</f>
        <v>——</v>
      </c>
      <c r="C16" s="1497" t="s">
        <v>922</v>
      </c>
      <c r="D16" s="1498" t="str">
        <f>结果表!H109</f>
        <v>——</v>
      </c>
      <c r="E16" s="1489"/>
    </row>
    <row r="17" spans="1:5" ht="15.75">
      <c r="A17" s="1489"/>
      <c r="B17" s="3591"/>
      <c r="C17" s="1492" t="s">
        <v>923</v>
      </c>
      <c r="D17" s="849" t="e">
        <f>NUMBERSTRING(INT(D16*10000),2)&amp;"元整"</f>
        <v>#VALUE!</v>
      </c>
      <c r="E17" s="1489"/>
    </row>
    <row r="18" spans="1:5" ht="15">
      <c r="A18" s="1489"/>
      <c r="B18" s="3592"/>
      <c r="C18" s="1493" t="s">
        <v>912</v>
      </c>
      <c r="D18" s="858" t="str">
        <f>结果表!H110</f>
        <v>——</v>
      </c>
      <c r="E18" s="1489"/>
    </row>
    <row r="19" spans="1:5" ht="15.75">
      <c r="A19" s="1489"/>
      <c r="B19" s="3583" t="str">
        <f>结果表!E111</f>
        <v>——</v>
      </c>
      <c r="C19" s="1497" t="s">
        <v>910</v>
      </c>
      <c r="D19" s="850" t="str">
        <f>结果表!H111</f>
        <v>——</v>
      </c>
      <c r="E19" s="1489"/>
    </row>
    <row r="20" spans="1:5" ht="15.75">
      <c r="A20" s="1489"/>
      <c r="B20" s="3584"/>
      <c r="C20" s="1492" t="s">
        <v>923</v>
      </c>
      <c r="D20" s="849" t="e">
        <f>NUMBERSTRING(INT(D19*10000),2)&amp;"元整"</f>
        <v>#VALUE!</v>
      </c>
      <c r="E20" s="1489"/>
    </row>
    <row r="21" spans="1:5" ht="15.75" thickBot="1">
      <c r="A21" s="1489"/>
      <c r="B21" s="3585"/>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3"/>
      <c r="C1" s="2143"/>
      <c r="D1" s="2143"/>
      <c r="E1" s="2143"/>
      <c r="F1" s="2783"/>
      <c r="G1" s="2783"/>
      <c r="H1" s="2783"/>
      <c r="I1" s="2783"/>
      <c r="J1" s="2783"/>
      <c r="K1" s="2783"/>
      <c r="L1" s="2783"/>
      <c r="M1" s="2783"/>
      <c r="N1" s="2783"/>
      <c r="O1" s="2783"/>
      <c r="P1" s="2783"/>
    </row>
    <row r="2" spans="1:16" ht="15.75">
      <c r="A2" s="2141" t="s">
        <v>2073</v>
      </c>
      <c r="B2" s="2592" t="e">
        <f ca="1">SUMIF(B6:B13,"&lt;&gt;#ref!",B6:B13)</f>
        <v>#DIV/0!</v>
      </c>
      <c r="C2" s="2141" t="s">
        <v>2074</v>
      </c>
      <c r="D2" s="2141" t="s">
        <v>2075</v>
      </c>
      <c r="E2" s="2602">
        <f ca="1">SUMIF(E6:E13,"&lt;&gt;#ref!",E6:E13)</f>
        <v>34681.870000000003</v>
      </c>
      <c r="F2" s="2783"/>
      <c r="G2" s="2783"/>
      <c r="H2" s="2783"/>
      <c r="I2" s="2783"/>
      <c r="J2" s="2783"/>
      <c r="K2" s="2783"/>
      <c r="L2" s="2783"/>
      <c r="M2" s="2783"/>
      <c r="N2" s="2783"/>
      <c r="O2" s="2783"/>
      <c r="P2" s="2783"/>
    </row>
    <row r="3" spans="1:16" ht="15.75">
      <c r="A3" s="2141" t="s">
        <v>2076</v>
      </c>
      <c r="B3" s="2592" t="e">
        <f ca="1">ROUND(B2*10000/E2,0)</f>
        <v>#DIV/0!</v>
      </c>
      <c r="C3" s="2141"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2077</v>
      </c>
      <c r="B5" s="2600" t="s">
        <v>2078</v>
      </c>
      <c r="C5" s="2142"/>
      <c r="D5" s="2783"/>
      <c r="E5" s="2601" t="s">
        <v>2079</v>
      </c>
      <c r="F5" s="2783"/>
      <c r="G5" s="2783"/>
      <c r="H5" s="2783"/>
      <c r="I5" s="2783"/>
      <c r="J5" s="2783"/>
      <c r="K5" s="2783"/>
      <c r="L5" s="2783"/>
      <c r="M5" s="2783"/>
      <c r="N5" s="2783"/>
      <c r="O5" s="2783"/>
      <c r="P5" s="2783"/>
    </row>
    <row r="6" spans="1:16" ht="15.75">
      <c r="A6" s="2599" t="s">
        <v>2080</v>
      </c>
      <c r="B6" s="2592" t="e">
        <f ca="1">SUMIF(INDIRECT("'"&amp;A6&amp;"'"&amp;"!A:A"),"总价",INDIRECT("'"&amp;A6&amp;"'"&amp;"!B:B"))</f>
        <v>#DIV/0!</v>
      </c>
      <c r="C6" s="2141" t="s">
        <v>2074</v>
      </c>
      <c r="D6" s="2783"/>
      <c r="E6" s="2602">
        <f ca="1">SUMIF(INDIRECT("'"&amp;A6&amp;"'"&amp;"!C:C"),"建筑面积",INDIRECT("'"&amp;A6&amp;"'"&amp;"!D:D"))</f>
        <v>34681.870000000003</v>
      </c>
      <c r="F6" s="2783"/>
      <c r="G6" s="2783"/>
      <c r="H6" s="2783"/>
      <c r="I6" s="2783"/>
      <c r="J6" s="2783"/>
      <c r="K6" s="2783"/>
      <c r="L6" s="2783"/>
      <c r="M6" s="2783"/>
      <c r="N6" s="2783"/>
      <c r="O6" s="2783"/>
      <c r="P6" s="2783"/>
    </row>
    <row r="7" spans="1:16" ht="15.75">
      <c r="A7" s="2599"/>
      <c r="B7" s="2592" t="e">
        <f ca="1">SUMIF(INDIRECT("'"&amp;A7&amp;"'"&amp;"!A:A"),"总价",INDIRECT("'"&amp;A7&amp;"'"&amp;"!B:B"))</f>
        <v>#REF!</v>
      </c>
      <c r="C7" s="2141" t="s">
        <v>2074</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1" t="s">
        <v>2074</v>
      </c>
      <c r="D8" s="2783"/>
      <c r="E8" s="2602" t="e">
        <f t="shared" ca="1" si="0"/>
        <v>#REF!</v>
      </c>
      <c r="F8" s="2783"/>
      <c r="G8" s="2783"/>
      <c r="H8" s="2783"/>
      <c r="I8" s="2783"/>
      <c r="J8" s="2783"/>
      <c r="K8" s="2783"/>
      <c r="L8" s="2783"/>
      <c r="M8" s="2783"/>
      <c r="N8" s="2783"/>
      <c r="O8" s="2783"/>
      <c r="P8" s="2783"/>
    </row>
    <row r="9" spans="1:16" ht="15.75">
      <c r="A9" s="2599"/>
      <c r="B9" s="2592" t="e">
        <f t="shared" ca="1" si="1"/>
        <v>#REF!</v>
      </c>
      <c r="C9" s="2141" t="s">
        <v>2074</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1" t="s">
        <v>2074</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1" t="s">
        <v>2074</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1" t="s">
        <v>2074</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1" t="s">
        <v>2074</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2589</v>
      </c>
      <c r="B1" s="3062" t="s">
        <v>2590</v>
      </c>
      <c r="C1" s="3062" t="s">
        <v>2591</v>
      </c>
      <c r="D1" s="3062" t="s">
        <v>2592</v>
      </c>
      <c r="E1" s="3062" t="s">
        <v>2593</v>
      </c>
      <c r="F1" s="3062" t="s">
        <v>2594</v>
      </c>
      <c r="G1" s="3062" t="s">
        <v>2595</v>
      </c>
      <c r="H1" s="3062" t="s">
        <v>2596</v>
      </c>
      <c r="I1" s="3062" t="s">
        <v>2597</v>
      </c>
      <c r="J1" s="3062" t="s">
        <v>2598</v>
      </c>
      <c r="K1" s="3062" t="s">
        <v>2599</v>
      </c>
      <c r="L1" s="3062" t="s">
        <v>2600</v>
      </c>
      <c r="M1" s="3063" t="s">
        <v>2601</v>
      </c>
    </row>
    <row r="2" spans="1:13" ht="19.5" customHeight="1">
      <c r="A2" s="3065" t="s">
        <v>2602</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2603</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2604</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2605</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2606</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2607</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2608</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2609</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2610</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2611</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2612</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2613</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2614</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2615</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2616</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2617</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2618</v>
      </c>
      <c r="B18" s="3087"/>
      <c r="C18" s="3088"/>
      <c r="D18" s="3088"/>
      <c r="E18" s="3087"/>
      <c r="F18" s="3088"/>
      <c r="G18" s="3088"/>
    </row>
    <row r="19" spans="1:13" ht="19.5" customHeight="1" thickBot="1">
      <c r="A19" s="3085" t="s">
        <v>2619</v>
      </c>
      <c r="B19" s="3090" t="s">
        <v>2620</v>
      </c>
      <c r="C19" s="3090" t="s">
        <v>2621</v>
      </c>
      <c r="D19" s="3091"/>
      <c r="E19" s="3085" t="s">
        <v>2622</v>
      </c>
      <c r="F19" s="3092"/>
      <c r="G19" s="3092"/>
    </row>
    <row r="20" spans="1:13" ht="19.5" customHeight="1">
      <c r="A20" s="3897" t="s">
        <v>2602</v>
      </c>
      <c r="B20" s="3890" t="s">
        <v>2623</v>
      </c>
      <c r="C20" s="3093" t="s">
        <v>2434</v>
      </c>
      <c r="D20" s="3094"/>
      <c r="E20" s="3095">
        <v>1</v>
      </c>
      <c r="F20" s="3096" t="s">
        <v>2435</v>
      </c>
      <c r="G20" s="3096"/>
    </row>
    <row r="21" spans="1:13" ht="19.5" customHeight="1">
      <c r="A21" s="3898"/>
      <c r="B21" s="3891"/>
      <c r="C21" s="3097" t="s">
        <v>2436</v>
      </c>
      <c r="D21" s="3098"/>
      <c r="E21" s="3099">
        <v>1</v>
      </c>
      <c r="F21" s="3096" t="s">
        <v>2437</v>
      </c>
      <c r="G21" s="3096"/>
    </row>
    <row r="22" spans="1:13" ht="19.5" customHeight="1">
      <c r="A22" s="3898"/>
      <c r="B22" s="3891"/>
      <c r="C22" s="3097" t="s">
        <v>2438</v>
      </c>
      <c r="D22" s="3098"/>
      <c r="E22" s="3099">
        <v>0.9</v>
      </c>
      <c r="F22" s="3096" t="s">
        <v>2439</v>
      </c>
      <c r="G22" s="3096"/>
    </row>
    <row r="23" spans="1:13" ht="19.5" customHeight="1">
      <c r="A23" s="3898"/>
      <c r="B23" s="3891"/>
      <c r="C23" s="3097" t="s">
        <v>2440</v>
      </c>
      <c r="D23" s="3098"/>
      <c r="E23" s="3099">
        <v>0.9</v>
      </c>
      <c r="F23" s="3096" t="s">
        <v>2441</v>
      </c>
      <c r="G23" s="3096"/>
    </row>
    <row r="24" spans="1:13" ht="19.5" customHeight="1">
      <c r="A24" s="3898"/>
      <c r="B24" s="3891"/>
      <c r="C24" s="3097" t="s">
        <v>2442</v>
      </c>
      <c r="D24" s="3098"/>
      <c r="E24" s="3099">
        <v>0.8</v>
      </c>
      <c r="F24" s="3096" t="s">
        <v>2443</v>
      </c>
      <c r="G24" s="3096"/>
    </row>
    <row r="25" spans="1:13" ht="19.5" customHeight="1" thickBot="1">
      <c r="A25" s="3899"/>
      <c r="B25" s="3892"/>
      <c r="C25" s="3100" t="s">
        <v>2444</v>
      </c>
      <c r="D25" s="3101"/>
      <c r="E25" s="3102">
        <v>0.8</v>
      </c>
      <c r="F25" s="3096" t="s">
        <v>2445</v>
      </c>
      <c r="G25" s="3096"/>
    </row>
    <row r="26" spans="1:13" ht="19.5" customHeight="1" thickBot="1">
      <c r="A26" s="3103" t="s">
        <v>2624</v>
      </c>
      <c r="B26" s="3104" t="s">
        <v>2623</v>
      </c>
      <c r="C26" s="3105" t="s">
        <v>2625</v>
      </c>
      <c r="D26" s="3106"/>
      <c r="E26" s="3107">
        <v>1</v>
      </c>
      <c r="F26" s="3096" t="s">
        <v>2446</v>
      </c>
      <c r="G26" s="3096"/>
    </row>
    <row r="27" spans="1:13" ht="19.5" customHeight="1">
      <c r="A27" s="3893" t="s">
        <v>2626</v>
      </c>
      <c r="B27" s="3890" t="s">
        <v>2607</v>
      </c>
      <c r="C27" s="3093" t="s">
        <v>2447</v>
      </c>
      <c r="D27" s="3094"/>
      <c r="E27" s="3095">
        <v>1</v>
      </c>
      <c r="F27" s="3096" t="s">
        <v>2448</v>
      </c>
      <c r="G27" s="3096"/>
    </row>
    <row r="28" spans="1:13" ht="19.5" customHeight="1">
      <c r="A28" s="3894"/>
      <c r="B28" s="3891"/>
      <c r="C28" s="3097" t="s">
        <v>2449</v>
      </c>
      <c r="D28" s="3098"/>
      <c r="E28" s="3099">
        <v>1</v>
      </c>
      <c r="F28" s="3096" t="s">
        <v>2450</v>
      </c>
      <c r="G28" s="3096"/>
    </row>
    <row r="29" spans="1:13" ht="19.5" customHeight="1">
      <c r="A29" s="3894"/>
      <c r="B29" s="3891"/>
      <c r="C29" s="3097" t="s">
        <v>2451</v>
      </c>
      <c r="D29" s="3098"/>
      <c r="E29" s="3099">
        <v>0.8</v>
      </c>
      <c r="F29" s="3096" t="s">
        <v>2452</v>
      </c>
      <c r="G29" s="3096"/>
    </row>
    <row r="30" spans="1:13" ht="19.5" customHeight="1">
      <c r="A30" s="3894"/>
      <c r="B30" s="3891"/>
      <c r="C30" s="3097" t="s">
        <v>2453</v>
      </c>
      <c r="D30" s="3098"/>
      <c r="E30" s="3099">
        <v>0.8</v>
      </c>
      <c r="F30" s="3096" t="s">
        <v>2454</v>
      </c>
      <c r="G30" s="3096"/>
    </row>
    <row r="31" spans="1:13" ht="19.5" customHeight="1">
      <c r="A31" s="3894"/>
      <c r="B31" s="3891"/>
      <c r="C31" s="3097" t="s">
        <v>2455</v>
      </c>
      <c r="D31" s="3098"/>
      <c r="E31" s="3099">
        <v>0.8</v>
      </c>
      <c r="F31" s="3096" t="s">
        <v>2456</v>
      </c>
      <c r="G31" s="3096"/>
    </row>
    <row r="32" spans="1:13" ht="19.5" customHeight="1">
      <c r="A32" s="3894"/>
      <c r="B32" s="3891"/>
      <c r="C32" s="3097" t="s">
        <v>2457</v>
      </c>
      <c r="D32" s="3098"/>
      <c r="E32" s="3099">
        <v>0.7</v>
      </c>
      <c r="F32" s="3096" t="s">
        <v>2458</v>
      </c>
      <c r="G32" s="3096"/>
    </row>
    <row r="33" spans="1:7" ht="19.5" customHeight="1">
      <c r="A33" s="3894"/>
      <c r="B33" s="3891"/>
      <c r="C33" s="3097" t="s">
        <v>2459</v>
      </c>
      <c r="D33" s="3098"/>
      <c r="E33" s="3099">
        <v>0.8</v>
      </c>
      <c r="F33" s="3096" t="s">
        <v>2460</v>
      </c>
      <c r="G33" s="3096"/>
    </row>
    <row r="34" spans="1:7" ht="19.5" customHeight="1">
      <c r="A34" s="3894"/>
      <c r="B34" s="3891"/>
      <c r="C34" s="3097" t="s">
        <v>2461</v>
      </c>
      <c r="D34" s="3098"/>
      <c r="E34" s="3099">
        <v>0.6</v>
      </c>
      <c r="F34" s="3096" t="s">
        <v>2462</v>
      </c>
      <c r="G34" s="3096"/>
    </row>
    <row r="35" spans="1:7" ht="19.5" customHeight="1">
      <c r="A35" s="3894"/>
      <c r="B35" s="3891"/>
      <c r="C35" s="3097" t="s">
        <v>2463</v>
      </c>
      <c r="D35" s="3098"/>
      <c r="E35" s="3099">
        <v>0.2</v>
      </c>
      <c r="F35" s="3096" t="s">
        <v>2464</v>
      </c>
      <c r="G35" s="3096"/>
    </row>
    <row r="36" spans="1:7" ht="19.5" customHeight="1">
      <c r="A36" s="3894"/>
      <c r="B36" s="3891"/>
      <c r="C36" s="3097" t="s">
        <v>2465</v>
      </c>
      <c r="D36" s="3098"/>
      <c r="E36" s="3099">
        <v>0.2</v>
      </c>
      <c r="F36" s="3096" t="s">
        <v>2466</v>
      </c>
      <c r="G36" s="3096"/>
    </row>
    <row r="37" spans="1:7" ht="19.5" customHeight="1">
      <c r="A37" s="3894"/>
      <c r="B37" s="3896" t="s">
        <v>2627</v>
      </c>
      <c r="C37" s="3097" t="s">
        <v>2467</v>
      </c>
      <c r="D37" s="3098"/>
      <c r="E37" s="3099">
        <v>0.6</v>
      </c>
      <c r="F37" s="3096" t="s">
        <v>2468</v>
      </c>
      <c r="G37" s="3096"/>
    </row>
    <row r="38" spans="1:7" ht="19.5" customHeight="1">
      <c r="A38" s="3894"/>
      <c r="B38" s="3891"/>
      <c r="C38" s="3097" t="s">
        <v>2469</v>
      </c>
      <c r="D38" s="3098"/>
      <c r="E38" s="3099">
        <v>0.6</v>
      </c>
      <c r="F38" s="3096" t="s">
        <v>2470</v>
      </c>
      <c r="G38" s="3096"/>
    </row>
    <row r="39" spans="1:7" ht="19.5" customHeight="1" thickBot="1">
      <c r="A39" s="3895"/>
      <c r="B39" s="3892"/>
      <c r="C39" s="3100" t="s">
        <v>2471</v>
      </c>
      <c r="D39" s="3101"/>
      <c r="E39" s="3102">
        <v>0.6</v>
      </c>
      <c r="F39" s="3096" t="s">
        <v>2472</v>
      </c>
      <c r="G39" s="3096"/>
    </row>
    <row r="40" spans="1:7" ht="19.5" customHeight="1" thickBot="1">
      <c r="A40" s="3103" t="s">
        <v>2604</v>
      </c>
      <c r="B40" s="3104" t="s">
        <v>2604</v>
      </c>
      <c r="C40" s="3105" t="s">
        <v>2628</v>
      </c>
      <c r="D40" s="3106"/>
      <c r="E40" s="3107">
        <v>1</v>
      </c>
      <c r="F40" s="3096" t="s">
        <v>2473</v>
      </c>
      <c r="G40" s="3096"/>
    </row>
    <row r="41" spans="1:7" ht="19.5" customHeight="1">
      <c r="A41" s="3897" t="s">
        <v>2605</v>
      </c>
      <c r="B41" s="3890" t="s">
        <v>2629</v>
      </c>
      <c r="C41" s="3093" t="s">
        <v>2474</v>
      </c>
      <c r="D41" s="3094"/>
      <c r="E41" s="3095">
        <v>1</v>
      </c>
      <c r="F41" s="3096" t="s">
        <v>2475</v>
      </c>
      <c r="G41" s="3096"/>
    </row>
    <row r="42" spans="1:7" ht="19.5" customHeight="1">
      <c r="A42" s="3898"/>
      <c r="B42" s="3891"/>
      <c r="C42" s="3097" t="s">
        <v>2476</v>
      </c>
      <c r="D42" s="3098"/>
      <c r="E42" s="3099">
        <v>1</v>
      </c>
      <c r="F42" s="3096" t="s">
        <v>2477</v>
      </c>
      <c r="G42" s="3096"/>
    </row>
    <row r="43" spans="1:7" ht="19.5" customHeight="1">
      <c r="A43" s="3898"/>
      <c r="B43" s="3900"/>
      <c r="C43" s="3097" t="s">
        <v>2478</v>
      </c>
      <c r="D43" s="3098"/>
      <c r="E43" s="3099">
        <v>1.5</v>
      </c>
      <c r="F43" s="3096" t="s">
        <v>2479</v>
      </c>
      <c r="G43" s="3096"/>
    </row>
    <row r="44" spans="1:7" ht="19.5" customHeight="1">
      <c r="A44" s="3898"/>
      <c r="B44" s="3108" t="s">
        <v>2630</v>
      </c>
      <c r="C44" s="3097" t="s">
        <v>2631</v>
      </c>
      <c r="D44" s="3098"/>
      <c r="E44" s="3099">
        <v>2</v>
      </c>
      <c r="F44" s="3096" t="s">
        <v>2480</v>
      </c>
      <c r="G44" s="3096"/>
    </row>
    <row r="45" spans="1:7" ht="19.5" customHeight="1">
      <c r="A45" s="3898"/>
      <c r="B45" s="3896" t="s">
        <v>2632</v>
      </c>
      <c r="C45" s="3097" t="s">
        <v>2481</v>
      </c>
      <c r="D45" s="3098"/>
      <c r="E45" s="3099">
        <v>1</v>
      </c>
      <c r="F45" s="3096" t="s">
        <v>2482</v>
      </c>
      <c r="G45" s="3096"/>
    </row>
    <row r="46" spans="1:7" ht="19.5" customHeight="1">
      <c r="A46" s="3898"/>
      <c r="B46" s="3891"/>
      <c r="C46" s="3097" t="s">
        <v>2483</v>
      </c>
      <c r="D46" s="3098"/>
      <c r="E46" s="3099">
        <v>1</v>
      </c>
      <c r="F46" s="3096" t="s">
        <v>2484</v>
      </c>
      <c r="G46" s="3096"/>
    </row>
    <row r="47" spans="1:7" ht="19.5" customHeight="1">
      <c r="A47" s="3898"/>
      <c r="B47" s="3891"/>
      <c r="C47" s="3097" t="s">
        <v>2485</v>
      </c>
      <c r="D47" s="3098"/>
      <c r="E47" s="3099">
        <v>1</v>
      </c>
      <c r="F47" s="3096" t="s">
        <v>2486</v>
      </c>
      <c r="G47" s="3096"/>
    </row>
    <row r="48" spans="1:7" ht="19.5" customHeight="1">
      <c r="A48" s="3898"/>
      <c r="B48" s="3891"/>
      <c r="C48" s="3097" t="s">
        <v>2487</v>
      </c>
      <c r="D48" s="3098"/>
      <c r="E48" s="3099">
        <v>1</v>
      </c>
      <c r="F48" s="3096" t="s">
        <v>2488</v>
      </c>
      <c r="G48" s="3096"/>
    </row>
    <row r="49" spans="1:7" ht="19.5" customHeight="1">
      <c r="A49" s="3898"/>
      <c r="B49" s="3891"/>
      <c r="C49" s="3097" t="s">
        <v>2489</v>
      </c>
      <c r="D49" s="3098"/>
      <c r="E49" s="3099">
        <v>1</v>
      </c>
      <c r="F49" s="3096" t="s">
        <v>2490</v>
      </c>
      <c r="G49" s="3096"/>
    </row>
    <row r="50" spans="1:7" ht="19.5" customHeight="1">
      <c r="A50" s="3898"/>
      <c r="B50" s="3891"/>
      <c r="C50" s="3097" t="s">
        <v>2491</v>
      </c>
      <c r="D50" s="3098"/>
      <c r="E50" s="3099">
        <v>1</v>
      </c>
      <c r="F50" s="3096" t="s">
        <v>2492</v>
      </c>
      <c r="G50" s="3096"/>
    </row>
    <row r="51" spans="1:7" ht="19.5" customHeight="1" thickBot="1">
      <c r="A51" s="3899"/>
      <c r="B51" s="3892"/>
      <c r="C51" s="3100" t="s">
        <v>2493</v>
      </c>
      <c r="D51" s="3101"/>
      <c r="E51" s="3102">
        <v>1</v>
      </c>
      <c r="F51" s="3096" t="s">
        <v>2494</v>
      </c>
      <c r="G51" s="3096"/>
    </row>
    <row r="52" spans="1:7" ht="19.5" customHeight="1">
      <c r="A52" s="3109"/>
      <c r="B52" s="3109"/>
      <c r="C52" s="3109"/>
      <c r="D52" s="3109"/>
      <c r="E52" s="3109"/>
      <c r="F52" s="3109"/>
      <c r="G52" s="3109"/>
    </row>
    <row r="54" spans="1:7" ht="19.5" customHeight="1">
      <c r="A54" s="3110"/>
      <c r="B54" s="3082" t="s">
        <v>2633</v>
      </c>
      <c r="C54" s="3082" t="s">
        <v>2633</v>
      </c>
      <c r="D54" s="3082" t="s">
        <v>2633</v>
      </c>
      <c r="E54" s="3085" t="s">
        <v>2633</v>
      </c>
      <c r="F54" s="3085" t="s">
        <v>2634</v>
      </c>
      <c r="G54" s="3085" t="s">
        <v>2635</v>
      </c>
    </row>
    <row r="55" spans="1:7" ht="19.5" customHeight="1">
      <c r="A55" s="3111"/>
      <c r="B55" s="3085" t="s">
        <v>2602</v>
      </c>
      <c r="C55" s="3085" t="s">
        <v>2602</v>
      </c>
      <c r="D55" s="3085" t="s">
        <v>2602</v>
      </c>
      <c r="E55" s="3082" t="s">
        <v>2603</v>
      </c>
      <c r="F55" s="3082" t="s">
        <v>2605</v>
      </c>
      <c r="G55" s="3082" t="s">
        <v>2636</v>
      </c>
    </row>
    <row r="56" spans="1:7" ht="19.5" customHeight="1">
      <c r="A56" s="3112"/>
      <c r="B56" s="3082">
        <v>1</v>
      </c>
      <c r="C56" s="3082">
        <v>2</v>
      </c>
      <c r="D56" s="3082">
        <v>3</v>
      </c>
      <c r="E56" s="3113" t="s">
        <v>2637</v>
      </c>
      <c r="F56" s="3113" t="s">
        <v>2637</v>
      </c>
      <c r="G56" s="3113" t="s">
        <v>2637</v>
      </c>
    </row>
    <row r="57" spans="1:7" ht="19.5" customHeight="1">
      <c r="A57" s="3114" t="s">
        <v>2590</v>
      </c>
      <c r="B57" s="3082">
        <v>0.7</v>
      </c>
      <c r="C57" s="3082">
        <v>0.4</v>
      </c>
      <c r="D57" s="3082">
        <v>0.3</v>
      </c>
      <c r="E57" s="3113">
        <v>0.3</v>
      </c>
      <c r="F57" s="3082">
        <v>0.3</v>
      </c>
      <c r="G57" s="3082">
        <v>0.2</v>
      </c>
    </row>
    <row r="58" spans="1:7" ht="19.5" customHeight="1">
      <c r="A58" s="3114" t="s">
        <v>2591</v>
      </c>
      <c r="B58" s="3082">
        <v>0.7</v>
      </c>
      <c r="C58" s="3082">
        <v>0.4</v>
      </c>
      <c r="D58" s="3082">
        <v>0.3</v>
      </c>
      <c r="E58" s="3082">
        <v>0.3</v>
      </c>
      <c r="F58" s="3082">
        <v>0.3</v>
      </c>
      <c r="G58" s="3082">
        <v>0.2</v>
      </c>
    </row>
    <row r="59" spans="1:7" ht="19.5" customHeight="1">
      <c r="A59" s="3114" t="s">
        <v>2592</v>
      </c>
      <c r="B59" s="3082">
        <v>0.6</v>
      </c>
      <c r="C59" s="3082">
        <v>0.3</v>
      </c>
      <c r="D59" s="3082">
        <v>0.25</v>
      </c>
      <c r="E59" s="3082">
        <v>0.25</v>
      </c>
      <c r="F59" s="3082">
        <v>0.25</v>
      </c>
      <c r="G59" s="3082">
        <v>0.15</v>
      </c>
    </row>
    <row r="60" spans="1:7" ht="19.5" customHeight="1">
      <c r="A60" s="3114" t="s">
        <v>2593</v>
      </c>
      <c r="B60" s="3082">
        <v>0.6</v>
      </c>
      <c r="C60" s="3082">
        <v>0.3</v>
      </c>
      <c r="D60" s="3082">
        <v>0.25</v>
      </c>
      <c r="E60" s="3082">
        <v>0.25</v>
      </c>
      <c r="F60" s="3082">
        <v>0.25</v>
      </c>
      <c r="G60" s="3082">
        <v>0.15</v>
      </c>
    </row>
    <row r="61" spans="1:7" ht="19.5" customHeight="1">
      <c r="A61" s="3114" t="s">
        <v>2594</v>
      </c>
      <c r="B61" s="3082">
        <v>0.6</v>
      </c>
      <c r="C61" s="3082">
        <v>0.3</v>
      </c>
      <c r="D61" s="3082">
        <v>0.25</v>
      </c>
      <c r="E61" s="3082">
        <v>0.25</v>
      </c>
      <c r="F61" s="3082">
        <v>0.25</v>
      </c>
      <c r="G61" s="3082">
        <v>0.15</v>
      </c>
    </row>
    <row r="62" spans="1:7" ht="19.5" customHeight="1">
      <c r="A62" s="3114" t="s">
        <v>2595</v>
      </c>
      <c r="B62" s="3082">
        <v>0.6</v>
      </c>
      <c r="C62" s="3082">
        <v>0.3</v>
      </c>
      <c r="D62" s="3082">
        <v>0.25</v>
      </c>
      <c r="E62" s="3082">
        <v>0.25</v>
      </c>
      <c r="F62" s="3082">
        <v>0.25</v>
      </c>
      <c r="G62" s="3082">
        <v>0.15</v>
      </c>
    </row>
    <row r="63" spans="1:7" ht="19.5" customHeight="1">
      <c r="A63" s="3114" t="s">
        <v>2596</v>
      </c>
      <c r="B63" s="3082">
        <v>0.6</v>
      </c>
      <c r="C63" s="3082">
        <v>0.3</v>
      </c>
      <c r="D63" s="3082">
        <v>0.25</v>
      </c>
      <c r="E63" s="3082">
        <v>0.25</v>
      </c>
      <c r="F63" s="3082">
        <v>0.25</v>
      </c>
      <c r="G63" s="3082">
        <v>0.15</v>
      </c>
    </row>
    <row r="64" spans="1:7" ht="19.5" customHeight="1">
      <c r="A64" s="3114" t="s">
        <v>2597</v>
      </c>
      <c r="B64" s="3082">
        <v>0.5</v>
      </c>
      <c r="C64" s="3082">
        <v>0.2</v>
      </c>
      <c r="D64" s="3082">
        <v>0.2</v>
      </c>
      <c r="E64" s="3082">
        <v>0.2</v>
      </c>
      <c r="F64" s="3082">
        <v>0.2</v>
      </c>
      <c r="G64" s="3082">
        <v>0.1</v>
      </c>
    </row>
    <row r="65" spans="1:7" ht="19.5" customHeight="1">
      <c r="A65" s="3114" t="s">
        <v>2598</v>
      </c>
      <c r="B65" s="3082">
        <v>0.5</v>
      </c>
      <c r="C65" s="3082">
        <v>0.2</v>
      </c>
      <c r="D65" s="3082">
        <v>0.2</v>
      </c>
      <c r="E65" s="3082">
        <v>0.2</v>
      </c>
      <c r="F65" s="3082">
        <v>0.2</v>
      </c>
      <c r="G65" s="3082">
        <v>0.1</v>
      </c>
    </row>
    <row r="66" spans="1:7" ht="19.5" customHeight="1">
      <c r="A66" s="3114" t="s">
        <v>2599</v>
      </c>
      <c r="B66" s="3082">
        <v>0.5</v>
      </c>
      <c r="C66" s="3082">
        <v>0.2</v>
      </c>
      <c r="D66" s="3082">
        <v>0.2</v>
      </c>
      <c r="E66" s="3082">
        <v>0.2</v>
      </c>
      <c r="F66" s="3082">
        <v>0.2</v>
      </c>
      <c r="G66" s="3082">
        <v>0.1</v>
      </c>
    </row>
    <row r="67" spans="1:7" ht="19.5" customHeight="1">
      <c r="A67" s="3114" t="s">
        <v>2600</v>
      </c>
      <c r="B67" s="3082">
        <v>0.5</v>
      </c>
      <c r="C67" s="3082">
        <v>0.2</v>
      </c>
      <c r="D67" s="3082">
        <v>0.2</v>
      </c>
      <c r="E67" s="3082">
        <v>0.2</v>
      </c>
      <c r="F67" s="3082">
        <v>0.2</v>
      </c>
      <c r="G67" s="3082">
        <v>0.1</v>
      </c>
    </row>
    <row r="68" spans="1:7" ht="19.5" customHeight="1">
      <c r="A68" s="3114" t="s">
        <v>2601</v>
      </c>
      <c r="B68" s="3082">
        <v>0.5</v>
      </c>
      <c r="C68" s="3082">
        <v>0.2</v>
      </c>
      <c r="D68" s="3082">
        <v>0.2</v>
      </c>
      <c r="E68" s="3082">
        <v>0.2</v>
      </c>
      <c r="F68" s="3082">
        <v>0.2</v>
      </c>
      <c r="G68" s="3082">
        <v>0.1</v>
      </c>
    </row>
    <row r="70" spans="1:7" ht="19.5" customHeight="1">
      <c r="A70" s="3115"/>
      <c r="B70" s="3116"/>
      <c r="C70" s="3116"/>
      <c r="D70" s="3116" t="s">
        <v>2638</v>
      </c>
      <c r="E70" s="3116"/>
      <c r="F70" s="3116"/>
    </row>
    <row r="71" spans="1:7" ht="19.5" customHeight="1">
      <c r="A71" s="3108" t="s">
        <v>2639</v>
      </c>
      <c r="B71" s="3108" t="s">
        <v>2640</v>
      </c>
      <c r="C71" s="3108" t="s">
        <v>2641</v>
      </c>
      <c r="D71" s="3108" t="s">
        <v>2642</v>
      </c>
      <c r="E71" s="3108" t="s">
        <v>2643</v>
      </c>
      <c r="F71" s="3108" t="s">
        <v>2644</v>
      </c>
    </row>
    <row r="72" spans="1:7" ht="13.5">
      <c r="A72" s="3108"/>
      <c r="B72" s="3108"/>
      <c r="C72" s="3108" t="s">
        <v>2645</v>
      </c>
      <c r="D72" s="3108"/>
      <c r="E72" s="3108" t="s">
        <v>2616</v>
      </c>
      <c r="F72" s="3108" t="s">
        <v>2616</v>
      </c>
    </row>
    <row r="73" spans="1:7" ht="13.5">
      <c r="A73" s="3108">
        <v>1</v>
      </c>
      <c r="B73" s="3896" t="s">
        <v>2646</v>
      </c>
      <c r="C73" s="3082" t="s">
        <v>2647</v>
      </c>
      <c r="D73" s="3082" t="s">
        <v>2648</v>
      </c>
      <c r="E73" s="3108">
        <v>0.2</v>
      </c>
      <c r="F73" s="3108">
        <v>25</v>
      </c>
    </row>
    <row r="74" spans="1:7" ht="24">
      <c r="A74" s="3108">
        <v>2</v>
      </c>
      <c r="B74" s="3891"/>
      <c r="C74" s="3082" t="s">
        <v>2649</v>
      </c>
      <c r="D74" s="3082" t="s">
        <v>2650</v>
      </c>
      <c r="E74" s="3108">
        <v>0.2</v>
      </c>
      <c r="F74" s="3108">
        <v>25</v>
      </c>
    </row>
    <row r="75" spans="1:7" ht="24">
      <c r="A75" s="3108">
        <v>3</v>
      </c>
      <c r="B75" s="3891"/>
      <c r="C75" s="3082" t="s">
        <v>2651</v>
      </c>
      <c r="D75" s="3082" t="s">
        <v>2652</v>
      </c>
      <c r="E75" s="3108">
        <v>0.2</v>
      </c>
      <c r="F75" s="3108">
        <v>25</v>
      </c>
    </row>
    <row r="76" spans="1:7" ht="13.5">
      <c r="A76" s="3108">
        <v>4</v>
      </c>
      <c r="B76" s="3891"/>
      <c r="C76" s="3082" t="s">
        <v>2653</v>
      </c>
      <c r="D76" s="3082" t="s">
        <v>2654</v>
      </c>
      <c r="E76" s="3108">
        <v>0.15</v>
      </c>
      <c r="F76" s="3108">
        <v>20</v>
      </c>
    </row>
    <row r="77" spans="1:7" ht="24">
      <c r="A77" s="3108">
        <v>5</v>
      </c>
      <c r="B77" s="3891"/>
      <c r="C77" s="3082" t="s">
        <v>2655</v>
      </c>
      <c r="D77" s="3082" t="s">
        <v>2656</v>
      </c>
      <c r="E77" s="3108">
        <v>0.15</v>
      </c>
      <c r="F77" s="3108">
        <v>20</v>
      </c>
    </row>
    <row r="78" spans="1:7" ht="24">
      <c r="A78" s="3108">
        <v>6</v>
      </c>
      <c r="B78" s="3891"/>
      <c r="C78" s="3082" t="s">
        <v>2657</v>
      </c>
      <c r="D78" s="3082" t="s">
        <v>2658</v>
      </c>
      <c r="E78" s="3108">
        <v>0.15</v>
      </c>
      <c r="F78" s="3108">
        <v>20</v>
      </c>
    </row>
    <row r="79" spans="1:7" ht="24">
      <c r="A79" s="3108">
        <v>7</v>
      </c>
      <c r="B79" s="3891"/>
      <c r="C79" s="3082" t="s">
        <v>2659</v>
      </c>
      <c r="D79" s="3082" t="s">
        <v>2660</v>
      </c>
      <c r="E79" s="3108">
        <v>0.15</v>
      </c>
      <c r="F79" s="3108">
        <v>20</v>
      </c>
    </row>
    <row r="80" spans="1:7" ht="24">
      <c r="A80" s="3108">
        <v>8</v>
      </c>
      <c r="B80" s="3891"/>
      <c r="C80" s="3082" t="s">
        <v>2661</v>
      </c>
      <c r="D80" s="3082" t="s">
        <v>2662</v>
      </c>
      <c r="E80" s="3108">
        <v>0.1</v>
      </c>
      <c r="F80" s="3108">
        <v>15</v>
      </c>
    </row>
    <row r="81" spans="1:6" ht="24">
      <c r="A81" s="3108">
        <v>9</v>
      </c>
      <c r="B81" s="3891"/>
      <c r="C81" s="3082" t="s">
        <v>2663</v>
      </c>
      <c r="D81" s="3082" t="s">
        <v>2664</v>
      </c>
      <c r="E81" s="3108">
        <v>0.1</v>
      </c>
      <c r="F81" s="3108">
        <v>15</v>
      </c>
    </row>
    <row r="82" spans="1:6" ht="24">
      <c r="A82" s="3108">
        <v>10</v>
      </c>
      <c r="B82" s="3891"/>
      <c r="C82" s="3082" t="s">
        <v>2665</v>
      </c>
      <c r="D82" s="3082" t="s">
        <v>2666</v>
      </c>
      <c r="E82" s="3108">
        <v>0.1</v>
      </c>
      <c r="F82" s="3108">
        <v>15</v>
      </c>
    </row>
    <row r="83" spans="1:6" ht="24">
      <c r="A83" s="3108">
        <v>11</v>
      </c>
      <c r="B83" s="3891"/>
      <c r="C83" s="3082" t="s">
        <v>2667</v>
      </c>
      <c r="D83" s="3082" t="s">
        <v>2668</v>
      </c>
      <c r="E83" s="3108">
        <v>0.1</v>
      </c>
      <c r="F83" s="3108">
        <v>15</v>
      </c>
    </row>
    <row r="84" spans="1:6" ht="24">
      <c r="A84" s="3108">
        <v>12</v>
      </c>
      <c r="B84" s="3891"/>
      <c r="C84" s="3082" t="s">
        <v>2669</v>
      </c>
      <c r="D84" s="3082" t="s">
        <v>2670</v>
      </c>
      <c r="E84" s="3108">
        <v>0.1</v>
      </c>
      <c r="F84" s="3108">
        <v>15</v>
      </c>
    </row>
    <row r="85" spans="1:6" ht="13.5">
      <c r="A85" s="3108">
        <v>13</v>
      </c>
      <c r="B85" s="3891"/>
      <c r="C85" s="3082" t="s">
        <v>2671</v>
      </c>
      <c r="D85" s="3082" t="s">
        <v>2672</v>
      </c>
      <c r="E85" s="3108">
        <v>0.1</v>
      </c>
      <c r="F85" s="3108">
        <v>15</v>
      </c>
    </row>
    <row r="86" spans="1:6" ht="13.5">
      <c r="A86" s="3108">
        <v>14</v>
      </c>
      <c r="B86" s="3891"/>
      <c r="C86" s="3082" t="s">
        <v>2673</v>
      </c>
      <c r="D86" s="3082" t="s">
        <v>2674</v>
      </c>
      <c r="E86" s="3108">
        <v>0.1</v>
      </c>
      <c r="F86" s="3108">
        <v>15</v>
      </c>
    </row>
    <row r="87" spans="1:6" ht="13.5">
      <c r="A87" s="3108">
        <v>15</v>
      </c>
      <c r="B87" s="3891"/>
      <c r="C87" s="3082" t="s">
        <v>2675</v>
      </c>
      <c r="D87" s="3082" t="s">
        <v>2676</v>
      </c>
      <c r="E87" s="3108">
        <v>0.1</v>
      </c>
      <c r="F87" s="3108">
        <v>15</v>
      </c>
    </row>
    <row r="88" spans="1:6" ht="24">
      <c r="A88" s="3108">
        <v>16</v>
      </c>
      <c r="B88" s="3891"/>
      <c r="C88" s="3082" t="s">
        <v>2677</v>
      </c>
      <c r="D88" s="3082" t="s">
        <v>2678</v>
      </c>
      <c r="E88" s="3108">
        <v>0.1</v>
      </c>
      <c r="F88" s="3108">
        <v>15</v>
      </c>
    </row>
    <row r="89" spans="1:6" ht="24">
      <c r="A89" s="3108">
        <v>17</v>
      </c>
      <c r="B89" s="3900"/>
      <c r="C89" s="3082" t="s">
        <v>2679</v>
      </c>
      <c r="D89" s="3082" t="s">
        <v>2680</v>
      </c>
      <c r="E89" s="3108">
        <v>0.1</v>
      </c>
      <c r="F89" s="3108">
        <v>15</v>
      </c>
    </row>
    <row r="90" spans="1:6" ht="13.5">
      <c r="A90" s="3108">
        <v>18</v>
      </c>
      <c r="B90" s="3896" t="s">
        <v>2681</v>
      </c>
      <c r="C90" s="3082" t="s">
        <v>2682</v>
      </c>
      <c r="D90" s="3082" t="s">
        <v>2683</v>
      </c>
      <c r="E90" s="3108">
        <v>0.2</v>
      </c>
      <c r="F90" s="3108">
        <v>25</v>
      </c>
    </row>
    <row r="91" spans="1:6" ht="24">
      <c r="A91" s="3108">
        <v>19</v>
      </c>
      <c r="B91" s="3891"/>
      <c r="C91" s="3082" t="s">
        <v>2684</v>
      </c>
      <c r="D91" s="3082" t="s">
        <v>2685</v>
      </c>
      <c r="E91" s="3108">
        <v>0.2</v>
      </c>
      <c r="F91" s="3108">
        <v>25</v>
      </c>
    </row>
    <row r="92" spans="1:6" ht="13.5">
      <c r="A92" s="3108">
        <v>20</v>
      </c>
      <c r="B92" s="3891"/>
      <c r="C92" s="3082" t="s">
        <v>2686</v>
      </c>
      <c r="D92" s="3082" t="s">
        <v>2687</v>
      </c>
      <c r="E92" s="3108">
        <v>0.15</v>
      </c>
      <c r="F92" s="3108">
        <v>20</v>
      </c>
    </row>
    <row r="93" spans="1:6" ht="13.5">
      <c r="A93" s="3108">
        <v>21</v>
      </c>
      <c r="B93" s="3891"/>
      <c r="C93" s="3082" t="s">
        <v>2688</v>
      </c>
      <c r="D93" s="3082" t="s">
        <v>2689</v>
      </c>
      <c r="E93" s="3108">
        <v>0.15</v>
      </c>
      <c r="F93" s="3108">
        <v>20</v>
      </c>
    </row>
    <row r="94" spans="1:6" ht="13.5">
      <c r="A94" s="3108">
        <v>22</v>
      </c>
      <c r="B94" s="3891"/>
      <c r="C94" s="3082" t="s">
        <v>2690</v>
      </c>
      <c r="D94" s="3082" t="s">
        <v>2691</v>
      </c>
      <c r="E94" s="3108">
        <v>0.15</v>
      </c>
      <c r="F94" s="3108">
        <v>20</v>
      </c>
    </row>
    <row r="95" spans="1:6" ht="36">
      <c r="A95" s="3108">
        <v>23</v>
      </c>
      <c r="B95" s="3891"/>
      <c r="C95" s="3082" t="s">
        <v>2692</v>
      </c>
      <c r="D95" s="3082" t="s">
        <v>2693</v>
      </c>
      <c r="E95" s="3108">
        <v>0.15</v>
      </c>
      <c r="F95" s="3108">
        <v>20</v>
      </c>
    </row>
    <row r="96" spans="1:6" ht="13.5">
      <c r="A96" s="3108">
        <v>24</v>
      </c>
      <c r="B96" s="3891"/>
      <c r="C96" s="3082" t="s">
        <v>2694</v>
      </c>
      <c r="D96" s="3082" t="s">
        <v>2695</v>
      </c>
      <c r="E96" s="3108">
        <v>0.1</v>
      </c>
      <c r="F96" s="3108">
        <v>15</v>
      </c>
    </row>
    <row r="97" spans="1:6" ht="13.5">
      <c r="A97" s="3108">
        <v>25</v>
      </c>
      <c r="B97" s="3891"/>
      <c r="C97" s="3082" t="s">
        <v>2696</v>
      </c>
      <c r="D97" s="3082" t="s">
        <v>2697</v>
      </c>
      <c r="E97" s="3108">
        <v>0.1</v>
      </c>
      <c r="F97" s="3108">
        <v>15</v>
      </c>
    </row>
    <row r="98" spans="1:6" ht="24">
      <c r="A98" s="3108">
        <v>26</v>
      </c>
      <c r="B98" s="3891"/>
      <c r="C98" s="3082" t="s">
        <v>2698</v>
      </c>
      <c r="D98" s="3082" t="s">
        <v>2699</v>
      </c>
      <c r="E98" s="3108">
        <v>0.1</v>
      </c>
      <c r="F98" s="3108">
        <v>15</v>
      </c>
    </row>
    <row r="99" spans="1:6" ht="24">
      <c r="A99" s="3108">
        <v>27</v>
      </c>
      <c r="B99" s="3891"/>
      <c r="C99" s="3082" t="s">
        <v>2700</v>
      </c>
      <c r="D99" s="3082" t="s">
        <v>2701</v>
      </c>
      <c r="E99" s="3108">
        <v>0.1</v>
      </c>
      <c r="F99" s="3108">
        <v>15</v>
      </c>
    </row>
    <row r="100" spans="1:6" ht="13.5">
      <c r="A100" s="3108">
        <v>28</v>
      </c>
      <c r="B100" s="3891"/>
      <c r="C100" s="3082" t="s">
        <v>2702</v>
      </c>
      <c r="D100" s="3082" t="s">
        <v>2703</v>
      </c>
      <c r="E100" s="3108">
        <v>0.1</v>
      </c>
      <c r="F100" s="3108">
        <v>15</v>
      </c>
    </row>
    <row r="101" spans="1:6" ht="13.5">
      <c r="A101" s="3108">
        <v>29</v>
      </c>
      <c r="B101" s="3891"/>
      <c r="C101" s="3082" t="s">
        <v>2704</v>
      </c>
      <c r="D101" s="3082" t="s">
        <v>2705</v>
      </c>
      <c r="E101" s="3108">
        <v>0.1</v>
      </c>
      <c r="F101" s="3108">
        <v>15</v>
      </c>
    </row>
    <row r="102" spans="1:6" ht="13.5">
      <c r="A102" s="3108">
        <v>30</v>
      </c>
      <c r="B102" s="3891"/>
      <c r="C102" s="3082" t="s">
        <v>2706</v>
      </c>
      <c r="D102" s="3082" t="s">
        <v>2707</v>
      </c>
      <c r="E102" s="3108">
        <v>0.1</v>
      </c>
      <c r="F102" s="3108">
        <v>15</v>
      </c>
    </row>
    <row r="103" spans="1:6" ht="24">
      <c r="A103" s="3108">
        <v>31</v>
      </c>
      <c r="B103" s="3891"/>
      <c r="C103" s="3082" t="s">
        <v>2708</v>
      </c>
      <c r="D103" s="3082" t="s">
        <v>2709</v>
      </c>
      <c r="E103" s="3108">
        <v>0.1</v>
      </c>
      <c r="F103" s="3108">
        <v>15</v>
      </c>
    </row>
    <row r="104" spans="1:6" ht="24">
      <c r="A104" s="3108">
        <v>32</v>
      </c>
      <c r="B104" s="3891"/>
      <c r="C104" s="3082" t="s">
        <v>2710</v>
      </c>
      <c r="D104" s="3082" t="s">
        <v>2711</v>
      </c>
      <c r="E104" s="3108">
        <v>0.1</v>
      </c>
      <c r="F104" s="3108">
        <v>15</v>
      </c>
    </row>
    <row r="105" spans="1:6" ht="24">
      <c r="A105" s="3108">
        <v>33</v>
      </c>
      <c r="B105" s="3891"/>
      <c r="C105" s="3082" t="s">
        <v>2712</v>
      </c>
      <c r="D105" s="3082" t="s">
        <v>2713</v>
      </c>
      <c r="E105" s="3108">
        <v>0.1</v>
      </c>
      <c r="F105" s="3108">
        <v>15</v>
      </c>
    </row>
    <row r="106" spans="1:6" ht="24">
      <c r="A106" s="3108">
        <v>34</v>
      </c>
      <c r="B106" s="3900"/>
      <c r="C106" s="3082" t="s">
        <v>2714</v>
      </c>
      <c r="D106" s="3082" t="s">
        <v>2715</v>
      </c>
      <c r="E106" s="3108">
        <v>0.1</v>
      </c>
      <c r="F106" s="3108">
        <v>15</v>
      </c>
    </row>
    <row r="107" spans="1:6" ht="24">
      <c r="A107" s="3108">
        <v>35</v>
      </c>
      <c r="B107" s="3896" t="s">
        <v>2716</v>
      </c>
      <c r="C107" s="3108" t="s">
        <v>2717</v>
      </c>
      <c r="D107" s="3082" t="s">
        <v>2718</v>
      </c>
      <c r="E107" s="3108">
        <v>0.15</v>
      </c>
      <c r="F107" s="3108">
        <v>20</v>
      </c>
    </row>
    <row r="108" spans="1:6" ht="13.5">
      <c r="A108" s="3108">
        <v>36</v>
      </c>
      <c r="B108" s="3891"/>
      <c r="C108" s="3108" t="s">
        <v>2719</v>
      </c>
      <c r="D108" s="3082" t="s">
        <v>2720</v>
      </c>
      <c r="E108" s="3108">
        <v>0.15</v>
      </c>
      <c r="F108" s="3108">
        <v>20</v>
      </c>
    </row>
    <row r="109" spans="1:6" ht="13.5">
      <c r="A109" s="3108">
        <v>37</v>
      </c>
      <c r="B109" s="3891"/>
      <c r="C109" s="3108" t="s">
        <v>2721</v>
      </c>
      <c r="D109" s="3082" t="s">
        <v>2722</v>
      </c>
      <c r="E109" s="3108">
        <v>0.15</v>
      </c>
      <c r="F109" s="3108">
        <v>20</v>
      </c>
    </row>
    <row r="110" spans="1:6" ht="13.5">
      <c r="A110" s="3108">
        <v>38</v>
      </c>
      <c r="B110" s="3891"/>
      <c r="C110" s="3108" t="s">
        <v>2723</v>
      </c>
      <c r="D110" s="3082" t="s">
        <v>2724</v>
      </c>
      <c r="E110" s="3108">
        <v>0.1</v>
      </c>
      <c r="F110" s="3108">
        <v>15</v>
      </c>
    </row>
    <row r="111" spans="1:6" ht="24">
      <c r="A111" s="3108">
        <v>39</v>
      </c>
      <c r="B111" s="3891"/>
      <c r="C111" s="3108" t="s">
        <v>2725</v>
      </c>
      <c r="D111" s="3082" t="s">
        <v>2726</v>
      </c>
      <c r="E111" s="3108">
        <v>0.1</v>
      </c>
      <c r="F111" s="3108">
        <v>15</v>
      </c>
    </row>
    <row r="112" spans="1:6" ht="24">
      <c r="A112" s="3108">
        <v>40</v>
      </c>
      <c r="B112" s="3900"/>
      <c r="C112" s="3108" t="s">
        <v>2727</v>
      </c>
      <c r="D112" s="3082" t="s">
        <v>2728</v>
      </c>
      <c r="E112" s="3108">
        <v>0.1</v>
      </c>
      <c r="F112" s="3108">
        <v>15</v>
      </c>
    </row>
    <row r="113" spans="1:6" ht="13.5">
      <c r="A113" s="3108">
        <v>41</v>
      </c>
      <c r="B113" s="3901" t="s">
        <v>2729</v>
      </c>
      <c r="C113" s="3108" t="s">
        <v>2730</v>
      </c>
      <c r="D113" s="3082" t="s">
        <v>2731</v>
      </c>
      <c r="E113" s="3108">
        <v>0.1</v>
      </c>
      <c r="F113" s="3108">
        <v>15</v>
      </c>
    </row>
    <row r="114" spans="1:6" ht="13.5">
      <c r="A114" s="3108">
        <v>42</v>
      </c>
      <c r="B114" s="3901"/>
      <c r="C114" s="3108" t="s">
        <v>2732</v>
      </c>
      <c r="D114" s="3082" t="s">
        <v>2733</v>
      </c>
      <c r="E114" s="3108">
        <v>0.1</v>
      </c>
      <c r="F114" s="3108">
        <v>15</v>
      </c>
    </row>
    <row r="115" spans="1:6" ht="24">
      <c r="A115" s="3108">
        <v>43</v>
      </c>
      <c r="B115" s="3901"/>
      <c r="C115" s="3108" t="s">
        <v>2734</v>
      </c>
      <c r="D115" s="3082" t="s">
        <v>2735</v>
      </c>
      <c r="E115" s="3108">
        <v>0.1</v>
      </c>
      <c r="F115" s="3108">
        <v>15</v>
      </c>
    </row>
    <row r="116" spans="1:6" ht="13.5">
      <c r="A116" s="3108">
        <v>44</v>
      </c>
      <c r="B116" s="3896" t="s">
        <v>2736</v>
      </c>
      <c r="C116" s="3108" t="s">
        <v>2737</v>
      </c>
      <c r="D116" s="3082" t="s">
        <v>2738</v>
      </c>
      <c r="E116" s="3108">
        <v>0.1</v>
      </c>
      <c r="F116" s="3108">
        <v>15</v>
      </c>
    </row>
    <row r="117" spans="1:6" ht="24">
      <c r="A117" s="3108">
        <v>45</v>
      </c>
      <c r="B117" s="3900"/>
      <c r="C117" s="3082" t="s">
        <v>2739</v>
      </c>
      <c r="D117" s="3082" t="s">
        <v>2740</v>
      </c>
      <c r="E117" s="3108">
        <v>0.1</v>
      </c>
      <c r="F117" s="3108">
        <v>15</v>
      </c>
    </row>
    <row r="118" spans="1:6" ht="24">
      <c r="A118" s="3108">
        <v>46</v>
      </c>
      <c r="B118" s="3896" t="s">
        <v>2741</v>
      </c>
      <c r="C118" s="3108" t="s">
        <v>2742</v>
      </c>
      <c r="D118" s="3082" t="s">
        <v>2743</v>
      </c>
      <c r="E118" s="3108">
        <v>0.1</v>
      </c>
      <c r="F118" s="3108">
        <v>15</v>
      </c>
    </row>
    <row r="119" spans="1:6" ht="24">
      <c r="A119" s="3108">
        <v>47</v>
      </c>
      <c r="B119" s="3900"/>
      <c r="C119" s="3108" t="s">
        <v>2744</v>
      </c>
      <c r="D119" s="3082" t="s">
        <v>2745</v>
      </c>
      <c r="E119" s="3108">
        <v>0.1</v>
      </c>
      <c r="F119" s="3108">
        <v>15</v>
      </c>
    </row>
    <row r="120" spans="1:6" ht="13.5">
      <c r="A120" s="3108">
        <v>48</v>
      </c>
      <c r="B120" s="3896" t="s">
        <v>2746</v>
      </c>
      <c r="C120" s="3108" t="s">
        <v>2747</v>
      </c>
      <c r="D120" s="3082" t="s">
        <v>2748</v>
      </c>
      <c r="E120" s="3108">
        <v>0.1</v>
      </c>
      <c r="F120" s="3108">
        <v>15</v>
      </c>
    </row>
    <row r="121" spans="1:6" ht="13.5">
      <c r="A121" s="3108">
        <v>49</v>
      </c>
      <c r="B121" s="3900"/>
      <c r="C121" s="3108" t="s">
        <v>2749</v>
      </c>
      <c r="D121" s="3082" t="s">
        <v>2750</v>
      </c>
      <c r="E121" s="3108">
        <v>0.1</v>
      </c>
      <c r="F121" s="3108">
        <v>15</v>
      </c>
    </row>
    <row r="122" spans="1:6" ht="24">
      <c r="A122" s="3108">
        <v>50</v>
      </c>
      <c r="B122" s="3901" t="s">
        <v>2751</v>
      </c>
      <c r="C122" s="3108" t="s">
        <v>2752</v>
      </c>
      <c r="D122" s="3082" t="s">
        <v>2753</v>
      </c>
      <c r="E122" s="3108">
        <v>0.1</v>
      </c>
      <c r="F122" s="3108">
        <v>15</v>
      </c>
    </row>
    <row r="123" spans="1:6" ht="24">
      <c r="A123" s="3108">
        <v>51</v>
      </c>
      <c r="B123" s="3901"/>
      <c r="C123" s="3108" t="s">
        <v>2754</v>
      </c>
      <c r="D123" s="3082" t="s">
        <v>2755</v>
      </c>
      <c r="E123" s="3108">
        <v>0.1</v>
      </c>
      <c r="F123" s="3108">
        <v>15</v>
      </c>
    </row>
    <row r="124" spans="1:6" ht="24">
      <c r="A124" s="3108">
        <v>52</v>
      </c>
      <c r="B124" s="3901" t="s">
        <v>2756</v>
      </c>
      <c r="C124" s="3108" t="s">
        <v>2757</v>
      </c>
      <c r="D124" s="3082" t="s">
        <v>2758</v>
      </c>
      <c r="E124" s="3108">
        <v>0.1</v>
      </c>
      <c r="F124" s="3108">
        <v>15</v>
      </c>
    </row>
    <row r="125" spans="1:6" ht="24">
      <c r="A125" s="3108">
        <v>53</v>
      </c>
      <c r="B125" s="3901"/>
      <c r="C125" s="3108" t="s">
        <v>2759</v>
      </c>
      <c r="D125" s="3082" t="s">
        <v>2760</v>
      </c>
      <c r="E125" s="3108">
        <v>0.1</v>
      </c>
      <c r="F125" s="3108">
        <v>15</v>
      </c>
    </row>
    <row r="126" spans="1:6" ht="13.5">
      <c r="A126" s="3108">
        <v>54</v>
      </c>
      <c r="B126" s="3108" t="s">
        <v>2761</v>
      </c>
      <c r="C126" s="3108" t="s">
        <v>2762</v>
      </c>
      <c r="D126" s="3082" t="s">
        <v>2763</v>
      </c>
      <c r="E126" s="3108">
        <v>0.1</v>
      </c>
      <c r="F126" s="3108">
        <v>15</v>
      </c>
    </row>
    <row r="127" spans="1:6" ht="13.5">
      <c r="A127" s="3108">
        <v>55</v>
      </c>
      <c r="B127" s="3901" t="s">
        <v>2764</v>
      </c>
      <c r="C127" s="3108" t="s">
        <v>2765</v>
      </c>
      <c r="D127" s="3082" t="s">
        <v>2766</v>
      </c>
      <c r="E127" s="3108">
        <v>0.1</v>
      </c>
      <c r="F127" s="3108">
        <v>15</v>
      </c>
    </row>
    <row r="128" spans="1:6" ht="13.5">
      <c r="A128" s="3108">
        <v>56</v>
      </c>
      <c r="B128" s="3901"/>
      <c r="C128" s="3108" t="s">
        <v>2767</v>
      </c>
      <c r="D128" s="3082" t="s">
        <v>2768</v>
      </c>
      <c r="E128" s="3108">
        <v>0.1</v>
      </c>
      <c r="F128" s="3108">
        <v>15</v>
      </c>
    </row>
    <row r="129" spans="1:6" ht="24">
      <c r="A129" s="3108">
        <v>57</v>
      </c>
      <c r="B129" s="3901"/>
      <c r="C129" s="3108" t="s">
        <v>2769</v>
      </c>
      <c r="D129" s="3082" t="s">
        <v>2770</v>
      </c>
      <c r="E129" s="3108">
        <v>0.1</v>
      </c>
      <c r="F129" s="3108">
        <v>15</v>
      </c>
    </row>
    <row r="130" spans="1:6" ht="24">
      <c r="A130" s="3108">
        <v>58</v>
      </c>
      <c r="B130" s="3901" t="s">
        <v>2771</v>
      </c>
      <c r="C130" s="3108" t="s">
        <v>2772</v>
      </c>
      <c r="D130" s="3082" t="s">
        <v>2773</v>
      </c>
      <c r="E130" s="3108">
        <v>0.1</v>
      </c>
      <c r="F130" s="3108">
        <v>15</v>
      </c>
    </row>
    <row r="131" spans="1:6" ht="13.5">
      <c r="A131" s="3108">
        <v>59</v>
      </c>
      <c r="B131" s="3901"/>
      <c r="C131" s="3108" t="s">
        <v>2774</v>
      </c>
      <c r="D131" s="3082" t="s">
        <v>2775</v>
      </c>
      <c r="E131" s="3108">
        <v>0.1</v>
      </c>
      <c r="F131" s="3108">
        <v>15</v>
      </c>
    </row>
    <row r="132" spans="1:6" ht="13.5">
      <c r="A132" s="3108">
        <v>60</v>
      </c>
      <c r="B132" s="3896" t="s">
        <v>2776</v>
      </c>
      <c r="C132" s="3108" t="s">
        <v>2777</v>
      </c>
      <c r="D132" s="3082" t="s">
        <v>2778</v>
      </c>
      <c r="E132" s="3108">
        <v>0.1</v>
      </c>
      <c r="F132" s="3108">
        <v>15</v>
      </c>
    </row>
    <row r="133" spans="1:6" ht="13.5">
      <c r="A133" s="3108">
        <v>61</v>
      </c>
      <c r="B133" s="3900"/>
      <c r="C133" s="3108" t="s">
        <v>2779</v>
      </c>
      <c r="D133" s="3082" t="s">
        <v>2780</v>
      </c>
      <c r="E133" s="3108">
        <v>0.1</v>
      </c>
      <c r="F133" s="3108">
        <v>15</v>
      </c>
    </row>
    <row r="134" spans="1:6" ht="24">
      <c r="A134" s="3108">
        <v>62</v>
      </c>
      <c r="B134" s="3108" t="s">
        <v>2781</v>
      </c>
      <c r="C134" s="3108" t="s">
        <v>2782</v>
      </c>
      <c r="D134" s="3082" t="s">
        <v>2783</v>
      </c>
      <c r="E134" s="3108">
        <v>0.1</v>
      </c>
      <c r="F134" s="3108">
        <v>15</v>
      </c>
    </row>
    <row r="135" spans="1:6" ht="13.5">
      <c r="A135" s="3108">
        <v>63</v>
      </c>
      <c r="B135" s="3901" t="s">
        <v>2784</v>
      </c>
      <c r="C135" s="3108" t="s">
        <v>2785</v>
      </c>
      <c r="D135" s="3082" t="s">
        <v>2786</v>
      </c>
      <c r="E135" s="3108">
        <v>0.1</v>
      </c>
      <c r="F135" s="3108">
        <v>15</v>
      </c>
    </row>
    <row r="136" spans="1:6" ht="13.5">
      <c r="A136" s="3108">
        <v>64</v>
      </c>
      <c r="B136" s="3901"/>
      <c r="C136" s="3108" t="s">
        <v>2787</v>
      </c>
      <c r="D136" s="3082" t="s">
        <v>2788</v>
      </c>
      <c r="E136" s="3108">
        <v>0.1</v>
      </c>
      <c r="F136" s="3108">
        <v>15</v>
      </c>
    </row>
    <row r="137" spans="1:6" ht="13.5">
      <c r="A137" s="3108">
        <v>65</v>
      </c>
      <c r="B137" s="3108" t="s">
        <v>2789</v>
      </c>
      <c r="C137" s="3108" t="s">
        <v>2790</v>
      </c>
      <c r="D137" s="3082" t="s">
        <v>2791</v>
      </c>
      <c r="E137" s="3108">
        <v>0.1</v>
      </c>
      <c r="F137" s="3108">
        <v>15</v>
      </c>
    </row>
    <row r="138" spans="1:6" ht="13.5">
      <c r="A138" s="3108"/>
      <c r="B138" s="3108"/>
      <c r="C138" s="3108"/>
      <c r="D138" s="3108"/>
      <c r="E138" s="3108" t="s">
        <v>2792</v>
      </c>
      <c r="F138" s="310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9"/>
  </cols>
  <sheetData>
    <row r="1" spans="1:20" ht="15" thickBot="1">
      <c r="A1" s="3117" t="s">
        <v>2793</v>
      </c>
      <c r="B1" s="3117"/>
      <c r="C1" s="3117"/>
      <c r="D1" s="3117"/>
      <c r="E1" s="3117"/>
      <c r="F1" s="3117"/>
      <c r="G1" s="3117"/>
      <c r="H1" s="3117"/>
      <c r="I1" s="3117"/>
      <c r="J1" s="3117"/>
      <c r="K1" s="3117"/>
      <c r="L1" s="3117"/>
      <c r="M1" s="3117"/>
      <c r="N1" s="748"/>
    </row>
    <row r="2" spans="1:20">
      <c r="A2" s="3118" t="s">
        <v>2794</v>
      </c>
      <c r="B2" s="3119" t="s">
        <v>2590</v>
      </c>
      <c r="C2" s="3119" t="s">
        <v>2591</v>
      </c>
      <c r="D2" s="3119" t="s">
        <v>2592</v>
      </c>
      <c r="E2" s="3119" t="s">
        <v>2593</v>
      </c>
      <c r="F2" s="3119" t="s">
        <v>2594</v>
      </c>
      <c r="G2" s="3119" t="s">
        <v>2595</v>
      </c>
      <c r="H2" s="3120" t="s">
        <v>2596</v>
      </c>
      <c r="I2" s="3120" t="s">
        <v>2597</v>
      </c>
      <c r="J2" s="3121" t="s">
        <v>2598</v>
      </c>
      <c r="K2" s="3121" t="s">
        <v>2599</v>
      </c>
      <c r="L2" s="3121" t="s">
        <v>2600</v>
      </c>
      <c r="M2" s="3122" t="s">
        <v>2601</v>
      </c>
      <c r="Q2" s="3132" t="s">
        <v>2799</v>
      </c>
      <c r="R2" s="3132" t="s">
        <v>2800</v>
      </c>
      <c r="S2" s="3132" t="s">
        <v>2801</v>
      </c>
      <c r="T2" s="3132" t="s">
        <v>2802</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50"/>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50"/>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50"/>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2795</v>
      </c>
      <c r="B93" s="3117"/>
      <c r="C93" s="3117"/>
      <c r="D93" s="3117"/>
      <c r="E93" s="3117"/>
      <c r="F93" s="3117"/>
      <c r="G93" s="3117"/>
      <c r="H93" s="3117"/>
      <c r="I93" s="3117"/>
      <c r="J93" s="3117"/>
      <c r="K93" s="3117"/>
      <c r="L93" s="3117"/>
      <c r="M93" s="3117"/>
    </row>
    <row r="94" spans="1:20">
      <c r="A94" s="3118" t="s">
        <v>2794</v>
      </c>
      <c r="B94" s="3119" t="s">
        <v>2590</v>
      </c>
      <c r="C94" s="3119" t="s">
        <v>2591</v>
      </c>
      <c r="D94" s="3119" t="s">
        <v>2592</v>
      </c>
      <c r="E94" s="3119" t="s">
        <v>2593</v>
      </c>
      <c r="F94" s="3119" t="s">
        <v>2594</v>
      </c>
      <c r="G94" s="3119" t="s">
        <v>2595</v>
      </c>
      <c r="H94" s="3120" t="s">
        <v>2596</v>
      </c>
      <c r="I94" s="3120" t="s">
        <v>2597</v>
      </c>
      <c r="J94" s="3121" t="s">
        <v>2598</v>
      </c>
      <c r="K94" s="3121" t="s">
        <v>2599</v>
      </c>
      <c r="L94" s="3121" t="s">
        <v>2600</v>
      </c>
      <c r="M94" s="3122" t="s">
        <v>2601</v>
      </c>
      <c r="N94" s="749" t="e">
        <f>SUMPRODUCT((A95:A184=ROUNDDOWN(基准地价修正!G3,1))*(B94:M94=基准地价修正!G2)*(B95:M184))</f>
        <v>#DIV/0!</v>
      </c>
      <c r="Q94" s="3132" t="s">
        <v>2799</v>
      </c>
      <c r="R94" s="3132" t="s">
        <v>2800</v>
      </c>
      <c r="S94" s="3132" t="s">
        <v>2801</v>
      </c>
      <c r="T94" s="3132" t="s">
        <v>2802</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8"/>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8"/>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2796</v>
      </c>
      <c r="B185" s="3117"/>
      <c r="C185" s="3117"/>
      <c r="D185" s="3117"/>
      <c r="E185" s="3117"/>
      <c r="F185" s="3117"/>
      <c r="G185" s="3117"/>
      <c r="H185" s="3117"/>
      <c r="I185" s="3117"/>
      <c r="J185" s="3117"/>
      <c r="K185" s="3117"/>
      <c r="L185" s="3117"/>
      <c r="M185" s="3117"/>
    </row>
    <row r="186" spans="1:20">
      <c r="A186" s="3118" t="s">
        <v>2794</v>
      </c>
      <c r="B186" s="3119" t="s">
        <v>2590</v>
      </c>
      <c r="C186" s="3119" t="s">
        <v>2591</v>
      </c>
      <c r="D186" s="3119" t="s">
        <v>2592</v>
      </c>
      <c r="E186" s="3119" t="s">
        <v>2593</v>
      </c>
      <c r="F186" s="3119" t="s">
        <v>2594</v>
      </c>
      <c r="G186" s="3119" t="s">
        <v>2595</v>
      </c>
      <c r="H186" s="3120" t="s">
        <v>2596</v>
      </c>
      <c r="I186" s="3120" t="s">
        <v>2597</v>
      </c>
      <c r="J186" s="3121" t="s">
        <v>2598</v>
      </c>
      <c r="K186" s="3121" t="s">
        <v>2599</v>
      </c>
      <c r="L186" s="3121" t="s">
        <v>2600</v>
      </c>
      <c r="M186" s="3122" t="s">
        <v>2601</v>
      </c>
      <c r="Q186" s="3132" t="s">
        <v>2799</v>
      </c>
      <c r="R186" s="3132" t="s">
        <v>2800</v>
      </c>
      <c r="S186" s="3132" t="s">
        <v>2801</v>
      </c>
      <c r="T186" s="3132" t="s">
        <v>2802</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2797</v>
      </c>
      <c r="B277" s="3117"/>
      <c r="C277" s="3117"/>
      <c r="D277" s="3117"/>
      <c r="E277" s="3117"/>
      <c r="F277" s="3117"/>
      <c r="G277" s="3117"/>
      <c r="H277" s="3117"/>
      <c r="I277" s="3117"/>
      <c r="J277" s="3117"/>
      <c r="K277" s="3117"/>
      <c r="L277" s="3117"/>
      <c r="M277" s="3117"/>
    </row>
    <row r="278" spans="1:21">
      <c r="A278" s="3118" t="s">
        <v>2794</v>
      </c>
      <c r="B278" s="3119" t="s">
        <v>2590</v>
      </c>
      <c r="C278" s="3119" t="s">
        <v>2591</v>
      </c>
      <c r="D278" s="3119" t="s">
        <v>2592</v>
      </c>
      <c r="E278" s="3119" t="s">
        <v>2593</v>
      </c>
      <c r="F278" s="3119" t="s">
        <v>2594</v>
      </c>
      <c r="G278" s="3119" t="s">
        <v>2595</v>
      </c>
      <c r="H278" s="3120" t="s">
        <v>2596</v>
      </c>
      <c r="I278" s="3120" t="s">
        <v>2597</v>
      </c>
      <c r="J278" s="3121" t="s">
        <v>2598</v>
      </c>
      <c r="K278" s="3121" t="s">
        <v>2599</v>
      </c>
      <c r="L278" s="3121" t="s">
        <v>2600</v>
      </c>
      <c r="M278" s="3122" t="s">
        <v>2601</v>
      </c>
      <c r="Q278" s="3132" t="s">
        <v>2799</v>
      </c>
      <c r="R278" s="3132" t="s">
        <v>2800</v>
      </c>
      <c r="S278" s="3132" t="s">
        <v>2803</v>
      </c>
      <c r="T278" s="3132" t="s">
        <v>2804</v>
      </c>
      <c r="U278" s="3132" t="s">
        <v>2802</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2798</v>
      </c>
      <c r="B369" s="3130"/>
      <c r="C369" s="3130"/>
      <c r="D369" s="3130"/>
      <c r="E369" s="3130"/>
      <c r="F369" s="3130"/>
      <c r="G369" s="3130"/>
      <c r="H369" s="3130"/>
      <c r="I369" s="3130"/>
      <c r="J369" s="3130"/>
      <c r="K369" s="3130"/>
      <c r="L369" s="3130"/>
      <c r="M369" s="3130"/>
    </row>
    <row r="370" spans="1:20">
      <c r="A370" s="3118" t="s">
        <v>2794</v>
      </c>
      <c r="B370" s="3119" t="s">
        <v>2590</v>
      </c>
      <c r="C370" s="3119" t="s">
        <v>2591</v>
      </c>
      <c r="D370" s="3119" t="s">
        <v>2592</v>
      </c>
      <c r="E370" s="3119" t="s">
        <v>2593</v>
      </c>
      <c r="F370" s="3119" t="s">
        <v>2594</v>
      </c>
      <c r="G370" s="3119" t="s">
        <v>2595</v>
      </c>
      <c r="H370" s="3120" t="s">
        <v>2596</v>
      </c>
      <c r="I370" s="3120" t="s">
        <v>2597</v>
      </c>
      <c r="J370" s="3121" t="s">
        <v>2598</v>
      </c>
      <c r="K370" s="3121" t="s">
        <v>2599</v>
      </c>
      <c r="L370" s="3121" t="s">
        <v>2600</v>
      </c>
      <c r="M370" s="3122" t="s">
        <v>2601</v>
      </c>
      <c r="N370" s="749" t="e">
        <f>SUMPRODUCT((A371:A460=ROUNDDOWN(基准地价修正!G3,1))*(B370:M370=基准地价修正!G2)*(B371:M460))</f>
        <v>#DIV/0!</v>
      </c>
      <c r="Q370" s="3132" t="s">
        <v>2799</v>
      </c>
      <c r="R370" s="3132" t="s">
        <v>2800</v>
      </c>
      <c r="S370" s="3132" t="s">
        <v>2801</v>
      </c>
      <c r="T370" s="3132" t="s">
        <v>2802</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56162</v>
      </c>
      <c r="C2" s="2" t="s">
        <v>106</v>
      </c>
      <c r="D2" s="199"/>
      <c r="E2" s="199"/>
      <c r="F2" s="199"/>
      <c r="G2" s="199"/>
    </row>
    <row r="3" spans="1:7" s="200" customFormat="1" ht="18" customHeight="1" thickBot="1">
      <c r="A3" s="203" t="s">
        <v>58</v>
      </c>
      <c r="B3" s="204">
        <f ca="1">ROUND(B2*10000/'数据-汇总表'!E3,0)</f>
        <v>15885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707</v>
      </c>
      <c r="D10" s="844">
        <f>'数据-汇总表'!E6</f>
        <v>35356.130000000005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707</v>
      </c>
      <c r="D19" s="848">
        <f>'数据-汇总表'!E3</f>
        <v>35356.130000000005</v>
      </c>
      <c r="E19" s="211">
        <f>'数据-取费表'!B31</f>
        <v>200</v>
      </c>
      <c r="F19" s="231"/>
      <c r="G19" s="1" t="s">
        <v>436</v>
      </c>
    </row>
    <row r="20" spans="1:7" s="214" customFormat="1" ht="13.5" customHeight="1">
      <c r="A20" s="776" t="s">
        <v>419</v>
      </c>
      <c r="B20" s="210" t="s">
        <v>77</v>
      </c>
      <c r="C20" s="232">
        <f>ROUND((C5+C19)*F20,0)</f>
        <v>640</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1519</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50</v>
      </c>
      <c r="D24" s="238"/>
      <c r="E24" s="238"/>
      <c r="F24" s="239"/>
      <c r="G24" s="240" t="s">
        <v>82</v>
      </c>
    </row>
    <row r="25" spans="1:7" s="214" customFormat="1" ht="24">
      <c r="A25" s="779" t="s">
        <v>348</v>
      </c>
      <c r="B25" s="215" t="s">
        <v>420</v>
      </c>
      <c r="C25" s="1104">
        <f ca="1">ROUND(IF('数据-取费表'!B22&lt;=1,C20*F22*'数据-取费表'!B23/2,C20*(POWER((1+F22),'数据-取费表'!B23/2)-1)),0)</f>
        <v>22</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3294</v>
      </c>
      <c r="D27" s="235">
        <f>C29</f>
        <v>4.4999999999999997E-3</v>
      </c>
      <c r="E27" s="236" t="s">
        <v>99</v>
      </c>
      <c r="F27" s="246">
        <f>'数据-取费表'!Q16</f>
        <v>0.15</v>
      </c>
      <c r="G27" s="247" t="s">
        <v>431</v>
      </c>
    </row>
    <row r="28" spans="1:7" s="214" customFormat="1" ht="13.5" customHeight="1">
      <c r="A28" s="779" t="s">
        <v>349</v>
      </c>
      <c r="B28" s="248" t="s">
        <v>424</v>
      </c>
      <c r="C28" s="249">
        <f>ROUND((C5+C19+C20)*F27*'数据-取费表'!B21/'数据-取费表'!B20,0)</f>
        <v>3294</v>
      </c>
      <c r="D28" s="235"/>
      <c r="E28" s="236"/>
      <c r="F28" s="246"/>
      <c r="G28" s="247"/>
    </row>
    <row r="29" spans="1:7" s="214" customFormat="1" ht="13.5" customHeight="1">
      <c r="A29" s="779" t="s">
        <v>347</v>
      </c>
      <c r="B29" s="248" t="s">
        <v>425</v>
      </c>
      <c r="C29" s="238">
        <f>ROUND(C21*F27*'数据-取费表'!B21/'数据-取费表'!B20,4)</f>
        <v>4.4999999999999997E-3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20046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18159</v>
      </c>
      <c r="D34" s="217"/>
      <c r="E34" s="220"/>
      <c r="F34" s="257">
        <f>IF('数据-取费表'!B24=0,1,'数据-取费表'!N16)</f>
        <v>1</v>
      </c>
      <c r="G34" s="219" t="s">
        <v>89</v>
      </c>
    </row>
    <row r="35" spans="1:7" ht="13.5" customHeight="1">
      <c r="A35" s="779" t="s">
        <v>351</v>
      </c>
      <c r="B35" s="215" t="s">
        <v>33</v>
      </c>
      <c r="C35" s="220">
        <f>ROUND(C34*F35,0)</f>
        <v>908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707</v>
      </c>
      <c r="D37" s="217">
        <f>'数据-汇总表'!E3</f>
        <v>35356.130000000005</v>
      </c>
      <c r="E37" s="249">
        <f>'数据-取费表'!B35</f>
        <v>200</v>
      </c>
      <c r="F37" s="259"/>
      <c r="G37" s="261" t="s">
        <v>92</v>
      </c>
    </row>
    <row r="38" spans="1:7" ht="13.5" customHeight="1">
      <c r="A38" s="779" t="s">
        <v>354</v>
      </c>
      <c r="B38" s="215" t="s">
        <v>36</v>
      </c>
      <c r="C38" s="220">
        <f>ROUND(C34*F38,0)</f>
        <v>272</v>
      </c>
      <c r="D38" s="220"/>
      <c r="E38" s="220"/>
      <c r="F38" s="259">
        <f>'数据-取费表'!B36</f>
        <v>1.4999999999999999E-2</v>
      </c>
      <c r="G38" s="219" t="s">
        <v>90</v>
      </c>
    </row>
    <row r="39" spans="1:7" s="214" customFormat="1" ht="13.5" customHeight="1">
      <c r="A39" s="776" t="s">
        <v>338</v>
      </c>
      <c r="B39" s="210" t="s">
        <v>77</v>
      </c>
      <c r="C39" s="232">
        <f>ROUND(C33*F20,0)</f>
        <v>601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713</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692</v>
      </c>
      <c r="D42" s="238"/>
      <c r="E42" s="238"/>
      <c r="F42" s="239"/>
      <c r="G42" s="3765" t="s">
        <v>94</v>
      </c>
    </row>
    <row r="43" spans="1:7" ht="13.5" customHeight="1">
      <c r="A43" s="779" t="s">
        <v>347</v>
      </c>
      <c r="B43" s="215" t="s">
        <v>426</v>
      </c>
      <c r="C43" s="238">
        <f ca="1">ROUND(IF('数据-取费表'!B22&lt;=1,C39*F22*'数据-取费表'!B21/2,C39*(POWER((1+F22),'数据-取费表'!B21/2)-1)),0)</f>
        <v>21</v>
      </c>
      <c r="D43" s="238"/>
      <c r="E43" s="238"/>
      <c r="F43" s="239"/>
      <c r="G43" s="3766"/>
    </row>
    <row r="44" spans="1:7" ht="13.5" customHeight="1">
      <c r="A44" s="779" t="s">
        <v>348</v>
      </c>
      <c r="B44" s="215" t="s">
        <v>428</v>
      </c>
      <c r="C44" s="238">
        <f ca="1">ROUND(IF('数据-取费表'!B22&lt;=1,C40*F22*'数据-取费表'!B21/2,C40*(POWER((1+F22),'数据-取费表'!B21/2)-1)),4)</f>
        <v>1E-3</v>
      </c>
      <c r="D44" s="238"/>
      <c r="E44" s="238"/>
      <c r="F44" s="239"/>
      <c r="G44" s="3767"/>
    </row>
    <row r="45" spans="1:7" s="214" customFormat="1" ht="13.5" customHeight="1">
      <c r="A45" s="776" t="s">
        <v>341</v>
      </c>
      <c r="B45" s="244" t="s">
        <v>85</v>
      </c>
      <c r="C45" s="245">
        <f>C46</f>
        <v>3097</v>
      </c>
      <c r="D45" s="235">
        <f>C47</f>
        <v>4.4999999999999997E-3</v>
      </c>
      <c r="E45" s="236" t="s">
        <v>102</v>
      </c>
      <c r="F45" s="246"/>
      <c r="G45" s="247" t="s">
        <v>434</v>
      </c>
    </row>
    <row r="46" spans="1:7" s="214" customFormat="1" ht="13.5" customHeight="1">
      <c r="A46" s="779" t="s">
        <v>349</v>
      </c>
      <c r="B46" s="248" t="s">
        <v>427</v>
      </c>
      <c r="C46" s="249">
        <f>ROUND((C33+C39)*F27,0)</f>
        <v>3097</v>
      </c>
      <c r="D46" s="263"/>
      <c r="E46" s="236"/>
      <c r="F46" s="246"/>
      <c r="G46" s="247"/>
    </row>
    <row r="47" spans="1:7" s="214" customFormat="1" ht="13.5" customHeight="1">
      <c r="A47" s="779" t="s">
        <v>347</v>
      </c>
      <c r="B47" s="248" t="s">
        <v>429</v>
      </c>
      <c r="C47" s="238">
        <f>ROUND(C40*F27,4)</f>
        <v>4.4999999999999997E-3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26813</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26813</v>
      </c>
      <c r="D51" s="232"/>
      <c r="E51" s="232"/>
      <c r="F51" s="264"/>
      <c r="G51" s="234" t="s">
        <v>37</v>
      </c>
    </row>
    <row r="52" spans="1:7" s="208" customFormat="1" ht="16.5" thickBot="1">
      <c r="A52" s="265" t="s">
        <v>38</v>
      </c>
      <c r="B52" s="266"/>
      <c r="C52" s="267">
        <f ca="1">C31+C51</f>
        <v>56162</v>
      </c>
      <c r="D52" s="266"/>
      <c r="E52" s="266"/>
      <c r="F52" s="266"/>
      <c r="G52" s="268"/>
    </row>
    <row r="55" spans="1:7" ht="15">
      <c r="B55" s="270" t="s">
        <v>39</v>
      </c>
      <c r="C55" s="271"/>
    </row>
    <row r="56" spans="1:7">
      <c r="B56" s="273" t="s">
        <v>40</v>
      </c>
      <c r="C56" s="274">
        <f ca="1">ROUND(C51/C52,3)</f>
        <v>0.47699999999999998</v>
      </c>
    </row>
    <row r="57" spans="1:7">
      <c r="B57" s="273" t="s">
        <v>41</v>
      </c>
      <c r="C57" s="275">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904" t="s">
        <v>2836</v>
      </c>
      <c r="B1" s="3904"/>
      <c r="C1" s="3904"/>
      <c r="D1" s="3904"/>
      <c r="E1" s="3904"/>
      <c r="F1" s="3904"/>
      <c r="G1" s="3905"/>
      <c r="I1" s="3213" t="s">
        <v>2837</v>
      </c>
      <c r="J1" s="3214" t="s">
        <v>2838</v>
      </c>
      <c r="K1" s="3214" t="s">
        <v>2839</v>
      </c>
      <c r="L1" s="3214" t="s">
        <v>2840</v>
      </c>
      <c r="M1" s="3214" t="s">
        <v>2841</v>
      </c>
      <c r="N1" s="3214" t="s">
        <v>2842</v>
      </c>
      <c r="O1" s="3214" t="s">
        <v>2843</v>
      </c>
      <c r="P1" s="3214" t="s">
        <v>2844</v>
      </c>
      <c r="Q1" s="3214" t="s">
        <v>2845</v>
      </c>
      <c r="R1" s="3214" t="s">
        <v>2846</v>
      </c>
      <c r="S1" s="3214" t="s">
        <v>2847</v>
      </c>
      <c r="T1" s="3215" t="s">
        <v>2848</v>
      </c>
    </row>
    <row r="2" spans="1:20" ht="12" thickBot="1">
      <c r="A2" s="3217" t="s">
        <v>2849</v>
      </c>
      <c r="B2" s="3217"/>
      <c r="C2" s="3217"/>
      <c r="D2" s="3217"/>
      <c r="E2" s="3217"/>
      <c r="F2" s="3217"/>
      <c r="G2" s="3218" t="s">
        <v>2850</v>
      </c>
      <c r="I2" s="3219" t="s">
        <v>2851</v>
      </c>
      <c r="J2" s="3219" t="s">
        <v>2852</v>
      </c>
      <c r="K2" s="3219" t="s">
        <v>2853</v>
      </c>
      <c r="L2" s="3219" t="s">
        <v>2854</v>
      </c>
      <c r="M2" s="3219" t="s">
        <v>2855</v>
      </c>
      <c r="N2" s="3219" t="s">
        <v>2856</v>
      </c>
      <c r="O2" s="3219" t="s">
        <v>2857</v>
      </c>
      <c r="P2" s="3219" t="s">
        <v>2858</v>
      </c>
      <c r="Q2" s="3219" t="s">
        <v>2859</v>
      </c>
      <c r="R2" s="3219" t="s">
        <v>2860</v>
      </c>
      <c r="S2" s="3219" t="s">
        <v>2861</v>
      </c>
      <c r="T2" s="3219" t="s">
        <v>2862</v>
      </c>
    </row>
    <row r="3" spans="1:20" s="3225" customFormat="1">
      <c r="A3" s="3902" t="s">
        <v>2863</v>
      </c>
      <c r="B3" s="3220"/>
      <c r="C3" s="3221" t="s">
        <v>2806</v>
      </c>
      <c r="D3" s="3221" t="s">
        <v>2864</v>
      </c>
      <c r="E3" s="3221" t="s">
        <v>2808</v>
      </c>
      <c r="F3" s="3221" t="s">
        <v>2865</v>
      </c>
      <c r="G3" s="3221" t="s">
        <v>2626</v>
      </c>
      <c r="H3" s="3222"/>
      <c r="I3" s="3223" t="s">
        <v>2866</v>
      </c>
      <c r="J3" s="3224" t="s">
        <v>128</v>
      </c>
      <c r="K3" s="3224" t="s">
        <v>129</v>
      </c>
      <c r="L3" s="3223" t="s">
        <v>130</v>
      </c>
      <c r="M3" s="3223" t="s">
        <v>131</v>
      </c>
      <c r="N3" s="3223" t="s">
        <v>132</v>
      </c>
      <c r="O3" s="3223" t="s">
        <v>133</v>
      </c>
      <c r="P3" s="3223" t="s">
        <v>134</v>
      </c>
      <c r="Q3" s="3223" t="s">
        <v>135</v>
      </c>
      <c r="R3" s="3223" t="s">
        <v>136</v>
      </c>
      <c r="S3" s="3223" t="s">
        <v>2867</v>
      </c>
      <c r="T3" s="3223" t="s">
        <v>2868</v>
      </c>
    </row>
    <row r="4" spans="1:20" s="3225" customFormat="1" ht="12" thickBot="1">
      <c r="A4" s="3903"/>
      <c r="B4" s="3226" t="s">
        <v>2869</v>
      </c>
      <c r="C4" s="3226" t="s">
        <v>2870</v>
      </c>
      <c r="D4" s="3226" t="s">
        <v>2870</v>
      </c>
      <c r="E4" s="3226" t="s">
        <v>2870</v>
      </c>
      <c r="F4" s="3227" t="s">
        <v>2870</v>
      </c>
      <c r="G4" s="3227" t="s">
        <v>2870</v>
      </c>
      <c r="H4" s="3222"/>
      <c r="I4" s="3224" t="s">
        <v>137</v>
      </c>
      <c r="J4" s="3224" t="s">
        <v>111</v>
      </c>
      <c r="K4" s="3224" t="s">
        <v>138</v>
      </c>
      <c r="L4" s="3223" t="s">
        <v>139</v>
      </c>
      <c r="M4" s="3223" t="s">
        <v>140</v>
      </c>
      <c r="N4" s="3223" t="s">
        <v>141</v>
      </c>
      <c r="O4" s="3223" t="s">
        <v>142</v>
      </c>
      <c r="P4" s="3223" t="s">
        <v>143</v>
      </c>
      <c r="Q4" s="3223" t="s">
        <v>2871</v>
      </c>
      <c r="R4" s="3223" t="s">
        <v>2872</v>
      </c>
      <c r="S4" s="3223" t="s">
        <v>2873</v>
      </c>
      <c r="T4" s="3223" t="s">
        <v>2874</v>
      </c>
    </row>
    <row r="5" spans="1:20">
      <c r="A5" s="3228" t="s">
        <v>2837</v>
      </c>
      <c r="B5" s="3219" t="s">
        <v>2851</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2875</v>
      </c>
      <c r="R5" s="3223" t="s">
        <v>2876</v>
      </c>
      <c r="S5" s="3223" t="s">
        <v>153</v>
      </c>
      <c r="T5" s="3223" t="s">
        <v>2877</v>
      </c>
    </row>
    <row r="6" spans="1:20" ht="12" thickBot="1">
      <c r="A6" s="3223" t="s">
        <v>144</v>
      </c>
      <c r="B6" s="3223" t="s">
        <v>2866</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2878</v>
      </c>
      <c r="Q6" s="3223" t="s">
        <v>2879</v>
      </c>
      <c r="R6" s="3223" t="s">
        <v>161</v>
      </c>
      <c r="S6" s="3223" t="s">
        <v>2880</v>
      </c>
      <c r="T6" s="3223" t="s">
        <v>2881</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2882</v>
      </c>
      <c r="Q7" s="3223" t="s">
        <v>2883</v>
      </c>
      <c r="R7" s="3223" t="s">
        <v>2884</v>
      </c>
      <c r="S7" s="3223" t="s">
        <v>2885</v>
      </c>
      <c r="T7" s="3223" t="s">
        <v>2886</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2887</v>
      </c>
      <c r="Q8" s="3223" t="s">
        <v>174</v>
      </c>
      <c r="R8" s="3223" t="s">
        <v>2888</v>
      </c>
      <c r="S8" s="3223" t="s">
        <v>2889</v>
      </c>
      <c r="T8" s="3230" t="s">
        <v>2890</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2891</v>
      </c>
      <c r="Q9" s="3223" t="s">
        <v>182</v>
      </c>
      <c r="R9" s="3223" t="s">
        <v>183</v>
      </c>
      <c r="S9" s="3223" t="s">
        <v>200</v>
      </c>
    </row>
    <row r="10" spans="1:20">
      <c r="A10" s="3228" t="s">
        <v>184</v>
      </c>
      <c r="B10" s="3219" t="s">
        <v>2852</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2892</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2893</v>
      </c>
      <c r="P11" s="3223" t="s">
        <v>191</v>
      </c>
      <c r="Q11" s="3223" t="s">
        <v>199</v>
      </c>
      <c r="R11" s="3223" t="s">
        <v>2894</v>
      </c>
      <c r="S11" s="3223" t="s">
        <v>2895</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2896</v>
      </c>
      <c r="P12" s="3223" t="s">
        <v>2897</v>
      </c>
      <c r="Q12" s="3223" t="s">
        <v>2898</v>
      </c>
      <c r="R12" s="3223" t="s">
        <v>2899</v>
      </c>
      <c r="S12" s="3223" t="s">
        <v>2900</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2901</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2902</v>
      </c>
      <c r="K14" s="3224" t="s">
        <v>215</v>
      </c>
      <c r="L14" s="3223" t="s">
        <v>216</v>
      </c>
      <c r="M14" s="3223" t="s">
        <v>217</v>
      </c>
      <c r="N14" s="3223" t="s">
        <v>218</v>
      </c>
      <c r="O14" s="3223" t="s">
        <v>240</v>
      </c>
      <c r="P14" s="3223" t="s">
        <v>213</v>
      </c>
      <c r="Q14" s="3223" t="s">
        <v>2903</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2904</v>
      </c>
      <c r="P15" s="3223" t="s">
        <v>2905</v>
      </c>
      <c r="Q15" s="3223" t="s">
        <v>242</v>
      </c>
      <c r="R15" s="3223" t="s">
        <v>2906</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2907</v>
      </c>
      <c r="P16" s="3223" t="s">
        <v>227</v>
      </c>
      <c r="Q16" s="3223" t="s">
        <v>250</v>
      </c>
      <c r="R16" s="3223" t="s">
        <v>207</v>
      </c>
      <c r="S16" s="3223" t="s">
        <v>2908</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2909</v>
      </c>
      <c r="P17" s="3223" t="s">
        <v>2910</v>
      </c>
      <c r="Q17" s="3223" t="s">
        <v>256</v>
      </c>
      <c r="R17" s="3223" t="s">
        <v>2911</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2912</v>
      </c>
      <c r="P18" s="3223" t="s">
        <v>241</v>
      </c>
      <c r="Q18" s="3223" t="s">
        <v>2913</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2914</v>
      </c>
      <c r="P19" s="3223" t="s">
        <v>249</v>
      </c>
      <c r="Q19" s="3223" t="s">
        <v>2915</v>
      </c>
      <c r="R19" s="3223" t="s">
        <v>265</v>
      </c>
      <c r="S19" s="3223" t="s">
        <v>2916</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2917</v>
      </c>
      <c r="P20" s="3223" t="s">
        <v>2918</v>
      </c>
      <c r="Q20" s="3223" t="s">
        <v>290</v>
      </c>
      <c r="R20" s="3223" t="s">
        <v>2919</v>
      </c>
      <c r="S20" s="3223" t="s">
        <v>277</v>
      </c>
    </row>
    <row r="21" spans="1:19" ht="14.25" customHeight="1" thickBot="1">
      <c r="A21" s="3223" t="s">
        <v>184</v>
      </c>
      <c r="B21" s="3224" t="s">
        <v>208</v>
      </c>
      <c r="C21" s="3223">
        <v>32370</v>
      </c>
      <c r="D21" s="3223">
        <v>26730</v>
      </c>
      <c r="E21" s="3223">
        <v>26640</v>
      </c>
      <c r="F21" s="3223"/>
      <c r="G21" s="3223">
        <v>19440</v>
      </c>
      <c r="J21" s="3230" t="s">
        <v>2920</v>
      </c>
      <c r="K21" s="3224" t="s">
        <v>267</v>
      </c>
      <c r="L21" s="3223" t="s">
        <v>268</v>
      </c>
      <c r="M21" s="3223" t="s">
        <v>269</v>
      </c>
      <c r="N21" s="3223" t="s">
        <v>270</v>
      </c>
      <c r="O21" s="3223" t="s">
        <v>264</v>
      </c>
      <c r="P21" s="3223" t="s">
        <v>283</v>
      </c>
      <c r="Q21" s="3223" t="s">
        <v>293</v>
      </c>
      <c r="R21" s="3223" t="s">
        <v>2921</v>
      </c>
      <c r="S21" s="3230" t="s">
        <v>2922</v>
      </c>
    </row>
    <row r="22" spans="1:19" ht="14.25" customHeight="1">
      <c r="A22" s="3223" t="s">
        <v>184</v>
      </c>
      <c r="B22" s="3224" t="s">
        <v>2902</v>
      </c>
      <c r="C22" s="3223">
        <v>29830</v>
      </c>
      <c r="D22" s="3223">
        <v>27600</v>
      </c>
      <c r="E22" s="3223">
        <v>28150</v>
      </c>
      <c r="F22" s="3223"/>
      <c r="G22" s="3223">
        <v>20080</v>
      </c>
      <c r="K22" s="3224" t="s">
        <v>2923</v>
      </c>
      <c r="L22" s="3223" t="s">
        <v>272</v>
      </c>
      <c r="M22" s="3223" t="s">
        <v>273</v>
      </c>
      <c r="N22" s="3223" t="s">
        <v>274</v>
      </c>
      <c r="O22" s="3223" t="s">
        <v>2924</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2925</v>
      </c>
      <c r="L23" s="3223" t="s">
        <v>278</v>
      </c>
      <c r="M23" s="3223" t="s">
        <v>279</v>
      </c>
      <c r="N23" s="3223" t="s">
        <v>2926</v>
      </c>
      <c r="O23" s="3223" t="s">
        <v>2927</v>
      </c>
      <c r="P23" s="3223" t="s">
        <v>289</v>
      </c>
      <c r="Q23" s="3223" t="s">
        <v>298</v>
      </c>
      <c r="R23" s="3223" t="s">
        <v>2928</v>
      </c>
    </row>
    <row r="24" spans="1:19" ht="14.25" customHeight="1">
      <c r="A24" s="3223" t="s">
        <v>184</v>
      </c>
      <c r="B24" s="3224" t="s">
        <v>230</v>
      </c>
      <c r="C24" s="3223">
        <v>27930</v>
      </c>
      <c r="D24" s="3223">
        <v>32260</v>
      </c>
      <c r="E24" s="3223">
        <v>32120</v>
      </c>
      <c r="F24" s="3223"/>
      <c r="G24" s="3223">
        <v>23470</v>
      </c>
      <c r="K24" s="3224" t="s">
        <v>2929</v>
      </c>
      <c r="L24" s="3223" t="s">
        <v>281</v>
      </c>
      <c r="M24" s="3223" t="s">
        <v>282</v>
      </c>
      <c r="N24" s="3223" t="s">
        <v>2930</v>
      </c>
      <c r="O24" s="3223" t="s">
        <v>285</v>
      </c>
      <c r="P24" s="3223" t="s">
        <v>2931</v>
      </c>
      <c r="Q24" s="3232" t="s">
        <v>2932</v>
      </c>
      <c r="R24" s="3223" t="s">
        <v>2933</v>
      </c>
    </row>
    <row r="25" spans="1:19" ht="14.25" customHeight="1">
      <c r="A25" s="3223" t="s">
        <v>184</v>
      </c>
      <c r="B25" s="3224" t="s">
        <v>235</v>
      </c>
      <c r="C25" s="3223">
        <v>32230</v>
      </c>
      <c r="D25" s="3223">
        <v>29640</v>
      </c>
      <c r="E25" s="3223">
        <v>29510</v>
      </c>
      <c r="F25" s="3223"/>
      <c r="G25" s="3223">
        <v>21560</v>
      </c>
      <c r="K25" s="3224" t="s">
        <v>2934</v>
      </c>
      <c r="L25" s="3223" t="s">
        <v>2935</v>
      </c>
      <c r="M25" s="3223" t="s">
        <v>284</v>
      </c>
      <c r="N25" s="3223" t="s">
        <v>292</v>
      </c>
      <c r="O25" s="3223" t="s">
        <v>288</v>
      </c>
      <c r="P25" s="3223" t="s">
        <v>275</v>
      </c>
      <c r="Q25" s="3232" t="s">
        <v>271</v>
      </c>
      <c r="R25" s="3223" t="s">
        <v>2936</v>
      </c>
    </row>
    <row r="26" spans="1:19" ht="14.25" customHeight="1" thickBot="1">
      <c r="A26" s="3223" t="s">
        <v>184</v>
      </c>
      <c r="B26" s="3224" t="s">
        <v>244</v>
      </c>
      <c r="C26" s="3223">
        <v>31690</v>
      </c>
      <c r="D26" s="3223">
        <v>27650</v>
      </c>
      <c r="E26" s="3223">
        <v>28200</v>
      </c>
      <c r="F26" s="3223"/>
      <c r="G26" s="3223">
        <v>20110</v>
      </c>
      <c r="K26" s="3229" t="s">
        <v>2937</v>
      </c>
      <c r="L26" s="3223" t="s">
        <v>2938</v>
      </c>
      <c r="M26" s="3223" t="s">
        <v>287</v>
      </c>
      <c r="N26" s="3223" t="s">
        <v>294</v>
      </c>
      <c r="O26" s="3223" t="s">
        <v>2939</v>
      </c>
      <c r="P26" s="3223" t="s">
        <v>2940</v>
      </c>
      <c r="Q26" s="3232" t="s">
        <v>276</v>
      </c>
      <c r="R26" s="3223" t="s">
        <v>2941</v>
      </c>
    </row>
    <row r="27" spans="1:19" ht="14.25" customHeight="1">
      <c r="A27" s="3223" t="s">
        <v>184</v>
      </c>
      <c r="B27" s="3224" t="s">
        <v>251</v>
      </c>
      <c r="C27" s="3223">
        <v>29610</v>
      </c>
      <c r="D27" s="3223">
        <v>27770</v>
      </c>
      <c r="E27" s="3223">
        <v>28300</v>
      </c>
      <c r="F27" s="3223"/>
      <c r="G27" s="3223">
        <v>20210</v>
      </c>
      <c r="L27" s="3223" t="s">
        <v>2942</v>
      </c>
      <c r="M27" s="3223" t="s">
        <v>291</v>
      </c>
      <c r="N27" s="3223" t="s">
        <v>297</v>
      </c>
      <c r="O27" s="3223" t="s">
        <v>2943</v>
      </c>
      <c r="P27" s="3223" t="s">
        <v>2944</v>
      </c>
      <c r="Q27" s="3223" t="s">
        <v>2945</v>
      </c>
      <c r="R27" s="3223" t="s">
        <v>2946</v>
      </c>
    </row>
    <row r="28" spans="1:19" ht="14.25" customHeight="1">
      <c r="A28" s="3223" t="s">
        <v>184</v>
      </c>
      <c r="B28" s="3224" t="s">
        <v>259</v>
      </c>
      <c r="C28" s="3223"/>
      <c r="D28" s="3223">
        <v>31520</v>
      </c>
      <c r="E28" s="3223">
        <v>31410</v>
      </c>
      <c r="F28" s="3223"/>
      <c r="G28" s="3223">
        <v>22940</v>
      </c>
      <c r="L28" s="3223" t="s">
        <v>2947</v>
      </c>
      <c r="M28" s="3223" t="s">
        <v>2948</v>
      </c>
      <c r="N28" s="3223" t="s">
        <v>2949</v>
      </c>
      <c r="O28" s="3223" t="s">
        <v>2950</v>
      </c>
      <c r="P28" s="3223" t="s">
        <v>2951</v>
      </c>
      <c r="Q28" s="3223" t="s">
        <v>2952</v>
      </c>
      <c r="R28" s="3223" t="s">
        <v>2953</v>
      </c>
    </row>
    <row r="29" spans="1:19" ht="14.25" customHeight="1" thickBot="1">
      <c r="A29" s="3231" t="s">
        <v>184</v>
      </c>
      <c r="B29" s="3233" t="s">
        <v>2920</v>
      </c>
      <c r="C29" s="3234"/>
      <c r="D29" s="3234">
        <v>29460</v>
      </c>
      <c r="E29" s="3234">
        <v>28640</v>
      </c>
      <c r="F29" s="3234"/>
      <c r="G29" s="3234">
        <v>21430</v>
      </c>
      <c r="L29" s="3223" t="s">
        <v>2954</v>
      </c>
      <c r="M29" s="3223" t="s">
        <v>2955</v>
      </c>
      <c r="N29" s="3223" t="s">
        <v>2956</v>
      </c>
      <c r="O29" s="3223" t="s">
        <v>2957</v>
      </c>
      <c r="P29" s="3223" t="s">
        <v>2958</v>
      </c>
      <c r="Q29" s="3223" t="s">
        <v>2959</v>
      </c>
      <c r="R29" s="3223" t="s">
        <v>280</v>
      </c>
    </row>
    <row r="30" spans="1:19" ht="14.25" customHeight="1">
      <c r="A30" s="3228" t="s">
        <v>296</v>
      </c>
      <c r="B30" s="3219" t="s">
        <v>2853</v>
      </c>
      <c r="C30" s="3219">
        <v>26890</v>
      </c>
      <c r="D30" s="3219">
        <v>26770</v>
      </c>
      <c r="E30" s="3219">
        <v>25700</v>
      </c>
      <c r="F30" s="3219">
        <v>8180</v>
      </c>
      <c r="G30" s="3235">
        <v>18740</v>
      </c>
      <c r="L30" s="3223" t="s">
        <v>2960</v>
      </c>
      <c r="M30" s="3223" t="s">
        <v>2961</v>
      </c>
      <c r="N30" s="3223" t="s">
        <v>2962</v>
      </c>
      <c r="O30" s="3223" t="s">
        <v>2963</v>
      </c>
      <c r="P30" s="3223" t="s">
        <v>2964</v>
      </c>
      <c r="Q30" s="3223" t="s">
        <v>2965</v>
      </c>
      <c r="R30" s="3223" t="s">
        <v>2966</v>
      </c>
    </row>
    <row r="31" spans="1:19" ht="14.25" customHeight="1">
      <c r="A31" s="3223" t="s">
        <v>296</v>
      </c>
      <c r="B31" s="3224" t="s">
        <v>129</v>
      </c>
      <c r="C31" s="3223">
        <v>24550</v>
      </c>
      <c r="D31" s="3223">
        <v>23990</v>
      </c>
      <c r="E31" s="3223">
        <v>22930</v>
      </c>
      <c r="F31" s="3223">
        <v>7470</v>
      </c>
      <c r="G31" s="3236">
        <v>16790</v>
      </c>
      <c r="L31" s="3223" t="s">
        <v>2967</v>
      </c>
      <c r="M31" s="3223" t="s">
        <v>2968</v>
      </c>
      <c r="N31" s="3223" t="s">
        <v>2969</v>
      </c>
      <c r="O31" s="3223" t="s">
        <v>2970</v>
      </c>
      <c r="P31" s="3223" t="s">
        <v>2971</v>
      </c>
      <c r="Q31" s="3223" t="s">
        <v>2972</v>
      </c>
      <c r="R31" s="3223" t="s">
        <v>2973</v>
      </c>
    </row>
    <row r="32" spans="1:19" ht="14.25" customHeight="1" thickBot="1">
      <c r="A32" s="3223" t="s">
        <v>296</v>
      </c>
      <c r="B32" s="3224" t="s">
        <v>138</v>
      </c>
      <c r="C32" s="3223">
        <v>27210</v>
      </c>
      <c r="D32" s="3223">
        <v>23240</v>
      </c>
      <c r="E32" s="3223">
        <v>23260</v>
      </c>
      <c r="F32" s="3223">
        <v>7130</v>
      </c>
      <c r="G32" s="3236">
        <v>16270</v>
      </c>
      <c r="L32" s="3223" t="s">
        <v>2974</v>
      </c>
      <c r="M32" s="3223" t="s">
        <v>2975</v>
      </c>
      <c r="N32" s="3223" t="s">
        <v>300</v>
      </c>
      <c r="O32" s="3223" t="s">
        <v>2976</v>
      </c>
      <c r="P32" s="3223" t="s">
        <v>299</v>
      </c>
      <c r="Q32" s="3223" t="s">
        <v>2977</v>
      </c>
      <c r="R32" s="3230" t="s">
        <v>2978</v>
      </c>
    </row>
    <row r="33" spans="1:17" ht="14.25" customHeight="1" thickBot="1">
      <c r="A33" s="3223" t="s">
        <v>296</v>
      </c>
      <c r="B33" s="3224" t="s">
        <v>147</v>
      </c>
      <c r="C33" s="3223">
        <v>27300</v>
      </c>
      <c r="D33" s="3223">
        <v>22980</v>
      </c>
      <c r="E33" s="3223">
        <v>24260</v>
      </c>
      <c r="F33" s="3223">
        <v>5860</v>
      </c>
      <c r="G33" s="3236">
        <v>16090</v>
      </c>
      <c r="L33" s="3230" t="s">
        <v>2979</v>
      </c>
      <c r="M33" s="3223" t="s">
        <v>2980</v>
      </c>
      <c r="N33" s="3223" t="s">
        <v>301</v>
      </c>
      <c r="O33" s="3223" t="s">
        <v>2981</v>
      </c>
      <c r="P33" s="3223" t="s">
        <v>2982</v>
      </c>
      <c r="Q33" s="3223" t="s">
        <v>2983</v>
      </c>
    </row>
    <row r="34" spans="1:17" ht="14.25" customHeight="1">
      <c r="A34" s="3223" t="s">
        <v>296</v>
      </c>
      <c r="B34" s="3224" t="s">
        <v>156</v>
      </c>
      <c r="C34" s="3223">
        <v>23090</v>
      </c>
      <c r="D34" s="3223">
        <v>23390</v>
      </c>
      <c r="E34" s="3223">
        <v>23510</v>
      </c>
      <c r="F34" s="3223">
        <v>6700</v>
      </c>
      <c r="G34" s="3236">
        <v>16370</v>
      </c>
      <c r="M34" s="3223" t="s">
        <v>2984</v>
      </c>
      <c r="N34" s="3223" t="s">
        <v>302</v>
      </c>
      <c r="O34" s="3223" t="s">
        <v>2985</v>
      </c>
      <c r="P34" s="3223" t="s">
        <v>2986</v>
      </c>
      <c r="Q34" s="3223" t="s">
        <v>2987</v>
      </c>
    </row>
    <row r="35" spans="1:17" ht="14.25" customHeight="1">
      <c r="A35" s="3223" t="s">
        <v>296</v>
      </c>
      <c r="B35" s="3224" t="s">
        <v>163</v>
      </c>
      <c r="C35" s="3223">
        <v>27270</v>
      </c>
      <c r="D35" s="3223">
        <v>24270</v>
      </c>
      <c r="E35" s="3223">
        <v>24950</v>
      </c>
      <c r="F35" s="3223">
        <v>6600</v>
      </c>
      <c r="G35" s="3236">
        <v>16990</v>
      </c>
      <c r="M35" s="3223" t="s">
        <v>2988</v>
      </c>
      <c r="N35" s="3223" t="s">
        <v>2989</v>
      </c>
      <c r="O35" s="3223" t="s">
        <v>2990</v>
      </c>
      <c r="P35" s="3223" t="s">
        <v>2991</v>
      </c>
      <c r="Q35" s="3223" t="s">
        <v>2992</v>
      </c>
    </row>
    <row r="36" spans="1:17" ht="14.25" customHeight="1">
      <c r="A36" s="3223" t="s">
        <v>296</v>
      </c>
      <c r="B36" s="3224" t="s">
        <v>169</v>
      </c>
      <c r="C36" s="3223">
        <v>23490</v>
      </c>
      <c r="D36" s="3223">
        <v>23020</v>
      </c>
      <c r="E36" s="3223">
        <v>25230</v>
      </c>
      <c r="F36" s="3223">
        <v>6780</v>
      </c>
      <c r="G36" s="3236">
        <v>16120</v>
      </c>
      <c r="M36" s="3223" t="s">
        <v>2993</v>
      </c>
      <c r="N36" s="3223" t="s">
        <v>2994</v>
      </c>
      <c r="O36" s="3223" t="s">
        <v>2995</v>
      </c>
      <c r="P36" s="3223" t="s">
        <v>2996</v>
      </c>
      <c r="Q36" s="3223" t="s">
        <v>2997</v>
      </c>
    </row>
    <row r="37" spans="1:17" ht="14.25" customHeight="1">
      <c r="A37" s="3223" t="s">
        <v>296</v>
      </c>
      <c r="B37" s="3224" t="s">
        <v>176</v>
      </c>
      <c r="C37" s="3223">
        <v>24380</v>
      </c>
      <c r="D37" s="3223">
        <v>22240</v>
      </c>
      <c r="E37" s="3223">
        <v>25980</v>
      </c>
      <c r="F37" s="3223">
        <v>8160</v>
      </c>
      <c r="G37" s="3236">
        <v>15570</v>
      </c>
      <c r="M37" s="3223" t="s">
        <v>2998</v>
      </c>
      <c r="N37" s="3223" t="s">
        <v>2999</v>
      </c>
      <c r="O37" s="3223" t="s">
        <v>3000</v>
      </c>
      <c r="P37" s="3223" t="s">
        <v>3001</v>
      </c>
      <c r="Q37" s="3223" t="s">
        <v>3002</v>
      </c>
    </row>
    <row r="38" spans="1:17" ht="14.25" customHeight="1">
      <c r="A38" s="3223" t="s">
        <v>296</v>
      </c>
      <c r="B38" s="3224" t="s">
        <v>186</v>
      </c>
      <c r="C38" s="3223">
        <v>23120</v>
      </c>
      <c r="D38" s="3223">
        <v>24630</v>
      </c>
      <c r="E38" s="3223">
        <v>25030</v>
      </c>
      <c r="F38" s="3223">
        <v>7710</v>
      </c>
      <c r="G38" s="3236">
        <v>17240</v>
      </c>
      <c r="M38" s="3223" t="s">
        <v>3003</v>
      </c>
      <c r="N38" s="3223" t="s">
        <v>3004</v>
      </c>
      <c r="O38" s="3223" t="s">
        <v>3005</v>
      </c>
      <c r="P38" s="3223" t="s">
        <v>3006</v>
      </c>
      <c r="Q38" s="3223" t="s">
        <v>3007</v>
      </c>
    </row>
    <row r="39" spans="1:17" ht="14.25" customHeight="1">
      <c r="A39" s="3223" t="s">
        <v>296</v>
      </c>
      <c r="B39" s="3224" t="s">
        <v>195</v>
      </c>
      <c r="C39" s="3223">
        <v>22330</v>
      </c>
      <c r="D39" s="3223">
        <v>21140</v>
      </c>
      <c r="E39" s="3223">
        <v>23970</v>
      </c>
      <c r="F39" s="3223">
        <v>7940</v>
      </c>
      <c r="G39" s="3236">
        <v>14790</v>
      </c>
      <c r="M39" s="3223" t="s">
        <v>3008</v>
      </c>
      <c r="N39" s="3223" t="s">
        <v>3009</v>
      </c>
      <c r="O39" s="3223" t="s">
        <v>3010</v>
      </c>
      <c r="P39" s="3223" t="s">
        <v>3011</v>
      </c>
      <c r="Q39" s="3223" t="s">
        <v>3012</v>
      </c>
    </row>
    <row r="40" spans="1:17" ht="14.25" customHeight="1">
      <c r="A40" s="3223" t="s">
        <v>296</v>
      </c>
      <c r="B40" s="3224" t="s">
        <v>202</v>
      </c>
      <c r="C40" s="3223">
        <v>24740</v>
      </c>
      <c r="D40" s="3223">
        <v>24690</v>
      </c>
      <c r="E40" s="3223">
        <v>22610</v>
      </c>
      <c r="F40" s="3223"/>
      <c r="G40" s="3236">
        <v>17280</v>
      </c>
      <c r="M40" s="3223" t="s">
        <v>3013</v>
      </c>
      <c r="N40" s="3223" t="s">
        <v>3014</v>
      </c>
      <c r="O40" s="3223" t="s">
        <v>3015</v>
      </c>
      <c r="P40" s="3223" t="s">
        <v>3016</v>
      </c>
      <c r="Q40" s="3223" t="s">
        <v>3017</v>
      </c>
    </row>
    <row r="41" spans="1:17" ht="14.25" customHeight="1" thickBot="1">
      <c r="A41" s="3223" t="s">
        <v>296</v>
      </c>
      <c r="B41" s="3224" t="s">
        <v>209</v>
      </c>
      <c r="C41" s="3223">
        <v>21220</v>
      </c>
      <c r="D41" s="3223">
        <v>21120</v>
      </c>
      <c r="E41" s="3223">
        <v>22590</v>
      </c>
      <c r="F41" s="3223"/>
      <c r="G41" s="3236">
        <v>14780</v>
      </c>
      <c r="M41" s="3230" t="s">
        <v>3018</v>
      </c>
      <c r="N41" s="3223" t="s">
        <v>3019</v>
      </c>
      <c r="O41" s="3223" t="s">
        <v>3020</v>
      </c>
      <c r="P41" s="3223" t="s">
        <v>3021</v>
      </c>
      <c r="Q41" s="3223" t="s">
        <v>3022</v>
      </c>
    </row>
    <row r="42" spans="1:17" ht="14.25" customHeight="1">
      <c r="A42" s="3223" t="s">
        <v>296</v>
      </c>
      <c r="B42" s="3224" t="s">
        <v>215</v>
      </c>
      <c r="C42" s="3223">
        <v>24800</v>
      </c>
      <c r="D42" s="3223">
        <v>22280</v>
      </c>
      <c r="E42" s="3223">
        <v>24350</v>
      </c>
      <c r="F42" s="3223"/>
      <c r="G42" s="3236">
        <v>15590</v>
      </c>
      <c r="N42" s="3223" t="s">
        <v>3023</v>
      </c>
      <c r="O42" s="3223" t="s">
        <v>3024</v>
      </c>
      <c r="P42" s="3223" t="s">
        <v>3025</v>
      </c>
      <c r="Q42" s="3223" t="s">
        <v>3026</v>
      </c>
    </row>
    <row r="43" spans="1:17" ht="14.25" customHeight="1">
      <c r="A43" s="3223" t="s">
        <v>3027</v>
      </c>
      <c r="B43" s="3224" t="s">
        <v>223</v>
      </c>
      <c r="C43" s="3223">
        <v>21210</v>
      </c>
      <c r="D43" s="3223">
        <v>21160</v>
      </c>
      <c r="E43" s="3223">
        <v>22650</v>
      </c>
      <c r="F43" s="3223"/>
      <c r="G43" s="3236">
        <v>14800</v>
      </c>
      <c r="N43" s="3223" t="s">
        <v>3028</v>
      </c>
      <c r="O43" s="3223" t="s">
        <v>3029</v>
      </c>
      <c r="P43" s="3223" t="s">
        <v>3030</v>
      </c>
      <c r="Q43" s="3223" t="s">
        <v>3031</v>
      </c>
    </row>
    <row r="44" spans="1:17" ht="14.25" customHeight="1" thickBot="1">
      <c r="A44" s="3223" t="s">
        <v>296</v>
      </c>
      <c r="B44" s="3224" t="s">
        <v>231</v>
      </c>
      <c r="C44" s="3223">
        <v>22370</v>
      </c>
      <c r="D44" s="3223">
        <v>23140</v>
      </c>
      <c r="E44" s="3223">
        <v>25090</v>
      </c>
      <c r="F44" s="3223"/>
      <c r="G44" s="3236">
        <v>16190</v>
      </c>
      <c r="N44" s="3223" t="s">
        <v>3032</v>
      </c>
      <c r="O44" s="3223" t="s">
        <v>3033</v>
      </c>
      <c r="P44" s="3230" t="s">
        <v>3034</v>
      </c>
      <c r="Q44" s="3223" t="s">
        <v>3035</v>
      </c>
    </row>
    <row r="45" spans="1:17" ht="14.25" customHeight="1" thickBot="1">
      <c r="A45" s="3223" t="s">
        <v>296</v>
      </c>
      <c r="B45" s="3224" t="s">
        <v>236</v>
      </c>
      <c r="C45" s="3223">
        <v>21240</v>
      </c>
      <c r="D45" s="3223">
        <v>27050</v>
      </c>
      <c r="E45" s="3223">
        <v>28000</v>
      </c>
      <c r="F45" s="3223"/>
      <c r="G45" s="3236">
        <v>18940</v>
      </c>
      <c r="N45" s="3223" t="s">
        <v>3036</v>
      </c>
      <c r="O45" s="3230" t="s">
        <v>3037</v>
      </c>
      <c r="Q45" s="3223" t="s">
        <v>3038</v>
      </c>
    </row>
    <row r="46" spans="1:17" ht="14.25" customHeight="1">
      <c r="A46" s="3223" t="s">
        <v>296</v>
      </c>
      <c r="B46" s="3224" t="s">
        <v>245</v>
      </c>
      <c r="C46" s="3223">
        <v>23240</v>
      </c>
      <c r="D46" s="3223">
        <v>23000</v>
      </c>
      <c r="E46" s="3223">
        <v>24980</v>
      </c>
      <c r="F46" s="3223"/>
      <c r="G46" s="3236">
        <v>16100</v>
      </c>
      <c r="N46" s="3223" t="s">
        <v>3039</v>
      </c>
      <c r="Q46" s="3223" t="s">
        <v>3040</v>
      </c>
    </row>
    <row r="47" spans="1:17" ht="14.25" customHeight="1">
      <c r="A47" s="3223" t="s">
        <v>296</v>
      </c>
      <c r="B47" s="3224" t="s">
        <v>252</v>
      </c>
      <c r="C47" s="3223">
        <v>27150</v>
      </c>
      <c r="D47" s="3223">
        <v>23310</v>
      </c>
      <c r="E47" s="3223">
        <v>25150</v>
      </c>
      <c r="F47" s="3223"/>
      <c r="G47" s="3236">
        <v>16310</v>
      </c>
      <c r="N47" s="3223" t="s">
        <v>3041</v>
      </c>
      <c r="Q47" s="3223" t="s">
        <v>3042</v>
      </c>
    </row>
    <row r="48" spans="1:17" ht="14.25" customHeight="1">
      <c r="A48" s="3223" t="s">
        <v>296</v>
      </c>
      <c r="B48" s="3224" t="s">
        <v>260</v>
      </c>
      <c r="C48" s="3223">
        <v>23100</v>
      </c>
      <c r="D48" s="3223">
        <v>21110</v>
      </c>
      <c r="E48" s="3223">
        <v>23080</v>
      </c>
      <c r="F48" s="3223"/>
      <c r="G48" s="3236">
        <v>14780</v>
      </c>
      <c r="N48" s="3223" t="s">
        <v>3043</v>
      </c>
      <c r="Q48" s="3223" t="s">
        <v>3044</v>
      </c>
    </row>
    <row r="49" spans="1:17" ht="14.25" customHeight="1">
      <c r="A49" s="3223" t="s">
        <v>296</v>
      </c>
      <c r="B49" s="3224" t="s">
        <v>267</v>
      </c>
      <c r="C49" s="3223">
        <v>23400</v>
      </c>
      <c r="D49" s="3223">
        <v>22920</v>
      </c>
      <c r="E49" s="3223">
        <v>24900</v>
      </c>
      <c r="F49" s="3223"/>
      <c r="G49" s="3236">
        <v>16040</v>
      </c>
      <c r="N49" s="3223" t="s">
        <v>3045</v>
      </c>
      <c r="Q49" s="3223" t="s">
        <v>3046</v>
      </c>
    </row>
    <row r="50" spans="1:17" ht="14.25" customHeight="1">
      <c r="A50" s="3223" t="s">
        <v>296</v>
      </c>
      <c r="B50" s="3224" t="s">
        <v>2923</v>
      </c>
      <c r="C50" s="3223">
        <v>21200</v>
      </c>
      <c r="D50" s="3223">
        <v>26540</v>
      </c>
      <c r="E50" s="3223">
        <v>23200</v>
      </c>
      <c r="F50" s="3223"/>
      <c r="G50" s="3236">
        <v>18580</v>
      </c>
      <c r="N50" s="3223" t="s">
        <v>3047</v>
      </c>
      <c r="Q50" s="3224" t="s">
        <v>3048</v>
      </c>
    </row>
    <row r="51" spans="1:17" ht="14.25" customHeight="1" thickBot="1">
      <c r="A51" s="3223" t="s">
        <v>296</v>
      </c>
      <c r="B51" s="3224" t="s">
        <v>2925</v>
      </c>
      <c r="C51" s="3223">
        <v>23000</v>
      </c>
      <c r="D51" s="3223">
        <v>23460</v>
      </c>
      <c r="E51" s="3223">
        <v>25290</v>
      </c>
      <c r="F51" s="3223"/>
      <c r="G51" s="3236">
        <v>16420</v>
      </c>
      <c r="N51" s="3223" t="s">
        <v>3049</v>
      </c>
      <c r="Q51" s="3230" t="s">
        <v>3050</v>
      </c>
    </row>
    <row r="52" spans="1:17" ht="14.25" customHeight="1">
      <c r="A52" s="3223" t="s">
        <v>296</v>
      </c>
      <c r="B52" s="3224" t="s">
        <v>2929</v>
      </c>
      <c r="C52" s="3223">
        <v>26660</v>
      </c>
      <c r="D52" s="3223">
        <v>22350</v>
      </c>
      <c r="E52" s="3223">
        <v>22920</v>
      </c>
      <c r="F52" s="3223"/>
      <c r="G52" s="3236">
        <v>15640</v>
      </c>
      <c r="N52" s="3223" t="s">
        <v>3051</v>
      </c>
    </row>
    <row r="53" spans="1:17" ht="14.25" customHeight="1">
      <c r="A53" s="3223" t="s">
        <v>296</v>
      </c>
      <c r="B53" s="3224" t="s">
        <v>2934</v>
      </c>
      <c r="C53" s="3223">
        <v>23580</v>
      </c>
      <c r="D53" s="3223"/>
      <c r="E53" s="3223">
        <v>24280</v>
      </c>
      <c r="F53" s="3223"/>
      <c r="G53" s="3236"/>
      <c r="N53" s="3223" t="s">
        <v>3052</v>
      </c>
    </row>
    <row r="54" spans="1:17" ht="14.25" customHeight="1" thickBot="1">
      <c r="A54" s="3237" t="s">
        <v>296</v>
      </c>
      <c r="B54" s="3229" t="s">
        <v>2937</v>
      </c>
      <c r="C54" s="3230">
        <v>22460</v>
      </c>
      <c r="D54" s="3230"/>
      <c r="E54" s="3230"/>
      <c r="F54" s="3230"/>
      <c r="G54" s="3238"/>
      <c r="N54" s="3223" t="s">
        <v>3053</v>
      </c>
    </row>
    <row r="55" spans="1:17" ht="14.25" customHeight="1">
      <c r="A55" s="3228" t="s">
        <v>110</v>
      </c>
      <c r="B55" s="3219" t="s">
        <v>3054</v>
      </c>
      <c r="C55" s="3223">
        <v>21970</v>
      </c>
      <c r="D55" s="3223">
        <v>20370</v>
      </c>
      <c r="E55" s="3223">
        <v>20180</v>
      </c>
      <c r="F55" s="3223">
        <v>5730</v>
      </c>
      <c r="G55" s="3223">
        <v>13820</v>
      </c>
      <c r="N55" s="3223" t="s">
        <v>3055</v>
      </c>
    </row>
    <row r="56" spans="1:17" ht="14.25" customHeight="1">
      <c r="A56" s="3223" t="s">
        <v>110</v>
      </c>
      <c r="B56" s="3223" t="s">
        <v>130</v>
      </c>
      <c r="C56" s="3223">
        <v>20470</v>
      </c>
      <c r="D56" s="3223">
        <v>20700</v>
      </c>
      <c r="E56" s="3223">
        <v>20380</v>
      </c>
      <c r="F56" s="3223">
        <v>4760</v>
      </c>
      <c r="G56" s="3223">
        <v>14050</v>
      </c>
      <c r="N56" s="3223" t="s">
        <v>3056</v>
      </c>
    </row>
    <row r="57" spans="1:17" ht="14.25" customHeight="1">
      <c r="A57" s="3223" t="s">
        <v>110</v>
      </c>
      <c r="B57" s="3223" t="s">
        <v>139</v>
      </c>
      <c r="C57" s="3223">
        <v>20790</v>
      </c>
      <c r="D57" s="3223">
        <v>21370</v>
      </c>
      <c r="E57" s="3223">
        <v>20890</v>
      </c>
      <c r="F57" s="3223">
        <v>4910</v>
      </c>
      <c r="G57" s="3223">
        <v>14510</v>
      </c>
      <c r="N57" s="3223" t="s">
        <v>3057</v>
      </c>
    </row>
    <row r="58" spans="1:17" ht="14.25" customHeight="1">
      <c r="A58" s="3223" t="s">
        <v>110</v>
      </c>
      <c r="B58" s="3223" t="s">
        <v>148</v>
      </c>
      <c r="C58" s="3223">
        <v>21460</v>
      </c>
      <c r="D58" s="3223">
        <v>20920</v>
      </c>
      <c r="E58" s="3223">
        <v>23410</v>
      </c>
      <c r="F58" s="3223">
        <v>5100</v>
      </c>
      <c r="G58" s="3223">
        <v>14200</v>
      </c>
      <c r="N58" s="3223" t="s">
        <v>3058</v>
      </c>
    </row>
    <row r="59" spans="1:17" ht="14.25" customHeight="1">
      <c r="A59" s="3223" t="s">
        <v>110</v>
      </c>
      <c r="B59" s="3223" t="s">
        <v>157</v>
      </c>
      <c r="C59" s="3223">
        <v>21000</v>
      </c>
      <c r="D59" s="3223">
        <v>21550</v>
      </c>
      <c r="E59" s="3223">
        <v>21150</v>
      </c>
      <c r="F59" s="3223">
        <v>5250</v>
      </c>
      <c r="G59" s="3223">
        <v>14630</v>
      </c>
      <c r="N59" s="3223" t="s">
        <v>3059</v>
      </c>
    </row>
    <row r="60" spans="1:17" ht="14.25" customHeight="1">
      <c r="A60" s="3223" t="s">
        <v>110</v>
      </c>
      <c r="B60" s="3223" t="s">
        <v>164</v>
      </c>
      <c r="C60" s="3223">
        <v>21640</v>
      </c>
      <c r="D60" s="3223">
        <v>21260</v>
      </c>
      <c r="E60" s="3223">
        <v>24040</v>
      </c>
      <c r="F60" s="3223">
        <v>4470</v>
      </c>
      <c r="G60" s="3223">
        <v>14430</v>
      </c>
      <c r="N60" s="3223" t="s">
        <v>3060</v>
      </c>
    </row>
    <row r="61" spans="1:17" ht="14.25" customHeight="1">
      <c r="A61" s="3223" t="s">
        <v>110</v>
      </c>
      <c r="B61" s="3223" t="s">
        <v>170</v>
      </c>
      <c r="C61" s="3223">
        <v>21330</v>
      </c>
      <c r="D61" s="3223">
        <v>18640</v>
      </c>
      <c r="E61" s="3223">
        <v>21190</v>
      </c>
      <c r="F61" s="3223">
        <v>4180</v>
      </c>
      <c r="G61" s="3223">
        <v>12650</v>
      </c>
      <c r="N61" s="3223" t="s">
        <v>3061</v>
      </c>
    </row>
    <row r="62" spans="1:17" ht="14.25" customHeight="1">
      <c r="A62" s="3223" t="s">
        <v>110</v>
      </c>
      <c r="B62" s="3223" t="s">
        <v>177</v>
      </c>
      <c r="C62" s="3223">
        <v>18710</v>
      </c>
      <c r="D62" s="3223">
        <v>19400</v>
      </c>
      <c r="E62" s="3223">
        <v>23750</v>
      </c>
      <c r="F62" s="3223">
        <v>4860</v>
      </c>
      <c r="G62" s="3223">
        <v>13170</v>
      </c>
      <c r="N62" s="3223" t="s">
        <v>3062</v>
      </c>
    </row>
    <row r="63" spans="1:17" ht="14.25" customHeight="1">
      <c r="A63" s="3223" t="s">
        <v>110</v>
      </c>
      <c r="B63" s="3223" t="s">
        <v>187</v>
      </c>
      <c r="C63" s="3223">
        <v>19480</v>
      </c>
      <c r="D63" s="3223">
        <v>16830</v>
      </c>
      <c r="E63" s="3223">
        <v>21590</v>
      </c>
      <c r="F63" s="3223">
        <v>4560</v>
      </c>
      <c r="G63" s="3223">
        <v>11420</v>
      </c>
      <c r="N63" s="3223" t="s">
        <v>3063</v>
      </c>
    </row>
    <row r="64" spans="1:17" ht="14.25" customHeight="1" thickBot="1">
      <c r="A64" s="3223" t="s">
        <v>110</v>
      </c>
      <c r="B64" s="3223" t="s">
        <v>196</v>
      </c>
      <c r="C64" s="3223">
        <v>16920</v>
      </c>
      <c r="D64" s="3223">
        <v>19190</v>
      </c>
      <c r="E64" s="3223">
        <v>22200</v>
      </c>
      <c r="F64" s="3223">
        <v>4390</v>
      </c>
      <c r="G64" s="3223">
        <v>13030</v>
      </c>
      <c r="N64" s="3230" t="s">
        <v>3064</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2935</v>
      </c>
      <c r="C78" s="3223">
        <v>19820</v>
      </c>
      <c r="D78" s="3223">
        <v>19780</v>
      </c>
      <c r="E78" s="3223">
        <v>18560</v>
      </c>
      <c r="F78" s="3223"/>
      <c r="G78" s="3223">
        <v>13430</v>
      </c>
    </row>
    <row r="79" spans="1:7" s="3212" customFormat="1" ht="14.25" customHeight="1">
      <c r="A79" s="3223" t="s">
        <v>110</v>
      </c>
      <c r="B79" s="3223" t="s">
        <v>2938</v>
      </c>
      <c r="C79" s="3223">
        <v>21660</v>
      </c>
      <c r="D79" s="3223">
        <v>18000</v>
      </c>
      <c r="E79" s="3223">
        <v>22570</v>
      </c>
      <c r="F79" s="3223"/>
      <c r="G79" s="3223">
        <v>12220</v>
      </c>
    </row>
    <row r="80" spans="1:7" s="3212" customFormat="1" ht="14.25" customHeight="1">
      <c r="A80" s="3223" t="s">
        <v>110</v>
      </c>
      <c r="B80" s="3223" t="s">
        <v>2942</v>
      </c>
      <c r="C80" s="3223">
        <v>19850</v>
      </c>
      <c r="D80" s="3223"/>
      <c r="E80" s="3223">
        <v>21700</v>
      </c>
      <c r="F80" s="3223"/>
      <c r="G80" s="3223"/>
    </row>
    <row r="81" spans="1:7" s="3212" customFormat="1" ht="14.25" customHeight="1">
      <c r="A81" s="3223" t="s">
        <v>110</v>
      </c>
      <c r="B81" s="3223" t="s">
        <v>2947</v>
      </c>
      <c r="C81" s="3223">
        <v>18080</v>
      </c>
      <c r="D81" s="3223"/>
      <c r="E81" s="3223">
        <v>20900</v>
      </c>
      <c r="F81" s="3223"/>
      <c r="G81" s="3223"/>
    </row>
    <row r="82" spans="1:7" s="3212" customFormat="1" ht="14.25" customHeight="1">
      <c r="A82" s="3223" t="s">
        <v>110</v>
      </c>
      <c r="B82" s="3223" t="s">
        <v>2954</v>
      </c>
      <c r="C82" s="3223"/>
      <c r="D82" s="3223"/>
      <c r="E82" s="3223">
        <v>20840</v>
      </c>
      <c r="F82" s="3223"/>
      <c r="G82" s="3223"/>
    </row>
    <row r="83" spans="1:7" s="3212" customFormat="1" ht="14.25" customHeight="1">
      <c r="A83" s="3223" t="s">
        <v>110</v>
      </c>
      <c r="B83" s="3223" t="s">
        <v>3065</v>
      </c>
      <c r="C83" s="3223"/>
      <c r="D83" s="3223"/>
      <c r="E83" s="3223"/>
      <c r="F83" s="3223">
        <v>4770</v>
      </c>
      <c r="G83" s="3223"/>
    </row>
    <row r="84" spans="1:7" s="3212" customFormat="1" ht="14.25" customHeight="1">
      <c r="A84" s="3223" t="s">
        <v>110</v>
      </c>
      <c r="B84" s="3223" t="s">
        <v>3066</v>
      </c>
      <c r="C84" s="3223"/>
      <c r="D84" s="3223"/>
      <c r="E84" s="3223"/>
      <c r="F84" s="3223">
        <v>4600</v>
      </c>
      <c r="G84" s="3223"/>
    </row>
    <row r="85" spans="1:7" s="3212" customFormat="1" ht="14.25" customHeight="1">
      <c r="A85" s="3223" t="s">
        <v>110</v>
      </c>
      <c r="B85" s="3223" t="s">
        <v>3067</v>
      </c>
      <c r="C85" s="3223"/>
      <c r="D85" s="3223"/>
      <c r="E85" s="3223"/>
      <c r="F85" s="3223">
        <v>4680</v>
      </c>
      <c r="G85" s="3223"/>
    </row>
    <row r="86" spans="1:7" s="3212" customFormat="1" ht="14.25" customHeight="1" thickBot="1">
      <c r="A86" s="3231" t="s">
        <v>110</v>
      </c>
      <c r="B86" s="3233" t="s">
        <v>3068</v>
      </c>
      <c r="C86" s="3234">
        <v>16610</v>
      </c>
      <c r="D86" s="3234">
        <v>16540</v>
      </c>
      <c r="E86" s="3234">
        <v>18850</v>
      </c>
      <c r="F86" s="3234"/>
      <c r="G86" s="3234">
        <v>11220</v>
      </c>
    </row>
    <row r="87" spans="1:7" s="3212" customFormat="1" ht="14.25" customHeight="1">
      <c r="A87" s="3228" t="s">
        <v>303</v>
      </c>
      <c r="B87" s="3219" t="s">
        <v>3069</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2948</v>
      </c>
      <c r="C113" s="3223">
        <v>15520</v>
      </c>
      <c r="D113" s="3223">
        <v>15450</v>
      </c>
      <c r="E113" s="3223"/>
      <c r="F113" s="3223"/>
      <c r="G113" s="3236">
        <v>10210</v>
      </c>
    </row>
    <row r="114" spans="1:7" s="3212" customFormat="1" ht="14.25" customHeight="1">
      <c r="A114" s="3223" t="s">
        <v>303</v>
      </c>
      <c r="B114" s="3223" t="s">
        <v>2955</v>
      </c>
      <c r="C114" s="3223">
        <v>13110</v>
      </c>
      <c r="D114" s="3223">
        <v>13050</v>
      </c>
      <c r="E114" s="3223"/>
      <c r="F114" s="3223"/>
      <c r="G114" s="3236">
        <v>8620</v>
      </c>
    </row>
    <row r="115" spans="1:7" s="3212" customFormat="1" ht="14.25" customHeight="1">
      <c r="A115" s="3223" t="s">
        <v>303</v>
      </c>
      <c r="B115" s="3223" t="s">
        <v>2961</v>
      </c>
      <c r="C115" s="3223">
        <v>12460</v>
      </c>
      <c r="D115" s="3223">
        <v>12390</v>
      </c>
      <c r="E115" s="3223"/>
      <c r="F115" s="3223"/>
      <c r="G115" s="3236">
        <v>8190</v>
      </c>
    </row>
    <row r="116" spans="1:7" s="3212" customFormat="1" ht="14.25" customHeight="1">
      <c r="A116" s="3223" t="s">
        <v>303</v>
      </c>
      <c r="B116" s="3223" t="s">
        <v>2968</v>
      </c>
      <c r="C116" s="3223">
        <v>13580</v>
      </c>
      <c r="D116" s="3223">
        <v>13520</v>
      </c>
      <c r="E116" s="3223"/>
      <c r="F116" s="3223"/>
      <c r="G116" s="3236">
        <v>8930</v>
      </c>
    </row>
    <row r="117" spans="1:7" s="3212" customFormat="1" ht="14.25" customHeight="1">
      <c r="A117" s="3223" t="s">
        <v>303</v>
      </c>
      <c r="B117" s="3223" t="s">
        <v>2975</v>
      </c>
      <c r="C117" s="3223">
        <v>17120</v>
      </c>
      <c r="D117" s="3223">
        <v>17040</v>
      </c>
      <c r="E117" s="3223"/>
      <c r="F117" s="3223"/>
      <c r="G117" s="3236">
        <v>11260</v>
      </c>
    </row>
    <row r="118" spans="1:7" s="3212" customFormat="1" ht="14.25" customHeight="1">
      <c r="A118" s="3223" t="s">
        <v>303</v>
      </c>
      <c r="B118" s="3223" t="s">
        <v>2980</v>
      </c>
      <c r="C118" s="3223">
        <v>14860</v>
      </c>
      <c r="D118" s="3223">
        <v>14790</v>
      </c>
      <c r="E118" s="3223"/>
      <c r="F118" s="3223"/>
      <c r="G118" s="3236">
        <v>9780</v>
      </c>
    </row>
    <row r="119" spans="1:7" s="3212" customFormat="1" ht="14.25" customHeight="1">
      <c r="A119" s="3223" t="s">
        <v>303</v>
      </c>
      <c r="B119" s="3223" t="s">
        <v>2984</v>
      </c>
      <c r="C119" s="3223">
        <v>16470</v>
      </c>
      <c r="D119" s="3223">
        <v>16400</v>
      </c>
      <c r="E119" s="3223"/>
      <c r="F119" s="3223"/>
      <c r="G119" s="3236">
        <v>10840</v>
      </c>
    </row>
    <row r="120" spans="1:7" s="3212" customFormat="1" ht="14.25" customHeight="1">
      <c r="A120" s="3223" t="s">
        <v>303</v>
      </c>
      <c r="B120" s="3223" t="s">
        <v>3070</v>
      </c>
      <c r="C120" s="3223"/>
      <c r="D120" s="3223"/>
      <c r="E120" s="3223"/>
      <c r="F120" s="3223">
        <v>4160</v>
      </c>
      <c r="G120" s="3236"/>
    </row>
    <row r="121" spans="1:7" s="3212" customFormat="1" ht="14.25" customHeight="1">
      <c r="A121" s="3223" t="s">
        <v>303</v>
      </c>
      <c r="B121" s="3223" t="s">
        <v>3071</v>
      </c>
      <c r="C121" s="3223"/>
      <c r="D121" s="3223"/>
      <c r="E121" s="3223"/>
      <c r="F121" s="3223">
        <v>3880</v>
      </c>
      <c r="G121" s="3236"/>
    </row>
    <row r="122" spans="1:7" s="3212" customFormat="1" ht="14.25" customHeight="1">
      <c r="A122" s="3223" t="s">
        <v>303</v>
      </c>
      <c r="B122" s="3223" t="s">
        <v>3072</v>
      </c>
      <c r="C122" s="3223">
        <v>13750</v>
      </c>
      <c r="D122" s="3223">
        <v>13680</v>
      </c>
      <c r="E122" s="3223">
        <v>16460</v>
      </c>
      <c r="F122" s="3223">
        <v>2880</v>
      </c>
      <c r="G122" s="3236">
        <v>9040</v>
      </c>
    </row>
    <row r="123" spans="1:7" s="3212" customFormat="1" ht="14.25" customHeight="1">
      <c r="A123" s="3223" t="s">
        <v>303</v>
      </c>
      <c r="B123" s="3223" t="s">
        <v>3003</v>
      </c>
      <c r="C123" s="3223">
        <v>13590</v>
      </c>
      <c r="D123" s="3223">
        <v>13520</v>
      </c>
      <c r="E123" s="3223">
        <v>16290</v>
      </c>
      <c r="F123" s="3223">
        <v>2790</v>
      </c>
      <c r="G123" s="3236">
        <v>8930</v>
      </c>
    </row>
    <row r="124" spans="1:7" s="3212" customFormat="1" ht="14.25" customHeight="1">
      <c r="A124" s="3223" t="s">
        <v>303</v>
      </c>
      <c r="B124" s="3223" t="s">
        <v>3008</v>
      </c>
      <c r="C124" s="3223">
        <v>13400</v>
      </c>
      <c r="D124" s="3223">
        <v>13320</v>
      </c>
      <c r="E124" s="3223">
        <v>16100</v>
      </c>
      <c r="F124" s="3223">
        <v>2320</v>
      </c>
      <c r="G124" s="3236">
        <v>8800</v>
      </c>
    </row>
    <row r="125" spans="1:7" s="3212" customFormat="1" ht="14.25" customHeight="1">
      <c r="A125" s="3223" t="s">
        <v>303</v>
      </c>
      <c r="B125" s="3223" t="s">
        <v>3013</v>
      </c>
      <c r="C125" s="3223">
        <v>12860</v>
      </c>
      <c r="D125" s="3223">
        <v>12790</v>
      </c>
      <c r="E125" s="3223">
        <v>15370</v>
      </c>
      <c r="F125" s="3223">
        <v>2280</v>
      </c>
      <c r="G125" s="3236">
        <v>8450</v>
      </c>
    </row>
    <row r="126" spans="1:7" s="3212" customFormat="1" ht="14.25" customHeight="1" thickBot="1">
      <c r="A126" s="3237" t="s">
        <v>303</v>
      </c>
      <c r="B126" s="3230" t="s">
        <v>3018</v>
      </c>
      <c r="C126" s="3230">
        <v>12960</v>
      </c>
      <c r="D126" s="3230">
        <v>12890</v>
      </c>
      <c r="E126" s="3230">
        <v>15530</v>
      </c>
      <c r="F126" s="3230">
        <v>2910</v>
      </c>
      <c r="G126" s="3238">
        <v>8520</v>
      </c>
    </row>
    <row r="127" spans="1:7" s="3212" customFormat="1" ht="14.25" customHeight="1">
      <c r="A127" s="3228" t="s">
        <v>29</v>
      </c>
      <c r="B127" s="3219" t="s">
        <v>3073</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3074</v>
      </c>
      <c r="C148" s="3223">
        <v>10370</v>
      </c>
      <c r="D148" s="3223">
        <v>10310</v>
      </c>
      <c r="E148" s="3223">
        <v>12970</v>
      </c>
      <c r="F148" s="3223"/>
      <c r="G148" s="3223">
        <v>6630</v>
      </c>
    </row>
    <row r="149" spans="1:7" s="3212" customFormat="1" ht="14.25" customHeight="1">
      <c r="A149" s="3223" t="s">
        <v>29</v>
      </c>
      <c r="B149" s="3223" t="s">
        <v>3075</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2949</v>
      </c>
      <c r="C153" s="3223">
        <v>10880</v>
      </c>
      <c r="D153" s="3223">
        <v>10820</v>
      </c>
      <c r="E153" s="3223">
        <v>13660</v>
      </c>
      <c r="F153" s="3223">
        <v>2260</v>
      </c>
      <c r="G153" s="3223">
        <v>6970</v>
      </c>
    </row>
    <row r="154" spans="1:7" s="3212" customFormat="1" ht="14.25" customHeight="1">
      <c r="A154" s="3223" t="s">
        <v>29</v>
      </c>
      <c r="B154" s="3223" t="s">
        <v>3076</v>
      </c>
      <c r="C154" s="3223">
        <v>11220</v>
      </c>
      <c r="D154" s="3223">
        <v>11160</v>
      </c>
      <c r="E154" s="3223">
        <v>14130</v>
      </c>
      <c r="F154" s="3223">
        <v>2230</v>
      </c>
      <c r="G154" s="3223">
        <v>7180</v>
      </c>
    </row>
    <row r="155" spans="1:7" s="3212" customFormat="1" ht="14.25" customHeight="1">
      <c r="A155" s="3223" t="s">
        <v>29</v>
      </c>
      <c r="B155" s="3223" t="s">
        <v>2962</v>
      </c>
      <c r="C155" s="3223">
        <v>10430</v>
      </c>
      <c r="D155" s="3223">
        <v>10380</v>
      </c>
      <c r="E155" s="3223">
        <v>13140</v>
      </c>
      <c r="F155" s="3223">
        <v>2080</v>
      </c>
      <c r="G155" s="3223">
        <v>6650</v>
      </c>
    </row>
    <row r="156" spans="1:7" s="3212" customFormat="1" ht="14.25" customHeight="1">
      <c r="A156" s="3223" t="s">
        <v>29</v>
      </c>
      <c r="B156" s="3223" t="s">
        <v>3077</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3078</v>
      </c>
      <c r="C160" s="3223">
        <v>11180</v>
      </c>
      <c r="D160" s="3223">
        <v>11140</v>
      </c>
      <c r="E160" s="3223">
        <v>14050</v>
      </c>
      <c r="F160" s="3223">
        <v>2270</v>
      </c>
      <c r="G160" s="3223">
        <v>7170</v>
      </c>
    </row>
    <row r="161" spans="1:7" s="3212" customFormat="1" ht="14.25" customHeight="1">
      <c r="A161" s="3223" t="s">
        <v>29</v>
      </c>
      <c r="B161" s="3223" t="s">
        <v>2994</v>
      </c>
      <c r="C161" s="3223">
        <v>11160</v>
      </c>
      <c r="D161" s="3223">
        <v>11120</v>
      </c>
      <c r="E161" s="3223">
        <v>14020</v>
      </c>
      <c r="F161" s="3223">
        <v>2150</v>
      </c>
      <c r="G161" s="3223">
        <v>7160</v>
      </c>
    </row>
    <row r="162" spans="1:7" s="3212" customFormat="1" ht="14.25" customHeight="1">
      <c r="A162" s="3223" t="s">
        <v>29</v>
      </c>
      <c r="B162" s="3223" t="s">
        <v>2999</v>
      </c>
      <c r="C162" s="3223">
        <v>9620</v>
      </c>
      <c r="D162" s="3223">
        <v>9570</v>
      </c>
      <c r="E162" s="3223">
        <v>12320</v>
      </c>
      <c r="F162" s="3223">
        <v>2010</v>
      </c>
      <c r="G162" s="3223">
        <v>6160</v>
      </c>
    </row>
    <row r="163" spans="1:7" s="3212" customFormat="1" ht="14.25" customHeight="1">
      <c r="A163" s="3223" t="s">
        <v>29</v>
      </c>
      <c r="B163" s="3223" t="s">
        <v>3004</v>
      </c>
      <c r="C163" s="3223">
        <v>9320</v>
      </c>
      <c r="D163" s="3223">
        <v>9270</v>
      </c>
      <c r="E163" s="3223">
        <v>11790</v>
      </c>
      <c r="F163" s="3223">
        <v>1920</v>
      </c>
      <c r="G163" s="3223">
        <v>5960</v>
      </c>
    </row>
    <row r="164" spans="1:7" s="3212" customFormat="1" ht="14.25" customHeight="1">
      <c r="A164" s="3223" t="s">
        <v>29</v>
      </c>
      <c r="B164" s="3223" t="s">
        <v>3009</v>
      </c>
      <c r="C164" s="3223"/>
      <c r="D164" s="3223"/>
      <c r="E164" s="3223"/>
      <c r="F164" s="3223">
        <v>1980</v>
      </c>
      <c r="G164" s="3223"/>
    </row>
    <row r="165" spans="1:7" s="3212" customFormat="1" ht="14.25" customHeight="1">
      <c r="A165" s="3223" t="s">
        <v>29</v>
      </c>
      <c r="B165" s="3223" t="s">
        <v>3079</v>
      </c>
      <c r="C165" s="3223">
        <v>11060</v>
      </c>
      <c r="D165" s="3223">
        <v>11030</v>
      </c>
      <c r="E165" s="3223">
        <v>13850</v>
      </c>
      <c r="F165" s="3223">
        <v>2170</v>
      </c>
      <c r="G165" s="3223">
        <v>7090</v>
      </c>
    </row>
    <row r="166" spans="1:7" s="3212" customFormat="1" ht="14.25" customHeight="1">
      <c r="A166" s="3223" t="s">
        <v>29</v>
      </c>
      <c r="B166" s="3223" t="s">
        <v>3019</v>
      </c>
      <c r="C166" s="3223">
        <v>11050</v>
      </c>
      <c r="D166" s="3223">
        <v>11010</v>
      </c>
      <c r="E166" s="3223">
        <v>13920</v>
      </c>
      <c r="F166" s="3223">
        <v>2140</v>
      </c>
      <c r="G166" s="3223">
        <v>7080</v>
      </c>
    </row>
    <row r="167" spans="1:7" s="3212" customFormat="1" ht="14.25" customHeight="1">
      <c r="A167" s="3223" t="s">
        <v>29</v>
      </c>
      <c r="B167" s="3223" t="s">
        <v>3023</v>
      </c>
      <c r="C167" s="3223">
        <v>10930</v>
      </c>
      <c r="D167" s="3223">
        <v>10890</v>
      </c>
      <c r="E167" s="3223">
        <v>13790</v>
      </c>
      <c r="F167" s="3223">
        <v>2010</v>
      </c>
      <c r="G167" s="3223">
        <v>7000</v>
      </c>
    </row>
    <row r="168" spans="1:7" s="3212" customFormat="1" ht="14.25" customHeight="1">
      <c r="A168" s="3223" t="s">
        <v>29</v>
      </c>
      <c r="B168" s="3223" t="s">
        <v>3028</v>
      </c>
      <c r="C168" s="3223">
        <v>9420</v>
      </c>
      <c r="D168" s="3223">
        <v>9380</v>
      </c>
      <c r="E168" s="3223">
        <v>11970</v>
      </c>
      <c r="F168" s="3223"/>
      <c r="G168" s="3223">
        <v>6040</v>
      </c>
    </row>
    <row r="169" spans="1:7" s="3212" customFormat="1" ht="14.25" customHeight="1">
      <c r="A169" s="3223" t="s">
        <v>29</v>
      </c>
      <c r="B169" s="3223" t="s">
        <v>3080</v>
      </c>
      <c r="C169" s="3223"/>
      <c r="D169" s="3223"/>
      <c r="E169" s="3223"/>
      <c r="F169" s="3223">
        <v>2880</v>
      </c>
      <c r="G169" s="3223"/>
    </row>
    <row r="170" spans="1:7" s="3212" customFormat="1" ht="14.25" customHeight="1">
      <c r="A170" s="3223" t="s">
        <v>29</v>
      </c>
      <c r="B170" s="3223" t="s">
        <v>3036</v>
      </c>
      <c r="C170" s="3223"/>
      <c r="D170" s="3223"/>
      <c r="E170" s="3223"/>
      <c r="F170" s="3223">
        <v>2880</v>
      </c>
      <c r="G170" s="3223"/>
    </row>
    <row r="171" spans="1:7" s="3212" customFormat="1" ht="14.25" customHeight="1">
      <c r="A171" s="3223" t="s">
        <v>29</v>
      </c>
      <c r="B171" s="3223" t="s">
        <v>3039</v>
      </c>
      <c r="C171" s="3223"/>
      <c r="D171" s="3223"/>
      <c r="E171" s="3223"/>
      <c r="F171" s="3223">
        <v>2880</v>
      </c>
      <c r="G171" s="3223"/>
    </row>
    <row r="172" spans="1:7" s="3212" customFormat="1" ht="14.25" customHeight="1">
      <c r="A172" s="3223" t="s">
        <v>29</v>
      </c>
      <c r="B172" s="3223" t="s">
        <v>3041</v>
      </c>
      <c r="C172" s="3223"/>
      <c r="D172" s="3223"/>
      <c r="E172" s="3223"/>
      <c r="F172" s="3223">
        <v>2880</v>
      </c>
      <c r="G172" s="3223"/>
    </row>
    <row r="173" spans="1:7" s="3212" customFormat="1" ht="14.25" customHeight="1">
      <c r="A173" s="3223" t="s">
        <v>29</v>
      </c>
      <c r="B173" s="3223" t="s">
        <v>3043</v>
      </c>
      <c r="C173" s="3223"/>
      <c r="D173" s="3223"/>
      <c r="E173" s="3223"/>
      <c r="F173" s="3223">
        <v>2150</v>
      </c>
      <c r="G173" s="3223"/>
    </row>
    <row r="174" spans="1:7" s="3212" customFormat="1" ht="14.25" customHeight="1">
      <c r="A174" s="3223" t="s">
        <v>29</v>
      </c>
      <c r="B174" s="3223" t="s">
        <v>3045</v>
      </c>
      <c r="C174" s="3223"/>
      <c r="D174" s="3223"/>
      <c r="E174" s="3223"/>
      <c r="F174" s="3223">
        <v>2030</v>
      </c>
      <c r="G174" s="3223"/>
    </row>
    <row r="175" spans="1:7" s="3212" customFormat="1" ht="14.25" customHeight="1">
      <c r="A175" s="3223" t="s">
        <v>29</v>
      </c>
      <c r="B175" s="3223" t="s">
        <v>3047</v>
      </c>
      <c r="C175" s="3223"/>
      <c r="D175" s="3223"/>
      <c r="E175" s="3223"/>
      <c r="F175" s="3223">
        <v>2780</v>
      </c>
      <c r="G175" s="3223"/>
    </row>
    <row r="176" spans="1:7" s="3212" customFormat="1" ht="14.25" customHeight="1">
      <c r="A176" s="3223" t="s">
        <v>29</v>
      </c>
      <c r="B176" s="3223" t="s">
        <v>3049</v>
      </c>
      <c r="C176" s="3223"/>
      <c r="D176" s="3223"/>
      <c r="E176" s="3223"/>
      <c r="F176" s="3223">
        <v>2780</v>
      </c>
      <c r="G176" s="3223"/>
    </row>
    <row r="177" spans="1:7" s="3212" customFormat="1" ht="14.25" customHeight="1">
      <c r="A177" s="3223" t="s">
        <v>29</v>
      </c>
      <c r="B177" s="3223" t="s">
        <v>3081</v>
      </c>
      <c r="C177" s="3223"/>
      <c r="D177" s="3223"/>
      <c r="E177" s="3223"/>
      <c r="F177" s="3223">
        <v>2780</v>
      </c>
      <c r="G177" s="3223"/>
    </row>
    <row r="178" spans="1:7" s="3212" customFormat="1" ht="14.25" customHeight="1">
      <c r="A178" s="3223" t="s">
        <v>29</v>
      </c>
      <c r="B178" s="3223" t="s">
        <v>3082</v>
      </c>
      <c r="C178" s="3223"/>
      <c r="D178" s="3223"/>
      <c r="E178" s="3223"/>
      <c r="F178" s="3223">
        <v>2060</v>
      </c>
      <c r="G178" s="3223"/>
    </row>
    <row r="179" spans="1:7" s="3212" customFormat="1" ht="14.25" customHeight="1">
      <c r="A179" s="3223" t="s">
        <v>29</v>
      </c>
      <c r="B179" s="3223" t="s">
        <v>3083</v>
      </c>
      <c r="C179" s="3223"/>
      <c r="D179" s="3223"/>
      <c r="E179" s="3223"/>
      <c r="F179" s="3223">
        <v>2120</v>
      </c>
      <c r="G179" s="3223"/>
    </row>
    <row r="180" spans="1:7" s="3212" customFormat="1" ht="14.25" customHeight="1">
      <c r="A180" s="3223" t="s">
        <v>29</v>
      </c>
      <c r="B180" s="3223" t="s">
        <v>3055</v>
      </c>
      <c r="C180" s="3223"/>
      <c r="D180" s="3223"/>
      <c r="E180" s="3223"/>
      <c r="F180" s="3223">
        <v>2340</v>
      </c>
      <c r="G180" s="3223"/>
    </row>
    <row r="181" spans="1:7" s="3212" customFormat="1" ht="14.25" customHeight="1">
      <c r="A181" s="3223" t="s">
        <v>29</v>
      </c>
      <c r="B181" s="3223" t="s">
        <v>3056</v>
      </c>
      <c r="C181" s="3223"/>
      <c r="D181" s="3223"/>
      <c r="E181" s="3223"/>
      <c r="F181" s="3223">
        <v>2340</v>
      </c>
      <c r="G181" s="3223"/>
    </row>
    <row r="182" spans="1:7" s="3212" customFormat="1" ht="14.25" customHeight="1">
      <c r="A182" s="3223" t="s">
        <v>29</v>
      </c>
      <c r="B182" s="3223" t="s">
        <v>3057</v>
      </c>
      <c r="C182" s="3223"/>
      <c r="D182" s="3223"/>
      <c r="E182" s="3223"/>
      <c r="F182" s="3223">
        <v>2340</v>
      </c>
      <c r="G182" s="3223"/>
    </row>
    <row r="183" spans="1:7" s="3212" customFormat="1" ht="14.25" customHeight="1">
      <c r="A183" s="3223" t="s">
        <v>29</v>
      </c>
      <c r="B183" s="3223" t="s">
        <v>3058</v>
      </c>
      <c r="C183" s="3223"/>
      <c r="D183" s="3223"/>
      <c r="E183" s="3223"/>
      <c r="F183" s="3223">
        <v>2340</v>
      </c>
      <c r="G183" s="3223"/>
    </row>
    <row r="184" spans="1:7" s="3212" customFormat="1" ht="14.25" customHeight="1">
      <c r="A184" s="3223" t="s">
        <v>29</v>
      </c>
      <c r="B184" s="3223" t="s">
        <v>3059</v>
      </c>
      <c r="C184" s="3223"/>
      <c r="D184" s="3223"/>
      <c r="E184" s="3223"/>
      <c r="F184" s="3223">
        <v>2340</v>
      </c>
      <c r="G184" s="3223"/>
    </row>
    <row r="185" spans="1:7" s="3212" customFormat="1" ht="14.25" customHeight="1">
      <c r="A185" s="3223" t="s">
        <v>29</v>
      </c>
      <c r="B185" s="3223" t="s">
        <v>3060</v>
      </c>
      <c r="C185" s="3223"/>
      <c r="D185" s="3223"/>
      <c r="E185" s="3223"/>
      <c r="F185" s="3223">
        <v>2530</v>
      </c>
      <c r="G185" s="3223"/>
    </row>
    <row r="186" spans="1:7" s="3212" customFormat="1" ht="14.25" customHeight="1">
      <c r="A186" s="3223" t="s">
        <v>29</v>
      </c>
      <c r="B186" s="3223" t="s">
        <v>3061</v>
      </c>
      <c r="C186" s="3223"/>
      <c r="D186" s="3223"/>
      <c r="E186" s="3223"/>
      <c r="F186" s="3223">
        <v>2550</v>
      </c>
      <c r="G186" s="3223"/>
    </row>
    <row r="187" spans="1:7" s="3212" customFormat="1" ht="14.25" customHeight="1">
      <c r="A187" s="3223" t="s">
        <v>29</v>
      </c>
      <c r="B187" s="3223" t="s">
        <v>3062</v>
      </c>
      <c r="C187" s="3223"/>
      <c r="D187" s="3223"/>
      <c r="E187" s="3223"/>
      <c r="F187" s="3223">
        <v>2070</v>
      </c>
      <c r="G187" s="3223"/>
    </row>
    <row r="188" spans="1:7" s="3212" customFormat="1" ht="14.25" customHeight="1">
      <c r="A188" s="3223" t="s">
        <v>29</v>
      </c>
      <c r="B188" s="3223" t="s">
        <v>3063</v>
      </c>
      <c r="C188" s="3223"/>
      <c r="D188" s="3223"/>
      <c r="E188" s="3223"/>
      <c r="F188" s="3223">
        <v>2340</v>
      </c>
      <c r="G188" s="3223"/>
    </row>
    <row r="189" spans="1:7" s="3212" customFormat="1" ht="14.25" customHeight="1" thickBot="1">
      <c r="A189" s="3231" t="s">
        <v>29</v>
      </c>
      <c r="B189" s="3234" t="s">
        <v>3064</v>
      </c>
      <c r="C189" s="3234"/>
      <c r="D189" s="3234"/>
      <c r="E189" s="3234"/>
      <c r="F189" s="3234">
        <v>2050</v>
      </c>
      <c r="G189" s="3234"/>
    </row>
    <row r="190" spans="1:7" s="3212" customFormat="1" ht="14.25" customHeight="1">
      <c r="A190" s="3228" t="s">
        <v>304</v>
      </c>
      <c r="B190" s="3219" t="s">
        <v>3084</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3085</v>
      </c>
      <c r="C199" s="3223">
        <v>8690</v>
      </c>
      <c r="D199" s="3223">
        <v>8630</v>
      </c>
      <c r="E199" s="3223">
        <v>11350</v>
      </c>
      <c r="F199" s="3223">
        <v>1600</v>
      </c>
      <c r="G199" s="3236">
        <v>5450</v>
      </c>
    </row>
    <row r="200" spans="1:7" s="3212" customFormat="1" ht="14.25" customHeight="1">
      <c r="A200" s="3223" t="s">
        <v>304</v>
      </c>
      <c r="B200" s="3223" t="s">
        <v>2896</v>
      </c>
      <c r="C200" s="3223"/>
      <c r="D200" s="3223"/>
      <c r="E200" s="3223"/>
      <c r="F200" s="3223">
        <v>1510</v>
      </c>
      <c r="G200" s="3236"/>
    </row>
    <row r="201" spans="1:7" s="3212" customFormat="1" ht="14.25" customHeight="1">
      <c r="A201" s="3223" t="s">
        <v>304</v>
      </c>
      <c r="B201" s="3223" t="s">
        <v>3086</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3087</v>
      </c>
      <c r="C203" s="3223">
        <v>8130</v>
      </c>
      <c r="D203" s="3223">
        <v>8070</v>
      </c>
      <c r="E203" s="3223">
        <v>10820</v>
      </c>
      <c r="F203" s="3223">
        <v>1690</v>
      </c>
      <c r="G203" s="3236">
        <v>5100</v>
      </c>
    </row>
    <row r="204" spans="1:7" s="3212" customFormat="1" ht="14.25" customHeight="1">
      <c r="A204" s="3223" t="s">
        <v>304</v>
      </c>
      <c r="B204" s="3223" t="s">
        <v>2907</v>
      </c>
      <c r="C204" s="3223">
        <v>8350</v>
      </c>
      <c r="D204" s="3223">
        <v>8290</v>
      </c>
      <c r="E204" s="3223">
        <v>11080</v>
      </c>
      <c r="F204" s="3223">
        <v>1450</v>
      </c>
      <c r="G204" s="3236">
        <v>5240</v>
      </c>
    </row>
    <row r="205" spans="1:7" s="3212" customFormat="1" ht="14.25" customHeight="1">
      <c r="A205" s="3223" t="s">
        <v>304</v>
      </c>
      <c r="B205" s="3223" t="s">
        <v>2909</v>
      </c>
      <c r="C205" s="3223">
        <v>7190</v>
      </c>
      <c r="D205" s="3223">
        <v>7130</v>
      </c>
      <c r="E205" s="3223">
        <v>9490</v>
      </c>
      <c r="F205" s="3223">
        <v>1470</v>
      </c>
      <c r="G205" s="3236">
        <v>4510</v>
      </c>
    </row>
    <row r="206" spans="1:7" s="3212" customFormat="1" ht="14.25" customHeight="1">
      <c r="A206" s="3223" t="s">
        <v>304</v>
      </c>
      <c r="B206" s="3223" t="s">
        <v>2912</v>
      </c>
      <c r="C206" s="3223">
        <v>7000</v>
      </c>
      <c r="D206" s="3223">
        <v>6950</v>
      </c>
      <c r="E206" s="3223">
        <v>9170</v>
      </c>
      <c r="F206" s="3223">
        <v>1400</v>
      </c>
      <c r="G206" s="3236">
        <v>4380</v>
      </c>
    </row>
    <row r="207" spans="1:7" s="3212" customFormat="1" ht="14.25" customHeight="1">
      <c r="A207" s="3223" t="s">
        <v>304</v>
      </c>
      <c r="B207" s="3223" t="s">
        <v>2914</v>
      </c>
      <c r="C207" s="3223">
        <v>6950</v>
      </c>
      <c r="D207" s="3223">
        <v>6900</v>
      </c>
      <c r="E207" s="3223">
        <v>9110</v>
      </c>
      <c r="F207" s="3223">
        <v>1790</v>
      </c>
      <c r="G207" s="3236">
        <v>4360</v>
      </c>
    </row>
    <row r="208" spans="1:7" s="3212" customFormat="1" ht="14.25" customHeight="1">
      <c r="A208" s="3223" t="s">
        <v>304</v>
      </c>
      <c r="B208" s="3223" t="s">
        <v>3088</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2924</v>
      </c>
      <c r="C210" s="3223">
        <v>8710</v>
      </c>
      <c r="D210" s="3223">
        <v>8660</v>
      </c>
      <c r="E210" s="3223">
        <v>11440</v>
      </c>
      <c r="F210" s="3223">
        <v>1740</v>
      </c>
      <c r="G210" s="3236">
        <v>5470</v>
      </c>
    </row>
    <row r="211" spans="1:7" s="3212" customFormat="1" ht="14.25" customHeight="1">
      <c r="A211" s="3223" t="s">
        <v>304</v>
      </c>
      <c r="B211" s="3223" t="s">
        <v>3089</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3090</v>
      </c>
      <c r="C214" s="3223">
        <v>8090</v>
      </c>
      <c r="D214" s="3223">
        <v>8030</v>
      </c>
      <c r="E214" s="3223">
        <v>10780</v>
      </c>
      <c r="F214" s="3223">
        <v>1570</v>
      </c>
      <c r="G214" s="3236">
        <v>5070</v>
      </c>
    </row>
    <row r="215" spans="1:7" s="3212" customFormat="1" ht="14.25" customHeight="1">
      <c r="A215" s="3223" t="s">
        <v>304</v>
      </c>
      <c r="B215" s="3223" t="s">
        <v>3091</v>
      </c>
      <c r="C215" s="3223">
        <v>7950</v>
      </c>
      <c r="D215" s="3223">
        <v>7900</v>
      </c>
      <c r="E215" s="3223">
        <v>10560</v>
      </c>
      <c r="F215" s="3223">
        <v>1630</v>
      </c>
      <c r="G215" s="3236">
        <v>4990</v>
      </c>
    </row>
    <row r="216" spans="1:7" s="3212" customFormat="1" ht="14.25" customHeight="1">
      <c r="A216" s="3223" t="s">
        <v>304</v>
      </c>
      <c r="B216" s="3223" t="s">
        <v>3092</v>
      </c>
      <c r="C216" s="3223">
        <v>8490</v>
      </c>
      <c r="D216" s="3223">
        <v>8440</v>
      </c>
      <c r="E216" s="3223">
        <v>11260</v>
      </c>
      <c r="F216" s="3223">
        <v>1690</v>
      </c>
      <c r="G216" s="3236">
        <v>5330</v>
      </c>
    </row>
    <row r="217" spans="1:7" s="3212" customFormat="1" ht="14.25" customHeight="1">
      <c r="A217" s="3223" t="s">
        <v>304</v>
      </c>
      <c r="B217" s="3223" t="s">
        <v>2957</v>
      </c>
      <c r="C217" s="3223">
        <v>8200</v>
      </c>
      <c r="D217" s="3223">
        <v>8150</v>
      </c>
      <c r="E217" s="3223">
        <v>10910</v>
      </c>
      <c r="F217" s="3223">
        <v>1670</v>
      </c>
      <c r="G217" s="3236">
        <v>5150</v>
      </c>
    </row>
    <row r="218" spans="1:7" s="3212" customFormat="1" ht="14.25" customHeight="1">
      <c r="A218" s="3223" t="s">
        <v>304</v>
      </c>
      <c r="B218" s="3223" t="s">
        <v>3093</v>
      </c>
      <c r="C218" s="3223"/>
      <c r="D218" s="3223"/>
      <c r="E218" s="3223"/>
      <c r="F218" s="3223">
        <v>2040</v>
      </c>
      <c r="G218" s="3236"/>
    </row>
    <row r="219" spans="1:7" s="3212" customFormat="1" ht="14.25" customHeight="1">
      <c r="A219" s="3223" t="s">
        <v>304</v>
      </c>
      <c r="B219" s="3223" t="s">
        <v>3094</v>
      </c>
      <c r="C219" s="3223"/>
      <c r="D219" s="3223"/>
      <c r="E219" s="3223"/>
      <c r="F219" s="3223">
        <v>2040</v>
      </c>
      <c r="G219" s="3236"/>
    </row>
    <row r="220" spans="1:7" s="3212" customFormat="1" ht="14.25" customHeight="1">
      <c r="A220" s="3223" t="s">
        <v>304</v>
      </c>
      <c r="B220" s="3223" t="s">
        <v>3095</v>
      </c>
      <c r="C220" s="3223"/>
      <c r="D220" s="3223"/>
      <c r="E220" s="3223"/>
      <c r="F220" s="3223">
        <v>2040</v>
      </c>
      <c r="G220" s="3236"/>
    </row>
    <row r="221" spans="1:7" s="3212" customFormat="1" ht="14.25" customHeight="1">
      <c r="A221" s="3223" t="s">
        <v>304</v>
      </c>
      <c r="B221" s="3223" t="s">
        <v>3096</v>
      </c>
      <c r="C221" s="3223"/>
      <c r="D221" s="3223"/>
      <c r="E221" s="3223"/>
      <c r="F221" s="3223">
        <v>2040</v>
      </c>
      <c r="G221" s="3236"/>
    </row>
    <row r="222" spans="1:7" s="3212" customFormat="1" ht="14.25" customHeight="1">
      <c r="A222" s="3223" t="s">
        <v>304</v>
      </c>
      <c r="B222" s="3223" t="s">
        <v>3097</v>
      </c>
      <c r="C222" s="3223"/>
      <c r="D222" s="3223"/>
      <c r="E222" s="3223"/>
      <c r="F222" s="3223">
        <v>2040</v>
      </c>
      <c r="G222" s="3236"/>
    </row>
    <row r="223" spans="1:7" s="3212" customFormat="1" ht="14.25" customHeight="1">
      <c r="A223" s="3223" t="s">
        <v>304</v>
      </c>
      <c r="B223" s="3223" t="s">
        <v>3098</v>
      </c>
      <c r="C223" s="3223"/>
      <c r="D223" s="3223"/>
      <c r="E223" s="3223"/>
      <c r="F223" s="3223">
        <v>1930</v>
      </c>
      <c r="G223" s="3236"/>
    </row>
    <row r="224" spans="1:7" s="3212" customFormat="1" ht="14.25" customHeight="1">
      <c r="A224" s="3223" t="s">
        <v>304</v>
      </c>
      <c r="B224" s="3223" t="s">
        <v>3099</v>
      </c>
      <c r="C224" s="3223"/>
      <c r="D224" s="3223"/>
      <c r="E224" s="3223"/>
      <c r="F224" s="3223">
        <v>1930</v>
      </c>
      <c r="G224" s="3236"/>
    </row>
    <row r="225" spans="1:7" s="3212" customFormat="1" ht="14.25" customHeight="1">
      <c r="A225" s="3223" t="s">
        <v>304</v>
      </c>
      <c r="B225" s="3223" t="s">
        <v>3100</v>
      </c>
      <c r="C225" s="3223"/>
      <c r="D225" s="3223"/>
      <c r="E225" s="3223"/>
      <c r="F225" s="3223">
        <v>1930</v>
      </c>
      <c r="G225" s="3236"/>
    </row>
    <row r="226" spans="1:7" s="3212" customFormat="1" ht="14.25" customHeight="1">
      <c r="A226" s="3223" t="s">
        <v>304</v>
      </c>
      <c r="B226" s="3223" t="s">
        <v>3101</v>
      </c>
      <c r="C226" s="3223"/>
      <c r="D226" s="3223"/>
      <c r="E226" s="3223"/>
      <c r="F226" s="3223">
        <v>1700</v>
      </c>
      <c r="G226" s="3236"/>
    </row>
    <row r="227" spans="1:7" s="3212" customFormat="1" ht="14.25" customHeight="1">
      <c r="A227" s="3223" t="s">
        <v>304</v>
      </c>
      <c r="B227" s="3223" t="s">
        <v>3102</v>
      </c>
      <c r="C227" s="3223"/>
      <c r="D227" s="3223"/>
      <c r="E227" s="3223"/>
      <c r="F227" s="3223">
        <v>1520</v>
      </c>
      <c r="G227" s="3236"/>
    </row>
    <row r="228" spans="1:7" s="3212" customFormat="1" ht="14.25" customHeight="1">
      <c r="A228" s="3223" t="s">
        <v>304</v>
      </c>
      <c r="B228" s="3223" t="s">
        <v>3103</v>
      </c>
      <c r="C228" s="3223"/>
      <c r="D228" s="3223"/>
      <c r="E228" s="3223"/>
      <c r="F228" s="3223">
        <v>1520</v>
      </c>
      <c r="G228" s="3236"/>
    </row>
    <row r="229" spans="1:7" s="3212" customFormat="1" ht="14.25" customHeight="1">
      <c r="A229" s="3223" t="s">
        <v>304</v>
      </c>
      <c r="B229" s="3223" t="s">
        <v>3020</v>
      </c>
      <c r="C229" s="3223"/>
      <c r="D229" s="3223"/>
      <c r="E229" s="3223"/>
      <c r="F229" s="3223">
        <v>1520</v>
      </c>
      <c r="G229" s="3236"/>
    </row>
    <row r="230" spans="1:7" s="3212" customFormat="1" ht="14.25" customHeight="1">
      <c r="A230" s="3223" t="s">
        <v>304</v>
      </c>
      <c r="B230" s="3223" t="s">
        <v>3104</v>
      </c>
      <c r="C230" s="3223"/>
      <c r="D230" s="3223"/>
      <c r="E230" s="3223"/>
      <c r="F230" s="3223">
        <v>1820</v>
      </c>
      <c r="G230" s="3236"/>
    </row>
    <row r="231" spans="1:7" s="3212" customFormat="1" ht="14.25" customHeight="1">
      <c r="A231" s="3223" t="s">
        <v>304</v>
      </c>
      <c r="B231" s="3223" t="s">
        <v>3105</v>
      </c>
      <c r="C231" s="3223"/>
      <c r="D231" s="3223"/>
      <c r="E231" s="3223"/>
      <c r="F231" s="3223">
        <v>1760</v>
      </c>
      <c r="G231" s="3236"/>
    </row>
    <row r="232" spans="1:7" s="3212" customFormat="1" ht="14.25" customHeight="1">
      <c r="A232" s="3223" t="s">
        <v>304</v>
      </c>
      <c r="B232" s="3223" t="s">
        <v>3106</v>
      </c>
      <c r="C232" s="3223"/>
      <c r="D232" s="3223"/>
      <c r="E232" s="3223"/>
      <c r="F232" s="3223">
        <v>1840</v>
      </c>
      <c r="G232" s="3236"/>
    </row>
    <row r="233" spans="1:7" s="3212" customFormat="1" ht="14.25" customHeight="1" thickBot="1">
      <c r="A233" s="3237" t="s">
        <v>304</v>
      </c>
      <c r="B233" s="3230" t="s">
        <v>3037</v>
      </c>
      <c r="C233" s="3230"/>
      <c r="D233" s="3230"/>
      <c r="E233" s="3230"/>
      <c r="F233" s="3230">
        <v>1770</v>
      </c>
      <c r="G233" s="3238"/>
    </row>
    <row r="234" spans="1:7" s="3212" customFormat="1" ht="14.25" customHeight="1">
      <c r="A234" s="3228" t="s">
        <v>305</v>
      </c>
      <c r="B234" s="3219" t="s">
        <v>3107</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2878</v>
      </c>
      <c r="C238" s="3223">
        <v>6920</v>
      </c>
      <c r="D238" s="3223">
        <v>6890</v>
      </c>
      <c r="E238" s="3223">
        <v>8640</v>
      </c>
      <c r="F238" s="3223">
        <v>1310</v>
      </c>
      <c r="G238" s="3223">
        <v>4230</v>
      </c>
    </row>
    <row r="239" spans="1:7" s="3212" customFormat="1" ht="14.25" customHeight="1">
      <c r="A239" s="3223" t="s">
        <v>305</v>
      </c>
      <c r="B239" s="3223" t="s">
        <v>3108</v>
      </c>
      <c r="C239" s="3223">
        <v>6780</v>
      </c>
      <c r="D239" s="3223">
        <v>6750</v>
      </c>
      <c r="E239" s="3223">
        <v>8440</v>
      </c>
      <c r="F239" s="3223">
        <v>1160</v>
      </c>
      <c r="G239" s="3223">
        <v>4140</v>
      </c>
    </row>
    <row r="240" spans="1:7" s="3212" customFormat="1" ht="14.25" customHeight="1">
      <c r="A240" s="3223" t="s">
        <v>305</v>
      </c>
      <c r="B240" s="3223" t="s">
        <v>3109</v>
      </c>
      <c r="C240" s="3223">
        <v>5420</v>
      </c>
      <c r="D240" s="3223">
        <v>5380</v>
      </c>
      <c r="E240" s="3223">
        <v>6640</v>
      </c>
      <c r="F240" s="3223">
        <v>1020</v>
      </c>
      <c r="G240" s="3223">
        <v>3300</v>
      </c>
    </row>
    <row r="241" spans="1:7" s="3212" customFormat="1" ht="14.25" customHeight="1">
      <c r="A241" s="3223" t="s">
        <v>305</v>
      </c>
      <c r="B241" s="3223" t="s">
        <v>3110</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3111</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3112</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3113</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3114</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3115</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2940</v>
      </c>
      <c r="C258" s="3223">
        <v>6190</v>
      </c>
      <c r="D258" s="3223">
        <v>6160</v>
      </c>
      <c r="E258" s="3223">
        <v>7680</v>
      </c>
      <c r="F258" s="3223">
        <v>1170</v>
      </c>
      <c r="G258" s="3223">
        <v>3780</v>
      </c>
    </row>
    <row r="259" spans="1:7" s="3212" customFormat="1" ht="14.25" customHeight="1">
      <c r="A259" s="3223" t="s">
        <v>305</v>
      </c>
      <c r="B259" s="3223" t="s">
        <v>3116</v>
      </c>
      <c r="C259" s="3223">
        <v>7610</v>
      </c>
      <c r="D259" s="3223">
        <v>7570</v>
      </c>
      <c r="E259" s="3223">
        <v>9350</v>
      </c>
      <c r="F259" s="3223">
        <v>1350</v>
      </c>
      <c r="G259" s="3223">
        <v>4650</v>
      </c>
    </row>
    <row r="260" spans="1:7" s="3212" customFormat="1" ht="14.25" customHeight="1">
      <c r="A260" s="3223" t="s">
        <v>305</v>
      </c>
      <c r="B260" s="3223" t="s">
        <v>3117</v>
      </c>
      <c r="C260" s="3223">
        <v>6920</v>
      </c>
      <c r="D260" s="3223">
        <v>6880</v>
      </c>
      <c r="E260" s="3223">
        <v>8380</v>
      </c>
      <c r="F260" s="3223">
        <v>1160</v>
      </c>
      <c r="G260" s="3223">
        <v>4220</v>
      </c>
    </row>
    <row r="261" spans="1:7" s="3212" customFormat="1" ht="14.25" customHeight="1">
      <c r="A261" s="3223" t="s">
        <v>305</v>
      </c>
      <c r="B261" s="3223" t="s">
        <v>3118</v>
      </c>
      <c r="C261" s="3223">
        <v>6850</v>
      </c>
      <c r="D261" s="3223">
        <v>6810</v>
      </c>
      <c r="E261" s="3223">
        <v>8290</v>
      </c>
      <c r="F261" s="3223">
        <v>1130</v>
      </c>
      <c r="G261" s="3223">
        <v>4180</v>
      </c>
    </row>
    <row r="262" spans="1:7" s="3212" customFormat="1" ht="14.25" customHeight="1">
      <c r="A262" s="3223" t="s">
        <v>305</v>
      </c>
      <c r="B262" s="3223" t="s">
        <v>3119</v>
      </c>
      <c r="C262" s="3223">
        <v>5860</v>
      </c>
      <c r="D262" s="3223">
        <v>5820</v>
      </c>
      <c r="E262" s="3223">
        <v>7640</v>
      </c>
      <c r="F262" s="3223">
        <v>1070</v>
      </c>
      <c r="G262" s="3223">
        <v>3570</v>
      </c>
    </row>
    <row r="263" spans="1:7" s="3212" customFormat="1" ht="14.25" customHeight="1">
      <c r="A263" s="3223" t="s">
        <v>305</v>
      </c>
      <c r="B263" s="3223" t="s">
        <v>3120</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3121</v>
      </c>
      <c r="C265" s="3223"/>
      <c r="D265" s="3223"/>
      <c r="E265" s="3223"/>
      <c r="F265" s="3223">
        <v>1500</v>
      </c>
      <c r="G265" s="3223"/>
    </row>
    <row r="266" spans="1:7" s="3212" customFormat="1" ht="14.25" customHeight="1">
      <c r="A266" s="3223" t="s">
        <v>305</v>
      </c>
      <c r="B266" s="3223" t="s">
        <v>3122</v>
      </c>
      <c r="C266" s="3223"/>
      <c r="D266" s="3223"/>
      <c r="E266" s="3223"/>
      <c r="F266" s="3223">
        <v>1500</v>
      </c>
      <c r="G266" s="3223"/>
    </row>
    <row r="267" spans="1:7" s="3212" customFormat="1" ht="14.25" customHeight="1">
      <c r="A267" s="3223" t="s">
        <v>305</v>
      </c>
      <c r="B267" s="3223" t="s">
        <v>3123</v>
      </c>
      <c r="C267" s="3223"/>
      <c r="D267" s="3223"/>
      <c r="E267" s="3223"/>
      <c r="F267" s="3223">
        <v>1500</v>
      </c>
      <c r="G267" s="3223"/>
    </row>
    <row r="268" spans="1:7" s="3212" customFormat="1" ht="14.25" customHeight="1">
      <c r="A268" s="3223" t="s">
        <v>305</v>
      </c>
      <c r="B268" s="3223" t="s">
        <v>3124</v>
      </c>
      <c r="C268" s="3223"/>
      <c r="D268" s="3223"/>
      <c r="E268" s="3223"/>
      <c r="F268" s="3223">
        <v>1290</v>
      </c>
      <c r="G268" s="3223"/>
    </row>
    <row r="269" spans="1:7" s="3212" customFormat="1" ht="14.25" customHeight="1">
      <c r="A269" s="3223" t="s">
        <v>305</v>
      </c>
      <c r="B269" s="3223" t="s">
        <v>3125</v>
      </c>
      <c r="C269" s="3223"/>
      <c r="D269" s="3223"/>
      <c r="E269" s="3223"/>
      <c r="F269" s="3223">
        <v>1150</v>
      </c>
      <c r="G269" s="3223"/>
    </row>
    <row r="270" spans="1:7" s="3212" customFormat="1" ht="14.25" customHeight="1">
      <c r="A270" s="3223" t="s">
        <v>305</v>
      </c>
      <c r="B270" s="3223" t="s">
        <v>3126</v>
      </c>
      <c r="C270" s="3223"/>
      <c r="D270" s="3223"/>
      <c r="E270" s="3223"/>
      <c r="F270" s="3223">
        <v>1380</v>
      </c>
      <c r="G270" s="3223"/>
    </row>
    <row r="271" spans="1:7" s="3212" customFormat="1" ht="14.25" customHeight="1">
      <c r="A271" s="3223" t="s">
        <v>305</v>
      </c>
      <c r="B271" s="3223" t="s">
        <v>3127</v>
      </c>
      <c r="C271" s="3223"/>
      <c r="D271" s="3223"/>
      <c r="E271" s="3223"/>
      <c r="F271" s="3223">
        <v>1460</v>
      </c>
      <c r="G271" s="3223"/>
    </row>
    <row r="272" spans="1:7" s="3212" customFormat="1" ht="14.25" customHeight="1">
      <c r="A272" s="3223" t="s">
        <v>305</v>
      </c>
      <c r="B272" s="3223" t="s">
        <v>3128</v>
      </c>
      <c r="C272" s="3223"/>
      <c r="D272" s="3223"/>
      <c r="E272" s="3223"/>
      <c r="F272" s="3223">
        <v>1460</v>
      </c>
      <c r="G272" s="3223"/>
    </row>
    <row r="273" spans="1:7" s="3212" customFormat="1" ht="14.25" customHeight="1">
      <c r="A273" s="3223" t="s">
        <v>305</v>
      </c>
      <c r="B273" s="3223" t="s">
        <v>3021</v>
      </c>
      <c r="C273" s="3223"/>
      <c r="D273" s="3223"/>
      <c r="E273" s="3223"/>
      <c r="F273" s="3223">
        <v>1490</v>
      </c>
      <c r="G273" s="3223"/>
    </row>
    <row r="274" spans="1:7" s="3212" customFormat="1" ht="14.25" customHeight="1">
      <c r="A274" s="3223" t="s">
        <v>305</v>
      </c>
      <c r="B274" s="3223" t="s">
        <v>3129</v>
      </c>
      <c r="C274" s="3223"/>
      <c r="D274" s="3223"/>
      <c r="E274" s="3223"/>
      <c r="F274" s="3223">
        <v>1490</v>
      </c>
      <c r="G274" s="3223"/>
    </row>
    <row r="275" spans="1:7" s="3212" customFormat="1" ht="14.25" customHeight="1">
      <c r="A275" s="3223" t="s">
        <v>305</v>
      </c>
      <c r="B275" s="3223" t="s">
        <v>3130</v>
      </c>
      <c r="C275" s="3223"/>
      <c r="D275" s="3223"/>
      <c r="E275" s="3223"/>
      <c r="F275" s="3223">
        <v>1220</v>
      </c>
      <c r="G275" s="3223"/>
    </row>
    <row r="276" spans="1:7" s="3212" customFormat="1" ht="14.25" customHeight="1" thickBot="1">
      <c r="A276" s="3231" t="s">
        <v>305</v>
      </c>
      <c r="B276" s="3233" t="s">
        <v>3131</v>
      </c>
      <c r="C276" s="3234"/>
      <c r="D276" s="3234"/>
      <c r="E276" s="3234"/>
      <c r="F276" s="3234">
        <v>1380</v>
      </c>
      <c r="G276" s="3234"/>
    </row>
    <row r="277" spans="1:7" s="3212" customFormat="1" ht="14.25" customHeight="1">
      <c r="A277" s="3228" t="s">
        <v>306</v>
      </c>
      <c r="B277" s="3219" t="s">
        <v>3132</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3133</v>
      </c>
      <c r="C279" s="3223">
        <v>4760</v>
      </c>
      <c r="D279" s="3223">
        <v>4720</v>
      </c>
      <c r="E279" s="3223">
        <v>5540</v>
      </c>
      <c r="F279" s="3223">
        <v>810</v>
      </c>
      <c r="G279" s="3236">
        <v>2850</v>
      </c>
    </row>
    <row r="280" spans="1:7" s="3212" customFormat="1" ht="14.25" customHeight="1">
      <c r="A280" s="3223" t="s">
        <v>306</v>
      </c>
      <c r="B280" s="3223" t="s">
        <v>3134</v>
      </c>
      <c r="C280" s="3223">
        <v>4010</v>
      </c>
      <c r="D280" s="3223">
        <v>3950</v>
      </c>
      <c r="E280" s="3223">
        <v>4710</v>
      </c>
      <c r="F280" s="3223">
        <v>800</v>
      </c>
      <c r="G280" s="3236">
        <v>2390</v>
      </c>
    </row>
    <row r="281" spans="1:7" s="3212" customFormat="1" ht="14.25" customHeight="1">
      <c r="A281" s="3223" t="s">
        <v>306</v>
      </c>
      <c r="B281" s="3223" t="s">
        <v>3135</v>
      </c>
      <c r="C281" s="3223">
        <v>4480</v>
      </c>
      <c r="D281" s="3223">
        <v>4420</v>
      </c>
      <c r="E281" s="3223">
        <v>5230</v>
      </c>
      <c r="F281" s="3223">
        <v>870</v>
      </c>
      <c r="G281" s="3236">
        <v>2660</v>
      </c>
    </row>
    <row r="282" spans="1:7" s="3212" customFormat="1" ht="14.25" customHeight="1">
      <c r="A282" s="3223" t="s">
        <v>306</v>
      </c>
      <c r="B282" s="3223" t="s">
        <v>3136</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3137</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3138</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2913</v>
      </c>
      <c r="C293" s="3223">
        <v>5320</v>
      </c>
      <c r="D293" s="3223">
        <v>5270</v>
      </c>
      <c r="E293" s="3223">
        <v>6160</v>
      </c>
      <c r="F293" s="3223">
        <v>990</v>
      </c>
      <c r="G293" s="3236">
        <v>3170</v>
      </c>
    </row>
    <row r="294" spans="1:7" s="3212" customFormat="1" ht="14.25" customHeight="1">
      <c r="A294" s="3223" t="s">
        <v>306</v>
      </c>
      <c r="B294" s="3223" t="s">
        <v>3139</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2932</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3140</v>
      </c>
      <c r="C302" s="3223">
        <v>5520</v>
      </c>
      <c r="D302" s="3223">
        <v>5470</v>
      </c>
      <c r="E302" s="3223">
        <v>6410</v>
      </c>
      <c r="F302" s="3223">
        <v>950</v>
      </c>
      <c r="G302" s="3236">
        <v>3300</v>
      </c>
    </row>
    <row r="303" spans="1:7" s="3212" customFormat="1" ht="14.25" customHeight="1">
      <c r="A303" s="3223" t="s">
        <v>306</v>
      </c>
      <c r="B303" s="3223" t="s">
        <v>2952</v>
      </c>
      <c r="C303" s="3223">
        <v>5630</v>
      </c>
      <c r="D303" s="3223">
        <v>5590</v>
      </c>
      <c r="E303" s="3223">
        <v>6550</v>
      </c>
      <c r="F303" s="3223">
        <v>1010</v>
      </c>
      <c r="G303" s="3236">
        <v>3370</v>
      </c>
    </row>
    <row r="304" spans="1:7" s="3212" customFormat="1" ht="14.25" customHeight="1">
      <c r="A304" s="3223" t="s">
        <v>306</v>
      </c>
      <c r="B304" s="3223" t="s">
        <v>2959</v>
      </c>
      <c r="C304" s="3223">
        <v>5680</v>
      </c>
      <c r="D304" s="3223">
        <v>5620</v>
      </c>
      <c r="E304" s="3223">
        <v>6620</v>
      </c>
      <c r="F304" s="3223">
        <v>1050</v>
      </c>
      <c r="G304" s="3236">
        <v>3390</v>
      </c>
    </row>
    <row r="305" spans="1:7" s="3212" customFormat="1" ht="14.25" customHeight="1">
      <c r="A305" s="3223" t="s">
        <v>306</v>
      </c>
      <c r="B305" s="3223" t="s">
        <v>2965</v>
      </c>
      <c r="C305" s="3223">
        <v>5590</v>
      </c>
      <c r="D305" s="3223">
        <v>5530</v>
      </c>
      <c r="E305" s="3223">
        <v>6460</v>
      </c>
      <c r="F305" s="3223">
        <v>900</v>
      </c>
      <c r="G305" s="3236">
        <v>3340</v>
      </c>
    </row>
    <row r="306" spans="1:7" s="3212" customFormat="1" ht="14.25" customHeight="1">
      <c r="A306" s="3223" t="s">
        <v>306</v>
      </c>
      <c r="B306" s="3223" t="s">
        <v>3141</v>
      </c>
      <c r="C306" s="3223">
        <v>5560</v>
      </c>
      <c r="D306" s="3223">
        <v>5510</v>
      </c>
      <c r="E306" s="3223">
        <v>6440</v>
      </c>
      <c r="F306" s="3223">
        <v>900</v>
      </c>
      <c r="G306" s="3236">
        <v>3320</v>
      </c>
    </row>
    <row r="307" spans="1:7" s="3212" customFormat="1" ht="14.25" customHeight="1">
      <c r="A307" s="3223" t="s">
        <v>306</v>
      </c>
      <c r="B307" s="3223" t="s">
        <v>2977</v>
      </c>
      <c r="C307" s="3223">
        <v>5650</v>
      </c>
      <c r="D307" s="3223">
        <v>5600</v>
      </c>
      <c r="E307" s="3223">
        <v>6590</v>
      </c>
      <c r="F307" s="3223">
        <v>930</v>
      </c>
      <c r="G307" s="3236">
        <v>3380</v>
      </c>
    </row>
    <row r="308" spans="1:7" s="3212" customFormat="1" ht="14.25" customHeight="1">
      <c r="A308" s="3223" t="s">
        <v>306</v>
      </c>
      <c r="B308" s="3223" t="s">
        <v>3142</v>
      </c>
      <c r="C308" s="3223">
        <v>5620</v>
      </c>
      <c r="D308" s="3223">
        <v>5580</v>
      </c>
      <c r="E308" s="3223">
        <v>6540</v>
      </c>
      <c r="F308" s="3223">
        <v>910</v>
      </c>
      <c r="G308" s="3236">
        <v>3370</v>
      </c>
    </row>
    <row r="309" spans="1:7" s="3212" customFormat="1" ht="14.25" customHeight="1">
      <c r="A309" s="3223" t="s">
        <v>306</v>
      </c>
      <c r="B309" s="3223" t="s">
        <v>3143</v>
      </c>
      <c r="C309" s="3223">
        <v>5060</v>
      </c>
      <c r="D309" s="3223">
        <v>5020</v>
      </c>
      <c r="E309" s="3223">
        <v>6370</v>
      </c>
      <c r="F309" s="3223">
        <v>800</v>
      </c>
      <c r="G309" s="3236">
        <v>3020</v>
      </c>
    </row>
    <row r="310" spans="1:7" s="3212" customFormat="1" ht="14.25" customHeight="1">
      <c r="A310" s="3223" t="s">
        <v>306</v>
      </c>
      <c r="B310" s="3223" t="s">
        <v>2992</v>
      </c>
      <c r="C310" s="3223">
        <v>5150</v>
      </c>
      <c r="D310" s="3223">
        <v>5110</v>
      </c>
      <c r="E310" s="3223">
        <v>6500</v>
      </c>
      <c r="F310" s="3223">
        <v>880</v>
      </c>
      <c r="G310" s="3236">
        <v>3080</v>
      </c>
    </row>
    <row r="311" spans="1:7" s="3212" customFormat="1" ht="14.25" customHeight="1">
      <c r="A311" s="3223" t="s">
        <v>306</v>
      </c>
      <c r="B311" s="3223" t="s">
        <v>3144</v>
      </c>
      <c r="C311" s="3223">
        <v>4750</v>
      </c>
      <c r="D311" s="3223">
        <v>4710</v>
      </c>
      <c r="E311" s="3223">
        <v>5510</v>
      </c>
      <c r="F311" s="3223">
        <v>880</v>
      </c>
      <c r="G311" s="3236">
        <v>2840</v>
      </c>
    </row>
    <row r="312" spans="1:7" s="3212" customFormat="1" ht="14.25" customHeight="1">
      <c r="A312" s="3223" t="s">
        <v>306</v>
      </c>
      <c r="B312" s="3223" t="s">
        <v>3002</v>
      </c>
      <c r="C312" s="3223">
        <v>4690</v>
      </c>
      <c r="D312" s="3223">
        <v>4640</v>
      </c>
      <c r="E312" s="3223">
        <v>5420</v>
      </c>
      <c r="F312" s="3223">
        <v>800</v>
      </c>
      <c r="G312" s="3236">
        <v>2800</v>
      </c>
    </row>
    <row r="313" spans="1:7" s="3212" customFormat="1" ht="14.25" customHeight="1">
      <c r="A313" s="3223" t="s">
        <v>306</v>
      </c>
      <c r="B313" s="3223" t="s">
        <v>3007</v>
      </c>
      <c r="C313" s="3223">
        <v>4810</v>
      </c>
      <c r="D313" s="3223">
        <v>4760</v>
      </c>
      <c r="E313" s="3223">
        <v>5550</v>
      </c>
      <c r="F313" s="3223">
        <v>920</v>
      </c>
      <c r="G313" s="3236">
        <v>2870</v>
      </c>
    </row>
    <row r="314" spans="1:7" s="3212" customFormat="1" ht="14.25" customHeight="1">
      <c r="A314" s="3223" t="s">
        <v>306</v>
      </c>
      <c r="B314" s="3223" t="s">
        <v>3145</v>
      </c>
      <c r="C314" s="3223"/>
      <c r="D314" s="3223"/>
      <c r="E314" s="3223"/>
      <c r="F314" s="3223">
        <v>1020</v>
      </c>
      <c r="G314" s="3236"/>
    </row>
    <row r="315" spans="1:7" s="3212" customFormat="1" ht="14.25" customHeight="1">
      <c r="A315" s="3223" t="s">
        <v>306</v>
      </c>
      <c r="B315" s="3223" t="s">
        <v>3146</v>
      </c>
      <c r="C315" s="3223"/>
      <c r="D315" s="3223"/>
      <c r="E315" s="3223"/>
      <c r="F315" s="3223">
        <v>1050</v>
      </c>
      <c r="G315" s="3236"/>
    </row>
    <row r="316" spans="1:7" s="3212" customFormat="1" ht="14.25" customHeight="1">
      <c r="A316" s="3223" t="s">
        <v>306</v>
      </c>
      <c r="B316" s="3223" t="s">
        <v>3022</v>
      </c>
      <c r="C316" s="3223"/>
      <c r="D316" s="3223"/>
      <c r="E316" s="3223"/>
      <c r="F316" s="3223">
        <v>900</v>
      </c>
      <c r="G316" s="3236"/>
    </row>
    <row r="317" spans="1:7" s="3212" customFormat="1" ht="14.25" customHeight="1">
      <c r="A317" s="3223" t="s">
        <v>306</v>
      </c>
      <c r="B317" s="3223" t="s">
        <v>3147</v>
      </c>
      <c r="C317" s="3223"/>
      <c r="D317" s="3223"/>
      <c r="E317" s="3223"/>
      <c r="F317" s="3223">
        <v>920</v>
      </c>
      <c r="G317" s="3236"/>
    </row>
    <row r="318" spans="1:7" s="3212" customFormat="1" ht="14.25" customHeight="1">
      <c r="A318" s="3223" t="s">
        <v>306</v>
      </c>
      <c r="B318" s="3223" t="s">
        <v>3148</v>
      </c>
      <c r="C318" s="3223"/>
      <c r="D318" s="3223"/>
      <c r="E318" s="3223"/>
      <c r="F318" s="3223">
        <v>1080</v>
      </c>
      <c r="G318" s="3236"/>
    </row>
    <row r="319" spans="1:7" s="3212" customFormat="1" ht="14.25" customHeight="1">
      <c r="A319" s="3223" t="s">
        <v>306</v>
      </c>
      <c r="B319" s="3223" t="s">
        <v>3035</v>
      </c>
      <c r="C319" s="3223"/>
      <c r="D319" s="3223"/>
      <c r="E319" s="3223"/>
      <c r="F319" s="3223">
        <v>1020</v>
      </c>
      <c r="G319" s="3236"/>
    </row>
    <row r="320" spans="1:7" s="3212" customFormat="1" ht="14.25" customHeight="1">
      <c r="A320" s="3223" t="s">
        <v>306</v>
      </c>
      <c r="B320" s="3223" t="s">
        <v>3038</v>
      </c>
      <c r="C320" s="3223"/>
      <c r="D320" s="3223"/>
      <c r="E320" s="3223"/>
      <c r="F320" s="3223">
        <v>1050</v>
      </c>
      <c r="G320" s="3236"/>
    </row>
    <row r="321" spans="1:7" s="3212" customFormat="1" ht="14.25" customHeight="1">
      <c r="A321" s="3223" t="s">
        <v>306</v>
      </c>
      <c r="B321" s="3223" t="s">
        <v>3040</v>
      </c>
      <c r="C321" s="3223"/>
      <c r="D321" s="3223"/>
      <c r="E321" s="3223"/>
      <c r="F321" s="3223">
        <v>960</v>
      </c>
      <c r="G321" s="3236"/>
    </row>
    <row r="322" spans="1:7" s="3212" customFormat="1" ht="14.25" customHeight="1">
      <c r="A322" s="3223" t="s">
        <v>306</v>
      </c>
      <c r="B322" s="3223" t="s">
        <v>3042</v>
      </c>
      <c r="C322" s="3223"/>
      <c r="D322" s="3223"/>
      <c r="E322" s="3223"/>
      <c r="F322" s="3223">
        <v>960</v>
      </c>
      <c r="G322" s="3236"/>
    </row>
    <row r="323" spans="1:7" s="3212" customFormat="1" ht="14.25" customHeight="1">
      <c r="A323" s="3223" t="s">
        <v>306</v>
      </c>
      <c r="B323" s="3223" t="s">
        <v>3044</v>
      </c>
      <c r="C323" s="3223"/>
      <c r="D323" s="3223"/>
      <c r="E323" s="3223"/>
      <c r="F323" s="3223">
        <v>880</v>
      </c>
      <c r="G323" s="3236"/>
    </row>
    <row r="324" spans="1:7" s="3212" customFormat="1" ht="14.25" customHeight="1">
      <c r="A324" s="3223" t="s">
        <v>306</v>
      </c>
      <c r="B324" s="3223" t="s">
        <v>3046</v>
      </c>
      <c r="C324" s="3223"/>
      <c r="D324" s="3223"/>
      <c r="E324" s="3223"/>
      <c r="F324" s="3223">
        <v>930</v>
      </c>
      <c r="G324" s="3236"/>
    </row>
    <row r="325" spans="1:7" s="3212" customFormat="1" ht="14.25" customHeight="1">
      <c r="A325" s="3223" t="s">
        <v>306</v>
      </c>
      <c r="B325" s="3224" t="s">
        <v>3048</v>
      </c>
      <c r="C325" s="3223"/>
      <c r="D325" s="3223"/>
      <c r="E325" s="3223"/>
      <c r="F325" s="3223">
        <v>900</v>
      </c>
      <c r="G325" s="3236"/>
    </row>
    <row r="326" spans="1:7" s="3212" customFormat="1" ht="14.25" customHeight="1" thickBot="1">
      <c r="A326" s="3237" t="s">
        <v>306</v>
      </c>
      <c r="B326" s="3230" t="s">
        <v>3050</v>
      </c>
      <c r="C326" s="3230"/>
      <c r="D326" s="3230"/>
      <c r="E326" s="3230"/>
      <c r="F326" s="3230">
        <v>790</v>
      </c>
      <c r="G326" s="3238"/>
    </row>
    <row r="327" spans="1:7" s="3212" customFormat="1" ht="14.25" customHeight="1">
      <c r="A327" s="3228" t="s">
        <v>307</v>
      </c>
      <c r="B327" s="3219" t="s">
        <v>3149</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3150</v>
      </c>
      <c r="C329" s="3223">
        <v>2730</v>
      </c>
      <c r="D329" s="3223">
        <v>2690</v>
      </c>
      <c r="E329" s="3223">
        <v>3100</v>
      </c>
      <c r="F329" s="3223">
        <v>660</v>
      </c>
      <c r="G329" s="3223">
        <v>1610</v>
      </c>
    </row>
    <row r="330" spans="1:7" s="3212" customFormat="1" ht="14.25" customHeight="1">
      <c r="A330" s="3223" t="s">
        <v>307</v>
      </c>
      <c r="B330" s="3223" t="s">
        <v>3151</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2884</v>
      </c>
      <c r="C332" s="3223">
        <v>3520</v>
      </c>
      <c r="D332" s="3223">
        <v>3480</v>
      </c>
      <c r="E332" s="3223">
        <v>3830</v>
      </c>
      <c r="F332" s="3223">
        <v>720</v>
      </c>
      <c r="G332" s="3223">
        <v>2090</v>
      </c>
    </row>
    <row r="333" spans="1:7" s="3212" customFormat="1" ht="14.25" customHeight="1">
      <c r="A333" s="3223" t="s">
        <v>307</v>
      </c>
      <c r="B333" s="3223" t="s">
        <v>3152</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2894</v>
      </c>
      <c r="C336" s="3223">
        <v>3570</v>
      </c>
      <c r="D336" s="3223">
        <v>3530</v>
      </c>
      <c r="E336" s="3223">
        <v>3880</v>
      </c>
      <c r="F336" s="3223">
        <v>770</v>
      </c>
      <c r="G336" s="3223">
        <v>2110</v>
      </c>
    </row>
    <row r="337" spans="1:10" s="3212" customFormat="1" ht="14.25" customHeight="1">
      <c r="A337" s="3223" t="s">
        <v>307</v>
      </c>
      <c r="B337" s="3223" t="s">
        <v>3153</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3154</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3155</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2919</v>
      </c>
      <c r="C345" s="3223">
        <v>3190</v>
      </c>
      <c r="D345" s="3223">
        <v>3140</v>
      </c>
      <c r="E345" s="3223">
        <v>3450</v>
      </c>
      <c r="F345" s="3223">
        <v>720</v>
      </c>
      <c r="G345" s="3223">
        <v>1880</v>
      </c>
      <c r="J345" s="3212"/>
    </row>
    <row r="346" spans="1:10">
      <c r="A346" s="3223" t="s">
        <v>307</v>
      </c>
      <c r="B346" s="3223" t="s">
        <v>3156</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2928</v>
      </c>
      <c r="C348" s="3223">
        <v>4000</v>
      </c>
      <c r="D348" s="3223">
        <v>3950</v>
      </c>
      <c r="E348" s="3223">
        <v>4430</v>
      </c>
      <c r="F348" s="3223">
        <v>760</v>
      </c>
      <c r="G348" s="3223">
        <v>2360</v>
      </c>
      <c r="J348" s="3212"/>
    </row>
    <row r="349" spans="1:10">
      <c r="A349" s="3223" t="s">
        <v>307</v>
      </c>
      <c r="B349" s="3223" t="s">
        <v>2933</v>
      </c>
      <c r="C349" s="3223">
        <v>3820</v>
      </c>
      <c r="D349" s="3223">
        <v>3780</v>
      </c>
      <c r="E349" s="3223">
        <v>4170</v>
      </c>
      <c r="F349" s="3223">
        <v>710</v>
      </c>
      <c r="G349" s="3223">
        <v>2260</v>
      </c>
      <c r="J349" s="3212"/>
    </row>
    <row r="350" spans="1:10">
      <c r="A350" s="3223" t="s">
        <v>307</v>
      </c>
      <c r="B350" s="3223" t="s">
        <v>3157</v>
      </c>
      <c r="C350" s="3223">
        <v>3760</v>
      </c>
      <c r="D350" s="3223">
        <v>3730</v>
      </c>
      <c r="E350" s="3223">
        <v>4100</v>
      </c>
      <c r="F350" s="3223">
        <v>800</v>
      </c>
      <c r="G350" s="3223">
        <v>2230</v>
      </c>
      <c r="J350" s="3212"/>
    </row>
    <row r="351" spans="1:10">
      <c r="A351" s="3223" t="s">
        <v>307</v>
      </c>
      <c r="B351" s="3223" t="s">
        <v>2941</v>
      </c>
      <c r="C351" s="3223">
        <v>3610</v>
      </c>
      <c r="D351" s="3223">
        <v>3580</v>
      </c>
      <c r="E351" s="3223">
        <v>3930</v>
      </c>
      <c r="F351" s="3223">
        <v>700</v>
      </c>
      <c r="G351" s="3223">
        <v>2140</v>
      </c>
      <c r="J351" s="3212"/>
    </row>
    <row r="352" spans="1:10">
      <c r="A352" s="3223" t="s">
        <v>307</v>
      </c>
      <c r="B352" s="3223" t="s">
        <v>2946</v>
      </c>
      <c r="C352" s="3223">
        <v>3670</v>
      </c>
      <c r="D352" s="3223">
        <v>3630</v>
      </c>
      <c r="E352" s="3223">
        <v>4000</v>
      </c>
      <c r="F352" s="3223">
        <v>750</v>
      </c>
      <c r="G352" s="3223">
        <v>2180</v>
      </c>
    </row>
    <row r="353" spans="1:7" s="3216" customFormat="1">
      <c r="A353" s="3223" t="s">
        <v>307</v>
      </c>
      <c r="B353" s="3223" t="s">
        <v>3158</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2966</v>
      </c>
      <c r="C355" s="3223">
        <v>3650</v>
      </c>
      <c r="D355" s="3223">
        <v>3610</v>
      </c>
      <c r="E355" s="3223">
        <v>4200</v>
      </c>
      <c r="F355" s="3223">
        <v>640</v>
      </c>
      <c r="G355" s="3223">
        <v>2160</v>
      </c>
    </row>
    <row r="356" spans="1:7" s="3216" customFormat="1">
      <c r="A356" s="3223" t="s">
        <v>307</v>
      </c>
      <c r="B356" s="3223" t="s">
        <v>2973</v>
      </c>
      <c r="C356" s="3223">
        <v>3260</v>
      </c>
      <c r="D356" s="3223">
        <v>3230</v>
      </c>
      <c r="E356" s="3223">
        <v>3740</v>
      </c>
      <c r="F356" s="3223">
        <v>600</v>
      </c>
      <c r="G356" s="3223">
        <v>1930</v>
      </c>
    </row>
    <row r="357" spans="1:7" s="3216" customFormat="1" ht="12" thickBot="1">
      <c r="A357" s="3231" t="s">
        <v>307</v>
      </c>
      <c r="B357" s="3234" t="s">
        <v>3159</v>
      </c>
      <c r="C357" s="3234">
        <v>3690</v>
      </c>
      <c r="D357" s="3234">
        <v>3650</v>
      </c>
      <c r="E357" s="3234">
        <v>4020</v>
      </c>
      <c r="F357" s="3234">
        <v>700</v>
      </c>
      <c r="G357" s="3234">
        <v>2190</v>
      </c>
    </row>
    <row r="358" spans="1:7" s="3216" customFormat="1">
      <c r="A358" s="3228" t="s">
        <v>3160</v>
      </c>
      <c r="B358" s="3219" t="s">
        <v>3161</v>
      </c>
      <c r="C358" s="3219">
        <v>2080</v>
      </c>
      <c r="D358" s="3219">
        <v>2040</v>
      </c>
      <c r="E358" s="3219">
        <v>2010</v>
      </c>
      <c r="F358" s="3219">
        <v>530</v>
      </c>
      <c r="G358" s="3235">
        <v>1230</v>
      </c>
    </row>
    <row r="359" spans="1:7" s="3216" customFormat="1">
      <c r="A359" s="3223" t="s">
        <v>3160</v>
      </c>
      <c r="B359" s="3223" t="s">
        <v>3162</v>
      </c>
      <c r="C359" s="3223">
        <v>1850</v>
      </c>
      <c r="D359" s="3223">
        <v>1820</v>
      </c>
      <c r="E359" s="3223">
        <v>1780</v>
      </c>
      <c r="F359" s="3223">
        <v>520</v>
      </c>
      <c r="G359" s="3236">
        <v>1100</v>
      </c>
    </row>
    <row r="360" spans="1:7" s="3216" customFormat="1">
      <c r="A360" s="3223" t="s">
        <v>3160</v>
      </c>
      <c r="B360" s="3223" t="s">
        <v>3163</v>
      </c>
      <c r="C360" s="3223">
        <v>2020</v>
      </c>
      <c r="D360" s="3223">
        <v>1990</v>
      </c>
      <c r="E360" s="3223">
        <v>1950</v>
      </c>
      <c r="F360" s="3223">
        <v>500</v>
      </c>
      <c r="G360" s="3236">
        <v>1200</v>
      </c>
    </row>
    <row r="361" spans="1:7" s="3216" customFormat="1">
      <c r="A361" s="3223" t="s">
        <v>3160</v>
      </c>
      <c r="B361" s="3223" t="s">
        <v>153</v>
      </c>
      <c r="C361" s="3223">
        <v>2260</v>
      </c>
      <c r="D361" s="3223">
        <v>2220</v>
      </c>
      <c r="E361" s="3223">
        <v>2180</v>
      </c>
      <c r="F361" s="3223">
        <v>580</v>
      </c>
      <c r="G361" s="3236">
        <v>1340</v>
      </c>
    </row>
    <row r="362" spans="1:7" s="3216" customFormat="1">
      <c r="A362" s="3223" t="s">
        <v>3160</v>
      </c>
      <c r="B362" s="3223" t="s">
        <v>3164</v>
      </c>
      <c r="C362" s="3223">
        <v>2650</v>
      </c>
      <c r="D362" s="3223">
        <v>2610</v>
      </c>
      <c r="E362" s="3223">
        <v>2570</v>
      </c>
      <c r="F362" s="3223">
        <v>630</v>
      </c>
      <c r="G362" s="3236">
        <v>1570</v>
      </c>
    </row>
    <row r="363" spans="1:7" s="3216" customFormat="1">
      <c r="A363" s="3223" t="s">
        <v>3160</v>
      </c>
      <c r="B363" s="3223" t="s">
        <v>2885</v>
      </c>
      <c r="C363" s="3223">
        <v>2390</v>
      </c>
      <c r="D363" s="3223">
        <v>2360</v>
      </c>
      <c r="E363" s="3223">
        <v>2320</v>
      </c>
      <c r="F363" s="3223">
        <v>600</v>
      </c>
      <c r="G363" s="3236">
        <v>1420</v>
      </c>
    </row>
    <row r="364" spans="1:7" s="3216" customFormat="1">
      <c r="A364" s="3223" t="s">
        <v>3160</v>
      </c>
      <c r="B364" s="3223" t="s">
        <v>3165</v>
      </c>
      <c r="C364" s="3223">
        <v>2050</v>
      </c>
      <c r="D364" s="3223">
        <v>2030</v>
      </c>
      <c r="E364" s="3223">
        <v>1990</v>
      </c>
      <c r="F364" s="3223">
        <v>550</v>
      </c>
      <c r="G364" s="3236">
        <v>1220</v>
      </c>
    </row>
    <row r="365" spans="1:7" s="3216" customFormat="1">
      <c r="A365" s="3223" t="s">
        <v>3160</v>
      </c>
      <c r="B365" s="3223" t="s">
        <v>200</v>
      </c>
      <c r="C365" s="3223">
        <v>2140</v>
      </c>
      <c r="D365" s="3223">
        <v>2100</v>
      </c>
      <c r="E365" s="3223">
        <v>2060</v>
      </c>
      <c r="F365" s="3223">
        <v>540</v>
      </c>
      <c r="G365" s="3236">
        <v>1270</v>
      </c>
    </row>
    <row r="366" spans="1:7" s="3216" customFormat="1">
      <c r="A366" s="3223" t="s">
        <v>3160</v>
      </c>
      <c r="B366" s="3223" t="s">
        <v>2892</v>
      </c>
      <c r="C366" s="3223">
        <v>2410</v>
      </c>
      <c r="D366" s="3223">
        <v>2370</v>
      </c>
      <c r="E366" s="3223">
        <v>2330</v>
      </c>
      <c r="F366" s="3223">
        <v>570</v>
      </c>
      <c r="G366" s="3236">
        <v>1440</v>
      </c>
    </row>
    <row r="367" spans="1:7" s="3216" customFormat="1">
      <c r="A367" s="3223" t="s">
        <v>3160</v>
      </c>
      <c r="B367" s="3223" t="s">
        <v>3166</v>
      </c>
      <c r="C367" s="3223">
        <v>2300</v>
      </c>
      <c r="D367" s="3223">
        <v>2260</v>
      </c>
      <c r="E367" s="3223">
        <v>2220</v>
      </c>
      <c r="F367" s="3223">
        <v>560</v>
      </c>
      <c r="G367" s="3236">
        <v>1370</v>
      </c>
    </row>
    <row r="368" spans="1:7" s="3216" customFormat="1">
      <c r="A368" s="3223" t="s">
        <v>3160</v>
      </c>
      <c r="B368" s="3223" t="s">
        <v>3167</v>
      </c>
      <c r="C368" s="3223">
        <v>2430</v>
      </c>
      <c r="D368" s="3223">
        <v>2390</v>
      </c>
      <c r="E368" s="3223">
        <v>2350</v>
      </c>
      <c r="F368" s="3223">
        <v>570</v>
      </c>
      <c r="G368" s="3236">
        <v>1450</v>
      </c>
    </row>
    <row r="369" spans="1:7" s="3216" customFormat="1">
      <c r="A369" s="3223" t="s">
        <v>3160</v>
      </c>
      <c r="B369" s="3223" t="s">
        <v>214</v>
      </c>
      <c r="C369" s="3223">
        <v>2320</v>
      </c>
      <c r="D369" s="3223">
        <v>2290</v>
      </c>
      <c r="E369" s="3223">
        <v>2250</v>
      </c>
      <c r="F369" s="3223">
        <v>550</v>
      </c>
      <c r="G369" s="3236">
        <v>1380</v>
      </c>
    </row>
    <row r="370" spans="1:7" s="3216" customFormat="1">
      <c r="A370" s="3223" t="s">
        <v>3160</v>
      </c>
      <c r="B370" s="3223" t="s">
        <v>221</v>
      </c>
      <c r="C370" s="3223">
        <v>2190</v>
      </c>
      <c r="D370" s="3223">
        <v>2170</v>
      </c>
      <c r="E370" s="3223">
        <v>2130</v>
      </c>
      <c r="F370" s="3223">
        <v>530</v>
      </c>
      <c r="G370" s="3236">
        <v>1310</v>
      </c>
    </row>
    <row r="371" spans="1:7" s="3216" customFormat="1">
      <c r="A371" s="3223" t="s">
        <v>3160</v>
      </c>
      <c r="B371" s="3223" t="s">
        <v>229</v>
      </c>
      <c r="C371" s="3223">
        <v>2460</v>
      </c>
      <c r="D371" s="3223">
        <v>2420</v>
      </c>
      <c r="E371" s="3223">
        <v>2370</v>
      </c>
      <c r="F371" s="3223">
        <v>560</v>
      </c>
      <c r="G371" s="3236">
        <v>1470</v>
      </c>
    </row>
    <row r="372" spans="1:7" s="3216" customFormat="1">
      <c r="A372" s="3223" t="s">
        <v>3160</v>
      </c>
      <c r="B372" s="3223" t="s">
        <v>3168</v>
      </c>
      <c r="C372" s="3223">
        <v>2250</v>
      </c>
      <c r="D372" s="3223">
        <v>2210</v>
      </c>
      <c r="E372" s="3223">
        <v>2180</v>
      </c>
      <c r="F372" s="3223">
        <v>550</v>
      </c>
      <c r="G372" s="3236">
        <v>1340</v>
      </c>
    </row>
    <row r="373" spans="1:7" s="3216" customFormat="1">
      <c r="A373" s="3223" t="s">
        <v>3160</v>
      </c>
      <c r="B373" s="3223" t="s">
        <v>258</v>
      </c>
      <c r="C373" s="3223">
        <v>2210</v>
      </c>
      <c r="D373" s="3223">
        <v>2190</v>
      </c>
      <c r="E373" s="3223">
        <v>2150</v>
      </c>
      <c r="F373" s="3223">
        <v>530</v>
      </c>
      <c r="G373" s="3236">
        <v>1320</v>
      </c>
    </row>
    <row r="374" spans="1:7" s="3216" customFormat="1">
      <c r="A374" s="3223" t="s">
        <v>3160</v>
      </c>
      <c r="B374" s="3223" t="s">
        <v>266</v>
      </c>
      <c r="C374" s="3223">
        <v>2320</v>
      </c>
      <c r="D374" s="3223">
        <v>2280</v>
      </c>
      <c r="E374" s="3223">
        <v>2230</v>
      </c>
      <c r="F374" s="3223">
        <v>580</v>
      </c>
      <c r="G374" s="3236">
        <v>1380</v>
      </c>
    </row>
    <row r="375" spans="1:7" s="3216" customFormat="1">
      <c r="A375" s="3223" t="s">
        <v>3160</v>
      </c>
      <c r="B375" s="3223" t="s">
        <v>3169</v>
      </c>
      <c r="C375" s="3223">
        <v>2090</v>
      </c>
      <c r="D375" s="3223">
        <v>2050</v>
      </c>
      <c r="E375" s="3223">
        <v>2020</v>
      </c>
      <c r="F375" s="3223">
        <v>520</v>
      </c>
      <c r="G375" s="3236">
        <v>1240</v>
      </c>
    </row>
    <row r="376" spans="1:7" s="3216" customFormat="1">
      <c r="A376" s="3223" t="s">
        <v>3160</v>
      </c>
      <c r="B376" s="3223" t="s">
        <v>277</v>
      </c>
      <c r="C376" s="3223">
        <v>2010</v>
      </c>
      <c r="D376" s="3223">
        <v>1980</v>
      </c>
      <c r="E376" s="3223">
        <v>1940</v>
      </c>
      <c r="F376" s="3223">
        <v>540</v>
      </c>
      <c r="G376" s="3236">
        <v>1190</v>
      </c>
    </row>
    <row r="377" spans="1:7" s="3216" customFormat="1" ht="12" thickBot="1">
      <c r="A377" s="3231" t="s">
        <v>3160</v>
      </c>
      <c r="B377" s="3234" t="s">
        <v>2922</v>
      </c>
      <c r="C377" s="3234">
        <v>1930</v>
      </c>
      <c r="D377" s="3234">
        <v>1890</v>
      </c>
      <c r="E377" s="3234">
        <v>1860</v>
      </c>
      <c r="F377" s="3234">
        <v>530</v>
      </c>
      <c r="G377" s="3239">
        <v>1150</v>
      </c>
    </row>
    <row r="378" spans="1:7" s="3216" customFormat="1">
      <c r="A378" s="3240" t="s">
        <v>3170</v>
      </c>
      <c r="B378" s="3219" t="s">
        <v>3171</v>
      </c>
      <c r="C378" s="3219">
        <v>1520</v>
      </c>
      <c r="D378" s="3219">
        <v>1490</v>
      </c>
      <c r="E378" s="3219">
        <v>1460</v>
      </c>
      <c r="F378" s="3219">
        <v>460</v>
      </c>
      <c r="G378" s="3235">
        <v>940</v>
      </c>
    </row>
    <row r="379" spans="1:7" s="3216" customFormat="1">
      <c r="A379" s="3241" t="s">
        <v>3170</v>
      </c>
      <c r="B379" s="3223" t="s">
        <v>3172</v>
      </c>
      <c r="C379" s="3223">
        <v>1500</v>
      </c>
      <c r="D379" s="3223">
        <v>1470</v>
      </c>
      <c r="E379" s="3223">
        <v>1430</v>
      </c>
      <c r="F379" s="3223">
        <v>460</v>
      </c>
      <c r="G379" s="3236">
        <v>920</v>
      </c>
    </row>
    <row r="380" spans="1:7" s="3216" customFormat="1">
      <c r="A380" s="3241" t="s">
        <v>3170</v>
      </c>
      <c r="B380" s="3223" t="s">
        <v>3173</v>
      </c>
      <c r="C380" s="3223">
        <v>1620</v>
      </c>
      <c r="D380" s="3223">
        <v>1590</v>
      </c>
      <c r="E380" s="3223">
        <v>1560</v>
      </c>
      <c r="F380" s="3223">
        <v>480</v>
      </c>
      <c r="G380" s="3236">
        <v>1000</v>
      </c>
    </row>
    <row r="381" spans="1:7" s="3216" customFormat="1">
      <c r="A381" s="3241" t="s">
        <v>3170</v>
      </c>
      <c r="B381" s="3223" t="s">
        <v>3174</v>
      </c>
      <c r="C381" s="3223">
        <v>1460</v>
      </c>
      <c r="D381" s="3223">
        <v>1430</v>
      </c>
      <c r="E381" s="3223">
        <v>1390</v>
      </c>
      <c r="F381" s="3223">
        <v>450</v>
      </c>
      <c r="G381" s="3236">
        <v>900</v>
      </c>
    </row>
    <row r="382" spans="1:7" s="3216" customFormat="1">
      <c r="A382" s="3241" t="s">
        <v>3170</v>
      </c>
      <c r="B382" s="3223" t="s">
        <v>3175</v>
      </c>
      <c r="C382" s="3223">
        <v>1310</v>
      </c>
      <c r="D382" s="3223">
        <v>1280</v>
      </c>
      <c r="E382" s="3223">
        <v>1250</v>
      </c>
      <c r="F382" s="3223">
        <v>440</v>
      </c>
      <c r="G382" s="3236">
        <v>800</v>
      </c>
    </row>
    <row r="383" spans="1:7" s="3216" customFormat="1">
      <c r="A383" s="3241" t="s">
        <v>3170</v>
      </c>
      <c r="B383" s="3223" t="s">
        <v>3176</v>
      </c>
      <c r="C383" s="3223">
        <v>1260</v>
      </c>
      <c r="D383" s="3223">
        <v>1230</v>
      </c>
      <c r="E383" s="3223">
        <v>1200</v>
      </c>
      <c r="F383" s="3223">
        <v>420</v>
      </c>
      <c r="G383" s="3236">
        <v>770</v>
      </c>
    </row>
    <row r="384" spans="1:7" s="3216" customFormat="1" ht="12" thickBot="1">
      <c r="A384" s="3242" t="s">
        <v>3170</v>
      </c>
      <c r="B384" s="3230" t="s">
        <v>3177</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906" t="s">
        <v>3178</v>
      </c>
      <c r="B1" s="3906"/>
    </row>
    <row r="2" spans="1:7" ht="14.25" thickBot="1">
      <c r="A2" s="3245"/>
      <c r="B2" s="3245"/>
    </row>
    <row r="3" spans="1:7" ht="14.25" thickBot="1">
      <c r="A3" s="3245"/>
      <c r="B3" s="3245"/>
      <c r="C3" s="3246" t="s">
        <v>2806</v>
      </c>
      <c r="D3" s="3246" t="s">
        <v>2864</v>
      </c>
      <c r="E3" s="3246" t="s">
        <v>2808</v>
      </c>
      <c r="F3" s="3246" t="s">
        <v>2865</v>
      </c>
      <c r="G3" s="3246" t="s">
        <v>2626</v>
      </c>
    </row>
    <row r="4" spans="1:7" ht="14.25" thickBot="1">
      <c r="A4" s="3247" t="s">
        <v>2863</v>
      </c>
      <c r="B4" s="3248" t="s">
        <v>2869</v>
      </c>
      <c r="C4" s="3246"/>
      <c r="D4" s="3246"/>
      <c r="E4" s="3246"/>
      <c r="F4" s="3246"/>
      <c r="G4" s="3246"/>
    </row>
    <row r="5" spans="1:7">
      <c r="A5" s="3249" t="s">
        <v>2837</v>
      </c>
      <c r="B5" s="3250" t="s">
        <v>2851</v>
      </c>
      <c r="C5" s="3251">
        <v>9.8000000000000004E-2</v>
      </c>
      <c r="D5" s="3251">
        <v>8.6999999999999994E-2</v>
      </c>
      <c r="E5" s="3251">
        <v>8.6999999999999994E-2</v>
      </c>
      <c r="F5" s="3251">
        <v>9.8000000000000004E-2</v>
      </c>
      <c r="G5" s="3252">
        <v>9.5000000000000001E-2</v>
      </c>
    </row>
    <row r="6" spans="1:7">
      <c r="A6" s="3253" t="s">
        <v>144</v>
      </c>
      <c r="B6" s="3254" t="s">
        <v>2866</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2852</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2902</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2920</v>
      </c>
      <c r="C29" s="3263"/>
      <c r="D29" s="3259">
        <v>5.1999999999999998E-2</v>
      </c>
      <c r="E29" s="3259">
        <v>7.0000000000000007E-2</v>
      </c>
      <c r="F29" s="3263"/>
      <c r="G29" s="3261">
        <v>7.0999999999999994E-2</v>
      </c>
    </row>
    <row r="30" spans="1:7">
      <c r="A30" s="3264" t="s">
        <v>296</v>
      </c>
      <c r="B30" s="3250" t="s">
        <v>2853</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2839</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2923</v>
      </c>
      <c r="C50" s="3255">
        <v>9.8000000000000004E-2</v>
      </c>
      <c r="D50" s="3255">
        <v>7.2999999999999995E-2</v>
      </c>
      <c r="E50" s="3255">
        <v>7.0999999999999994E-2</v>
      </c>
      <c r="F50" s="3266"/>
      <c r="G50" s="3256">
        <v>7.2999999999999995E-2</v>
      </c>
    </row>
    <row r="51" spans="1:7">
      <c r="A51" s="3265" t="s">
        <v>296</v>
      </c>
      <c r="B51" s="3254" t="s">
        <v>2925</v>
      </c>
      <c r="C51" s="3255">
        <v>9.9000000000000005E-2</v>
      </c>
      <c r="D51" s="3255">
        <v>8.5000000000000006E-2</v>
      </c>
      <c r="E51" s="3255">
        <v>6.3E-2</v>
      </c>
      <c r="F51" s="3266"/>
      <c r="G51" s="3256">
        <v>9.6000000000000002E-2</v>
      </c>
    </row>
    <row r="52" spans="1:7">
      <c r="A52" s="3265" t="s">
        <v>296</v>
      </c>
      <c r="B52" s="3254" t="s">
        <v>2929</v>
      </c>
      <c r="C52" s="3255">
        <v>7.3999999999999996E-2</v>
      </c>
      <c r="D52" s="3255">
        <v>9.6000000000000002E-2</v>
      </c>
      <c r="E52" s="3255">
        <v>0.05</v>
      </c>
      <c r="F52" s="3266"/>
      <c r="G52" s="3256">
        <v>9.8000000000000004E-2</v>
      </c>
    </row>
    <row r="53" spans="1:7">
      <c r="A53" s="3265" t="s">
        <v>296</v>
      </c>
      <c r="B53" s="3254" t="s">
        <v>2934</v>
      </c>
      <c r="C53" s="3255">
        <v>8.5999999999999993E-2</v>
      </c>
      <c r="D53" s="3266"/>
      <c r="E53" s="3255">
        <v>9.1999999999999998E-2</v>
      </c>
      <c r="F53" s="3266"/>
      <c r="G53" s="3267"/>
    </row>
    <row r="54" spans="1:7" ht="14.25" thickBot="1">
      <c r="A54" s="3268" t="s">
        <v>296</v>
      </c>
      <c r="B54" s="3258" t="s">
        <v>2937</v>
      </c>
      <c r="C54" s="3259">
        <v>9.6000000000000002E-2</v>
      </c>
      <c r="D54" s="3260"/>
      <c r="E54" s="3269"/>
      <c r="F54" s="3260"/>
      <c r="G54" s="3270"/>
    </row>
    <row r="55" spans="1:7">
      <c r="A55" s="3264" t="s">
        <v>110</v>
      </c>
      <c r="B55" s="3250" t="s">
        <v>2854</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2935</v>
      </c>
      <c r="C78" s="3255">
        <v>0.1</v>
      </c>
      <c r="D78" s="3255">
        <v>8.5000000000000006E-2</v>
      </c>
      <c r="E78" s="3255">
        <v>9.6000000000000002E-2</v>
      </c>
      <c r="F78" s="3266"/>
      <c r="G78" s="3256">
        <v>9.6000000000000002E-2</v>
      </c>
    </row>
    <row r="79" spans="1:7">
      <c r="A79" s="3265" t="s">
        <v>110</v>
      </c>
      <c r="B79" s="3254" t="s">
        <v>2938</v>
      </c>
      <c r="C79" s="3255">
        <v>0.05</v>
      </c>
      <c r="D79" s="3255">
        <v>9.6000000000000002E-2</v>
      </c>
      <c r="E79" s="3255">
        <v>9.5000000000000001E-2</v>
      </c>
      <c r="F79" s="3266"/>
      <c r="G79" s="3256">
        <v>9.8000000000000004E-2</v>
      </c>
    </row>
    <row r="80" spans="1:7">
      <c r="A80" s="3265" t="s">
        <v>110</v>
      </c>
      <c r="B80" s="3254" t="s">
        <v>2942</v>
      </c>
      <c r="C80" s="3255">
        <v>8.5999999999999993E-2</v>
      </c>
      <c r="D80" s="3271"/>
      <c r="E80" s="3255">
        <v>0.1</v>
      </c>
      <c r="F80" s="3266"/>
      <c r="G80" s="3267"/>
    </row>
    <row r="81" spans="1:7">
      <c r="A81" s="3265" t="s">
        <v>110</v>
      </c>
      <c r="B81" s="3254" t="s">
        <v>2947</v>
      </c>
      <c r="C81" s="3255">
        <v>9.6000000000000002E-2</v>
      </c>
      <c r="D81" s="3266"/>
      <c r="E81" s="3255">
        <v>9.8000000000000004E-2</v>
      </c>
      <c r="F81" s="3266"/>
      <c r="G81" s="3267"/>
    </row>
    <row r="82" spans="1:7">
      <c r="A82" s="3265" t="s">
        <v>110</v>
      </c>
      <c r="B82" s="3254" t="s">
        <v>2954</v>
      </c>
      <c r="C82" s="3271"/>
      <c r="D82" s="3266"/>
      <c r="E82" s="3255">
        <v>7.6999999999999999E-2</v>
      </c>
      <c r="F82" s="3266"/>
      <c r="G82" s="3267"/>
    </row>
    <row r="83" spans="1:7">
      <c r="A83" s="3265" t="s">
        <v>110</v>
      </c>
      <c r="B83" s="3254" t="s">
        <v>2960</v>
      </c>
      <c r="C83" s="3266"/>
      <c r="D83" s="3266"/>
      <c r="E83" s="3266"/>
      <c r="F83" s="3255">
        <v>0.1</v>
      </c>
      <c r="G83" s="3272"/>
    </row>
    <row r="84" spans="1:7">
      <c r="A84" s="3265" t="s">
        <v>110</v>
      </c>
      <c r="B84" s="3254" t="s">
        <v>2967</v>
      </c>
      <c r="C84" s="3266"/>
      <c r="D84" s="3266"/>
      <c r="E84" s="3266"/>
      <c r="F84" s="3255">
        <v>0.1</v>
      </c>
      <c r="G84" s="3272"/>
    </row>
    <row r="85" spans="1:7">
      <c r="A85" s="3265" t="s">
        <v>110</v>
      </c>
      <c r="B85" s="3254" t="s">
        <v>2974</v>
      </c>
      <c r="C85" s="3266"/>
      <c r="D85" s="3266"/>
      <c r="E85" s="3266"/>
      <c r="F85" s="3255">
        <v>0.1</v>
      </c>
      <c r="G85" s="3272"/>
    </row>
    <row r="86" spans="1:7" ht="14.25" thickBot="1">
      <c r="A86" s="3268" t="s">
        <v>110</v>
      </c>
      <c r="B86" s="3258" t="s">
        <v>2979</v>
      </c>
      <c r="C86" s="3259">
        <v>9.8000000000000004E-2</v>
      </c>
      <c r="D86" s="3259">
        <v>9.8000000000000004E-2</v>
      </c>
      <c r="E86" s="3259">
        <v>9.6000000000000002E-2</v>
      </c>
      <c r="F86" s="3269"/>
      <c r="G86" s="3261">
        <v>0.1</v>
      </c>
    </row>
    <row r="87" spans="1:7">
      <c r="A87" s="3264" t="s">
        <v>303</v>
      </c>
      <c r="B87" s="3250" t="s">
        <v>2855</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2948</v>
      </c>
      <c r="C113" s="3255">
        <v>0.1</v>
      </c>
      <c r="D113" s="3255">
        <v>0.1</v>
      </c>
      <c r="E113" s="3266"/>
      <c r="F113" s="3266"/>
      <c r="G113" s="3256">
        <v>0.1</v>
      </c>
    </row>
    <row r="114" spans="1:7">
      <c r="A114" s="3265" t="s">
        <v>303</v>
      </c>
      <c r="B114" s="3254" t="s">
        <v>2955</v>
      </c>
      <c r="C114" s="3255">
        <v>9.7000000000000003E-2</v>
      </c>
      <c r="D114" s="3255">
        <v>9.7000000000000003E-2</v>
      </c>
      <c r="E114" s="3266"/>
      <c r="F114" s="3266"/>
      <c r="G114" s="3256">
        <v>9.9000000000000005E-2</v>
      </c>
    </row>
    <row r="115" spans="1:7">
      <c r="A115" s="3265" t="s">
        <v>303</v>
      </c>
      <c r="B115" s="3254" t="s">
        <v>2961</v>
      </c>
      <c r="C115" s="3255">
        <v>0.1</v>
      </c>
      <c r="D115" s="3255">
        <v>0.1</v>
      </c>
      <c r="E115" s="3266"/>
      <c r="F115" s="3266"/>
      <c r="G115" s="3256">
        <v>0.1</v>
      </c>
    </row>
    <row r="116" spans="1:7">
      <c r="A116" s="3265" t="s">
        <v>303</v>
      </c>
      <c r="B116" s="3254" t="s">
        <v>2968</v>
      </c>
      <c r="C116" s="3255">
        <v>0.1</v>
      </c>
      <c r="D116" s="3255">
        <v>0.1</v>
      </c>
      <c r="E116" s="3266"/>
      <c r="F116" s="3266"/>
      <c r="G116" s="3256">
        <v>0.1</v>
      </c>
    </row>
    <row r="117" spans="1:7">
      <c r="A117" s="3265" t="s">
        <v>303</v>
      </c>
      <c r="B117" s="3254" t="s">
        <v>2975</v>
      </c>
      <c r="C117" s="3255">
        <v>9.7000000000000003E-2</v>
      </c>
      <c r="D117" s="3255">
        <v>9.7000000000000003E-2</v>
      </c>
      <c r="E117" s="3266"/>
      <c r="F117" s="3266"/>
      <c r="G117" s="3256">
        <v>9.7000000000000003E-2</v>
      </c>
    </row>
    <row r="118" spans="1:7">
      <c r="A118" s="3265" t="s">
        <v>303</v>
      </c>
      <c r="B118" s="3254" t="s">
        <v>2980</v>
      </c>
      <c r="C118" s="3255">
        <v>0.1</v>
      </c>
      <c r="D118" s="3255">
        <v>0.1</v>
      </c>
      <c r="E118" s="3266"/>
      <c r="F118" s="3266"/>
      <c r="G118" s="3256">
        <v>0.1</v>
      </c>
    </row>
    <row r="119" spans="1:7">
      <c r="A119" s="3265" t="s">
        <v>303</v>
      </c>
      <c r="B119" s="3254" t="s">
        <v>2984</v>
      </c>
      <c r="C119" s="3255">
        <v>5.0999999999999997E-2</v>
      </c>
      <c r="D119" s="3255">
        <v>5.1999999999999998E-2</v>
      </c>
      <c r="E119" s="3266"/>
      <c r="F119" s="3271"/>
      <c r="G119" s="3256">
        <v>0.06</v>
      </c>
    </row>
    <row r="120" spans="1:7">
      <c r="A120" s="3265" t="s">
        <v>303</v>
      </c>
      <c r="B120" s="3254" t="s">
        <v>2988</v>
      </c>
      <c r="C120" s="3266"/>
      <c r="D120" s="3266"/>
      <c r="E120" s="3266"/>
      <c r="F120" s="3255">
        <v>0.1</v>
      </c>
      <c r="G120" s="3272"/>
    </row>
    <row r="121" spans="1:7">
      <c r="A121" s="3265" t="s">
        <v>303</v>
      </c>
      <c r="B121" s="3254" t="s">
        <v>2993</v>
      </c>
      <c r="C121" s="3266"/>
      <c r="D121" s="3266"/>
      <c r="E121" s="3266"/>
      <c r="F121" s="3255">
        <v>0.1</v>
      </c>
      <c r="G121" s="3272"/>
    </row>
    <row r="122" spans="1:7">
      <c r="A122" s="3265" t="s">
        <v>303</v>
      </c>
      <c r="B122" s="3254" t="s">
        <v>2998</v>
      </c>
      <c r="C122" s="3255">
        <v>0.1</v>
      </c>
      <c r="D122" s="3255">
        <v>0.1</v>
      </c>
      <c r="E122" s="3255">
        <v>9.8000000000000004E-2</v>
      </c>
      <c r="F122" s="3255">
        <v>0.1</v>
      </c>
      <c r="G122" s="3256">
        <v>0.1</v>
      </c>
    </row>
    <row r="123" spans="1:7">
      <c r="A123" s="3265" t="s">
        <v>303</v>
      </c>
      <c r="B123" s="3254" t="s">
        <v>3003</v>
      </c>
      <c r="C123" s="3255">
        <v>0.1</v>
      </c>
      <c r="D123" s="3255">
        <v>0.1</v>
      </c>
      <c r="E123" s="3255">
        <v>9.8000000000000004E-2</v>
      </c>
      <c r="F123" s="3255">
        <v>0.1</v>
      </c>
      <c r="G123" s="3256">
        <v>0.1</v>
      </c>
    </row>
    <row r="124" spans="1:7">
      <c r="A124" s="3265" t="s">
        <v>303</v>
      </c>
      <c r="B124" s="3254" t="s">
        <v>3008</v>
      </c>
      <c r="C124" s="3255">
        <v>0.1</v>
      </c>
      <c r="D124" s="3255">
        <v>0.1</v>
      </c>
      <c r="E124" s="3255">
        <v>9.8000000000000004E-2</v>
      </c>
      <c r="F124" s="3271"/>
      <c r="G124" s="3256">
        <v>0.1</v>
      </c>
    </row>
    <row r="125" spans="1:7">
      <c r="A125" s="3265" t="s">
        <v>303</v>
      </c>
      <c r="B125" s="3254" t="s">
        <v>3013</v>
      </c>
      <c r="C125" s="3255">
        <v>9.8000000000000004E-2</v>
      </c>
      <c r="D125" s="3255">
        <v>9.8000000000000004E-2</v>
      </c>
      <c r="E125" s="3255">
        <v>9.6000000000000002E-2</v>
      </c>
      <c r="F125" s="3271"/>
      <c r="G125" s="3256">
        <v>0.1</v>
      </c>
    </row>
    <row r="126" spans="1:7" ht="14.25" thickBot="1">
      <c r="A126" s="3268" t="s">
        <v>303</v>
      </c>
      <c r="B126" s="3258" t="s">
        <v>3179</v>
      </c>
      <c r="C126" s="3259">
        <v>0.1</v>
      </c>
      <c r="D126" s="3259">
        <v>0.1</v>
      </c>
      <c r="E126" s="3259">
        <v>9.8000000000000004E-2</v>
      </c>
      <c r="F126" s="3259">
        <v>0.1</v>
      </c>
      <c r="G126" s="3261">
        <v>0.1</v>
      </c>
    </row>
    <row r="127" spans="1:7">
      <c r="A127" s="3264" t="s">
        <v>29</v>
      </c>
      <c r="B127" s="3250" t="s">
        <v>2856</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2926</v>
      </c>
      <c r="C148" s="3255">
        <v>0.13</v>
      </c>
      <c r="D148" s="3255">
        <v>0.13</v>
      </c>
      <c r="E148" s="3255">
        <v>0.13</v>
      </c>
      <c r="F148" s="3266"/>
      <c r="G148" s="3256">
        <v>0.13</v>
      </c>
    </row>
    <row r="149" spans="1:7">
      <c r="A149" s="3265" t="s">
        <v>29</v>
      </c>
      <c r="B149" s="3254" t="s">
        <v>2930</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2949</v>
      </c>
      <c r="C153" s="3255">
        <v>0.13</v>
      </c>
      <c r="D153" s="3255">
        <v>0.13</v>
      </c>
      <c r="E153" s="3255">
        <v>0.13</v>
      </c>
      <c r="F153" s="3255">
        <v>0.13</v>
      </c>
      <c r="G153" s="3256">
        <v>0.13</v>
      </c>
    </row>
    <row r="154" spans="1:7">
      <c r="A154" s="3265" t="s">
        <v>29</v>
      </c>
      <c r="B154" s="3254" t="s">
        <v>2956</v>
      </c>
      <c r="C154" s="3255">
        <v>0.121</v>
      </c>
      <c r="D154" s="3255">
        <v>0.121</v>
      </c>
      <c r="E154" s="3255">
        <v>0.105</v>
      </c>
      <c r="F154" s="3255">
        <v>0.121</v>
      </c>
      <c r="G154" s="3256">
        <v>0.123</v>
      </c>
    </row>
    <row r="155" spans="1:7">
      <c r="A155" s="3265" t="s">
        <v>29</v>
      </c>
      <c r="B155" s="3254" t="s">
        <v>2962</v>
      </c>
      <c r="C155" s="3255">
        <v>0.1</v>
      </c>
      <c r="D155" s="3255">
        <v>0.1</v>
      </c>
      <c r="E155" s="3255">
        <v>0.1</v>
      </c>
      <c r="F155" s="3255">
        <v>0.1</v>
      </c>
      <c r="G155" s="3256">
        <v>0.1</v>
      </c>
    </row>
    <row r="156" spans="1:7">
      <c r="A156" s="3265" t="s">
        <v>29</v>
      </c>
      <c r="B156" s="3254" t="s">
        <v>2969</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2989</v>
      </c>
      <c r="C160" s="3255">
        <v>0.13</v>
      </c>
      <c r="D160" s="3255">
        <v>0.13</v>
      </c>
      <c r="E160" s="3255">
        <v>0.124</v>
      </c>
      <c r="F160" s="3255">
        <v>0.126</v>
      </c>
      <c r="G160" s="3256">
        <v>0.13</v>
      </c>
    </row>
    <row r="161" spans="1:7">
      <c r="A161" s="3265" t="s">
        <v>29</v>
      </c>
      <c r="B161" s="3254" t="s">
        <v>2994</v>
      </c>
      <c r="C161" s="3255">
        <v>0.13</v>
      </c>
      <c r="D161" s="3255">
        <v>0.13</v>
      </c>
      <c r="E161" s="3255">
        <v>0.124</v>
      </c>
      <c r="F161" s="3255">
        <v>0.127</v>
      </c>
      <c r="G161" s="3256">
        <v>0.13</v>
      </c>
    </row>
    <row r="162" spans="1:7">
      <c r="A162" s="3265" t="s">
        <v>29</v>
      </c>
      <c r="B162" s="3254" t="s">
        <v>2999</v>
      </c>
      <c r="C162" s="3255">
        <v>0.1</v>
      </c>
      <c r="D162" s="3255">
        <v>0.1</v>
      </c>
      <c r="E162" s="3255">
        <v>0.1</v>
      </c>
      <c r="F162" s="3255">
        <v>0.121</v>
      </c>
      <c r="G162" s="3256">
        <v>0.105</v>
      </c>
    </row>
    <row r="163" spans="1:7">
      <c r="A163" s="3265" t="s">
        <v>29</v>
      </c>
      <c r="B163" s="3254" t="s">
        <v>3004</v>
      </c>
      <c r="C163" s="3255">
        <v>0.1</v>
      </c>
      <c r="D163" s="3255">
        <v>0.1</v>
      </c>
      <c r="E163" s="3255">
        <v>0.1</v>
      </c>
      <c r="F163" s="3255">
        <v>0.1</v>
      </c>
      <c r="G163" s="3256">
        <v>0.1</v>
      </c>
    </row>
    <row r="164" spans="1:7">
      <c r="A164" s="3265" t="s">
        <v>29</v>
      </c>
      <c r="B164" s="3254" t="s">
        <v>3009</v>
      </c>
      <c r="C164" s="3271"/>
      <c r="D164" s="3271"/>
      <c r="E164" s="3271"/>
      <c r="F164" s="3255">
        <v>0.1</v>
      </c>
      <c r="G164" s="3267"/>
    </row>
    <row r="165" spans="1:7">
      <c r="A165" s="3265" t="s">
        <v>29</v>
      </c>
      <c r="B165" s="3254" t="s">
        <v>3180</v>
      </c>
      <c r="C165" s="3255">
        <v>0.126</v>
      </c>
      <c r="D165" s="3255">
        <v>0.126</v>
      </c>
      <c r="E165" s="3255">
        <v>0.11899999999999999</v>
      </c>
      <c r="F165" s="3255">
        <v>0.13</v>
      </c>
      <c r="G165" s="3256">
        <v>0.128</v>
      </c>
    </row>
    <row r="166" spans="1:7">
      <c r="A166" s="3265" t="s">
        <v>29</v>
      </c>
      <c r="B166" s="3254" t="s">
        <v>3019</v>
      </c>
      <c r="C166" s="3255">
        <v>0.129</v>
      </c>
      <c r="D166" s="3255">
        <v>0.129</v>
      </c>
      <c r="E166" s="3255">
        <v>0.123</v>
      </c>
      <c r="F166" s="3255">
        <v>0.128</v>
      </c>
      <c r="G166" s="3256">
        <v>0.13</v>
      </c>
    </row>
    <row r="167" spans="1:7">
      <c r="A167" s="3265" t="s">
        <v>29</v>
      </c>
      <c r="B167" s="3254" t="s">
        <v>3023</v>
      </c>
      <c r="C167" s="3255">
        <v>0.125</v>
      </c>
      <c r="D167" s="3255">
        <v>0.125</v>
      </c>
      <c r="E167" s="3255">
        <v>0.11700000000000001</v>
      </c>
      <c r="F167" s="3255">
        <v>0.13</v>
      </c>
      <c r="G167" s="3256">
        <v>0.126</v>
      </c>
    </row>
    <row r="168" spans="1:7">
      <c r="A168" s="3265" t="s">
        <v>29</v>
      </c>
      <c r="B168" s="3254" t="s">
        <v>3028</v>
      </c>
      <c r="C168" s="3255">
        <v>0.128</v>
      </c>
      <c r="D168" s="3255">
        <v>0.128</v>
      </c>
      <c r="E168" s="3255">
        <v>0.123</v>
      </c>
      <c r="F168" s="3266"/>
      <c r="G168" s="3256">
        <v>0.13</v>
      </c>
    </row>
    <row r="169" spans="1:7">
      <c r="A169" s="3265" t="s">
        <v>29</v>
      </c>
      <c r="B169" s="3254" t="s">
        <v>3181</v>
      </c>
      <c r="C169" s="3271"/>
      <c r="D169" s="3271"/>
      <c r="E169" s="3271"/>
      <c r="F169" s="3255">
        <v>0.05</v>
      </c>
      <c r="G169" s="3267"/>
    </row>
    <row r="170" spans="1:7">
      <c r="A170" s="3265" t="s">
        <v>29</v>
      </c>
      <c r="B170" s="3254" t="s">
        <v>3182</v>
      </c>
      <c r="C170" s="3271"/>
      <c r="D170" s="3271"/>
      <c r="E170" s="3271"/>
      <c r="F170" s="3255">
        <v>0.05</v>
      </c>
      <c r="G170" s="3267"/>
    </row>
    <row r="171" spans="1:7">
      <c r="A171" s="3265" t="s">
        <v>29</v>
      </c>
      <c r="B171" s="3254" t="s">
        <v>3183</v>
      </c>
      <c r="C171" s="3271"/>
      <c r="D171" s="3271"/>
      <c r="E171" s="3271"/>
      <c r="F171" s="3255">
        <v>0.05</v>
      </c>
      <c r="G171" s="3272"/>
    </row>
    <row r="172" spans="1:7">
      <c r="A172" s="3265" t="s">
        <v>29</v>
      </c>
      <c r="B172" s="3254" t="s">
        <v>3184</v>
      </c>
      <c r="C172" s="3271"/>
      <c r="D172" s="3271"/>
      <c r="E172" s="3271"/>
      <c r="F172" s="3255">
        <v>0.05</v>
      </c>
      <c r="G172" s="3272"/>
    </row>
    <row r="173" spans="1:7">
      <c r="A173" s="3265" t="s">
        <v>29</v>
      </c>
      <c r="B173" s="3254" t="s">
        <v>3185</v>
      </c>
      <c r="C173" s="3271"/>
      <c r="D173" s="3271"/>
      <c r="E173" s="3271"/>
      <c r="F173" s="3255">
        <v>0.05</v>
      </c>
      <c r="G173" s="3267"/>
    </row>
    <row r="174" spans="1:7">
      <c r="A174" s="3265" t="s">
        <v>29</v>
      </c>
      <c r="B174" s="3254" t="s">
        <v>3186</v>
      </c>
      <c r="C174" s="3271"/>
      <c r="D174" s="3271"/>
      <c r="E174" s="3271"/>
      <c r="F174" s="3255">
        <v>0.05</v>
      </c>
      <c r="G174" s="3267"/>
    </row>
    <row r="175" spans="1:7">
      <c r="A175" s="3265" t="s">
        <v>29</v>
      </c>
      <c r="B175" s="3254" t="s">
        <v>3187</v>
      </c>
      <c r="C175" s="3271"/>
      <c r="D175" s="3271"/>
      <c r="E175" s="3271"/>
      <c r="F175" s="3255">
        <v>0.05</v>
      </c>
      <c r="G175" s="3267"/>
    </row>
    <row r="176" spans="1:7">
      <c r="A176" s="3265" t="s">
        <v>29</v>
      </c>
      <c r="B176" s="3254" t="s">
        <v>3188</v>
      </c>
      <c r="C176" s="3271"/>
      <c r="D176" s="3271"/>
      <c r="E176" s="3271"/>
      <c r="F176" s="3255">
        <v>0.05</v>
      </c>
      <c r="G176" s="3267"/>
    </row>
    <row r="177" spans="1:7">
      <c r="A177" s="3265" t="s">
        <v>29</v>
      </c>
      <c r="B177" s="3254" t="s">
        <v>3189</v>
      </c>
      <c r="C177" s="3266"/>
      <c r="D177" s="3266"/>
      <c r="E177" s="3266"/>
      <c r="F177" s="3255">
        <v>0.05</v>
      </c>
      <c r="G177" s="3272"/>
    </row>
    <row r="178" spans="1:7">
      <c r="A178" s="3265" t="s">
        <v>29</v>
      </c>
      <c r="B178" s="3254" t="s">
        <v>3190</v>
      </c>
      <c r="C178" s="3266"/>
      <c r="D178" s="3266"/>
      <c r="E178" s="3266"/>
      <c r="F178" s="3255">
        <v>0.05</v>
      </c>
      <c r="G178" s="3272"/>
    </row>
    <row r="179" spans="1:7">
      <c r="A179" s="3265" t="s">
        <v>29</v>
      </c>
      <c r="B179" s="3254" t="s">
        <v>3191</v>
      </c>
      <c r="C179" s="3266"/>
      <c r="D179" s="3266"/>
      <c r="E179" s="3266"/>
      <c r="F179" s="3255">
        <v>0.05</v>
      </c>
      <c r="G179" s="3272"/>
    </row>
    <row r="180" spans="1:7">
      <c r="A180" s="3265" t="s">
        <v>29</v>
      </c>
      <c r="B180" s="3254" t="s">
        <v>3192</v>
      </c>
      <c r="C180" s="3266"/>
      <c r="D180" s="3266"/>
      <c r="E180" s="3266"/>
      <c r="F180" s="3255">
        <v>0.05</v>
      </c>
      <c r="G180" s="3272"/>
    </row>
    <row r="181" spans="1:7">
      <c r="A181" s="3265" t="s">
        <v>29</v>
      </c>
      <c r="B181" s="3254" t="s">
        <v>3193</v>
      </c>
      <c r="C181" s="3266"/>
      <c r="D181" s="3266"/>
      <c r="E181" s="3266"/>
      <c r="F181" s="3255">
        <v>0.05</v>
      </c>
      <c r="G181" s="3272"/>
    </row>
    <row r="182" spans="1:7">
      <c r="A182" s="3265" t="s">
        <v>29</v>
      </c>
      <c r="B182" s="3254" t="s">
        <v>3194</v>
      </c>
      <c r="C182" s="3266"/>
      <c r="D182" s="3266"/>
      <c r="E182" s="3266"/>
      <c r="F182" s="3255">
        <v>0.05</v>
      </c>
      <c r="G182" s="3272"/>
    </row>
    <row r="183" spans="1:7">
      <c r="A183" s="3265" t="s">
        <v>29</v>
      </c>
      <c r="B183" s="3254" t="s">
        <v>3195</v>
      </c>
      <c r="C183" s="3266"/>
      <c r="D183" s="3266"/>
      <c r="E183" s="3266"/>
      <c r="F183" s="3255">
        <v>0.05</v>
      </c>
      <c r="G183" s="3272"/>
    </row>
    <row r="184" spans="1:7">
      <c r="A184" s="3265" t="s">
        <v>29</v>
      </c>
      <c r="B184" s="3254" t="s">
        <v>3196</v>
      </c>
      <c r="C184" s="3266"/>
      <c r="D184" s="3266"/>
      <c r="E184" s="3266"/>
      <c r="F184" s="3255">
        <v>0.05</v>
      </c>
      <c r="G184" s="3272"/>
    </row>
    <row r="185" spans="1:7">
      <c r="A185" s="3265" t="s">
        <v>29</v>
      </c>
      <c r="B185" s="3254" t="s">
        <v>3197</v>
      </c>
      <c r="C185" s="3266"/>
      <c r="D185" s="3266"/>
      <c r="E185" s="3266"/>
      <c r="F185" s="3255">
        <v>0.05</v>
      </c>
      <c r="G185" s="3272"/>
    </row>
    <row r="186" spans="1:7">
      <c r="A186" s="3265" t="s">
        <v>29</v>
      </c>
      <c r="B186" s="3254" t="s">
        <v>3198</v>
      </c>
      <c r="C186" s="3266"/>
      <c r="D186" s="3266"/>
      <c r="E186" s="3266"/>
      <c r="F186" s="3255">
        <v>0.05</v>
      </c>
      <c r="G186" s="3272"/>
    </row>
    <row r="187" spans="1:7">
      <c r="A187" s="3265" t="s">
        <v>29</v>
      </c>
      <c r="B187" s="3254" t="s">
        <v>3199</v>
      </c>
      <c r="C187" s="3266"/>
      <c r="D187" s="3266"/>
      <c r="E187" s="3266"/>
      <c r="F187" s="3255">
        <v>0.05</v>
      </c>
      <c r="G187" s="3272"/>
    </row>
    <row r="188" spans="1:7">
      <c r="A188" s="3265" t="s">
        <v>29</v>
      </c>
      <c r="B188" s="3254" t="s">
        <v>3200</v>
      </c>
      <c r="C188" s="3266"/>
      <c r="D188" s="3266"/>
      <c r="E188" s="3266"/>
      <c r="F188" s="3255">
        <v>0.05</v>
      </c>
      <c r="G188" s="3272"/>
    </row>
    <row r="189" spans="1:7" ht="14.25" thickBot="1">
      <c r="A189" s="3268" t="s">
        <v>29</v>
      </c>
      <c r="B189" s="3258" t="s">
        <v>3201</v>
      </c>
      <c r="C189" s="3260"/>
      <c r="D189" s="3260"/>
      <c r="E189" s="3260"/>
      <c r="F189" s="3259">
        <v>0.05</v>
      </c>
      <c r="G189" s="3273"/>
    </row>
    <row r="190" spans="1:7">
      <c r="A190" s="3264" t="s">
        <v>304</v>
      </c>
      <c r="B190" s="3250" t="s">
        <v>2857</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2893</v>
      </c>
      <c r="C199" s="3255">
        <v>0.13</v>
      </c>
      <c r="D199" s="3255">
        <v>0.13</v>
      </c>
      <c r="E199" s="3255">
        <v>0.13</v>
      </c>
      <c r="F199" s="3255">
        <v>0.13</v>
      </c>
      <c r="G199" s="3256">
        <v>0.13</v>
      </c>
    </row>
    <row r="200" spans="1:7">
      <c r="A200" s="3265" t="s">
        <v>304</v>
      </c>
      <c r="B200" s="3254" t="s">
        <v>2896</v>
      </c>
      <c r="C200" s="3271"/>
      <c r="D200" s="3271"/>
      <c r="E200" s="3271"/>
      <c r="F200" s="3255">
        <v>0.13</v>
      </c>
      <c r="G200" s="3267"/>
    </row>
    <row r="201" spans="1:7">
      <c r="A201" s="3265" t="s">
        <v>304</v>
      </c>
      <c r="B201" s="3254" t="s">
        <v>2901</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2904</v>
      </c>
      <c r="C203" s="3255">
        <v>0.129</v>
      </c>
      <c r="D203" s="3255">
        <v>0.129</v>
      </c>
      <c r="E203" s="3255">
        <v>0.13</v>
      </c>
      <c r="F203" s="3255">
        <v>0.13</v>
      </c>
      <c r="G203" s="3256">
        <v>0.13</v>
      </c>
    </row>
    <row r="204" spans="1:7">
      <c r="A204" s="3265" t="s">
        <v>304</v>
      </c>
      <c r="B204" s="3254" t="s">
        <v>2907</v>
      </c>
      <c r="C204" s="3255">
        <v>0.129</v>
      </c>
      <c r="D204" s="3255">
        <v>0.129</v>
      </c>
      <c r="E204" s="3255">
        <v>0.123</v>
      </c>
      <c r="F204" s="3255">
        <v>0.13</v>
      </c>
      <c r="G204" s="3256">
        <v>0.13</v>
      </c>
    </row>
    <row r="205" spans="1:7">
      <c r="A205" s="3265" t="s">
        <v>304</v>
      </c>
      <c r="B205" s="3254" t="s">
        <v>2909</v>
      </c>
      <c r="C205" s="3255">
        <v>0.13</v>
      </c>
      <c r="D205" s="3255">
        <v>0.13</v>
      </c>
      <c r="E205" s="3255">
        <v>0.13</v>
      </c>
      <c r="F205" s="3255">
        <v>0.13</v>
      </c>
      <c r="G205" s="3256">
        <v>0.13</v>
      </c>
    </row>
    <row r="206" spans="1:7">
      <c r="A206" s="3265" t="s">
        <v>304</v>
      </c>
      <c r="B206" s="3254" t="s">
        <v>2912</v>
      </c>
      <c r="C206" s="3255">
        <v>0.13</v>
      </c>
      <c r="D206" s="3255">
        <v>0.13</v>
      </c>
      <c r="E206" s="3255">
        <v>0.13</v>
      </c>
      <c r="F206" s="3255">
        <v>0.128</v>
      </c>
      <c r="G206" s="3256">
        <v>0.13</v>
      </c>
    </row>
    <row r="207" spans="1:7">
      <c r="A207" s="3265" t="s">
        <v>304</v>
      </c>
      <c r="B207" s="3254" t="s">
        <v>2914</v>
      </c>
      <c r="C207" s="3255">
        <v>0.13</v>
      </c>
      <c r="D207" s="3255">
        <v>0.13</v>
      </c>
      <c r="E207" s="3255">
        <v>0.13</v>
      </c>
      <c r="F207" s="3255">
        <v>0.13</v>
      </c>
      <c r="G207" s="3256">
        <v>0.13</v>
      </c>
    </row>
    <row r="208" spans="1:7">
      <c r="A208" s="3265" t="s">
        <v>304</v>
      </c>
      <c r="B208" s="3254" t="s">
        <v>2917</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2924</v>
      </c>
      <c r="C210" s="3255">
        <v>0.121</v>
      </c>
      <c r="D210" s="3255">
        <v>0.121</v>
      </c>
      <c r="E210" s="3255">
        <v>0.125</v>
      </c>
      <c r="F210" s="3255">
        <v>0.13</v>
      </c>
      <c r="G210" s="3256">
        <v>0.123</v>
      </c>
    </row>
    <row r="211" spans="1:7">
      <c r="A211" s="3265" t="s">
        <v>304</v>
      </c>
      <c r="B211" s="3254" t="s">
        <v>2927</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2939</v>
      </c>
      <c r="C214" s="3255">
        <v>0.128</v>
      </c>
      <c r="D214" s="3255">
        <v>0.128</v>
      </c>
      <c r="E214" s="3255">
        <v>0.13</v>
      </c>
      <c r="F214" s="3255">
        <v>0.13</v>
      </c>
      <c r="G214" s="3256">
        <v>0.13</v>
      </c>
    </row>
    <row r="215" spans="1:7">
      <c r="A215" s="3265" t="s">
        <v>304</v>
      </c>
      <c r="B215" s="3254" t="s">
        <v>2943</v>
      </c>
      <c r="C215" s="3255">
        <v>0.13</v>
      </c>
      <c r="D215" s="3255">
        <v>0.13</v>
      </c>
      <c r="E215" s="3255">
        <v>0.13</v>
      </c>
      <c r="F215" s="3255">
        <v>0.129</v>
      </c>
      <c r="G215" s="3256">
        <v>0.13</v>
      </c>
    </row>
    <row r="216" spans="1:7">
      <c r="A216" s="3265" t="s">
        <v>304</v>
      </c>
      <c r="B216" s="3254" t="s">
        <v>2950</v>
      </c>
      <c r="C216" s="3255">
        <v>0.13</v>
      </c>
      <c r="D216" s="3255">
        <v>0.13</v>
      </c>
      <c r="E216" s="3255">
        <v>0.13</v>
      </c>
      <c r="F216" s="3255">
        <v>0.13</v>
      </c>
      <c r="G216" s="3256">
        <v>0.13</v>
      </c>
    </row>
    <row r="217" spans="1:7">
      <c r="A217" s="3265" t="s">
        <v>304</v>
      </c>
      <c r="B217" s="3254" t="s">
        <v>2957</v>
      </c>
      <c r="C217" s="3255">
        <v>0.129</v>
      </c>
      <c r="D217" s="3255">
        <v>0.129</v>
      </c>
      <c r="E217" s="3255">
        <v>0.13</v>
      </c>
      <c r="F217" s="3255">
        <v>0.13</v>
      </c>
      <c r="G217" s="3256">
        <v>0.13</v>
      </c>
    </row>
    <row r="218" spans="1:7">
      <c r="A218" s="3265" t="s">
        <v>304</v>
      </c>
      <c r="B218" s="3254" t="s">
        <v>2963</v>
      </c>
      <c r="C218" s="3266"/>
      <c r="D218" s="3266"/>
      <c r="E218" s="3266"/>
      <c r="F218" s="3255">
        <v>0.05</v>
      </c>
      <c r="G218" s="3272"/>
    </row>
    <row r="219" spans="1:7">
      <c r="A219" s="3265" t="s">
        <v>304</v>
      </c>
      <c r="B219" s="3254" t="s">
        <v>2970</v>
      </c>
      <c r="C219" s="3266"/>
      <c r="D219" s="3266"/>
      <c r="E219" s="3266"/>
      <c r="F219" s="3255">
        <v>0.05</v>
      </c>
      <c r="G219" s="3272"/>
    </row>
    <row r="220" spans="1:7">
      <c r="A220" s="3265" t="s">
        <v>304</v>
      </c>
      <c r="B220" s="3254" t="s">
        <v>2976</v>
      </c>
      <c r="C220" s="3266"/>
      <c r="D220" s="3266"/>
      <c r="E220" s="3266"/>
      <c r="F220" s="3255">
        <v>0.05</v>
      </c>
      <c r="G220" s="3272"/>
    </row>
    <row r="221" spans="1:7">
      <c r="A221" s="3265" t="s">
        <v>304</v>
      </c>
      <c r="B221" s="3254" t="s">
        <v>2981</v>
      </c>
      <c r="C221" s="3266"/>
      <c r="D221" s="3266"/>
      <c r="E221" s="3266"/>
      <c r="F221" s="3255">
        <v>0.05</v>
      </c>
      <c r="G221" s="3272"/>
    </row>
    <row r="222" spans="1:7">
      <c r="A222" s="3265" t="s">
        <v>304</v>
      </c>
      <c r="B222" s="3254" t="s">
        <v>2985</v>
      </c>
      <c r="C222" s="3266"/>
      <c r="D222" s="3266"/>
      <c r="E222" s="3266"/>
      <c r="F222" s="3255">
        <v>0.05</v>
      </c>
      <c r="G222" s="3272"/>
    </row>
    <row r="223" spans="1:7">
      <c r="A223" s="3265" t="s">
        <v>304</v>
      </c>
      <c r="B223" s="3254" t="s">
        <v>2990</v>
      </c>
      <c r="C223" s="3266"/>
      <c r="D223" s="3266"/>
      <c r="E223" s="3266"/>
      <c r="F223" s="3255">
        <v>0.05</v>
      </c>
      <c r="G223" s="3272"/>
    </row>
    <row r="224" spans="1:7">
      <c r="A224" s="3265" t="s">
        <v>304</v>
      </c>
      <c r="B224" s="3254" t="s">
        <v>2995</v>
      </c>
      <c r="C224" s="3266"/>
      <c r="D224" s="3266"/>
      <c r="E224" s="3266"/>
      <c r="F224" s="3255">
        <v>0.05</v>
      </c>
      <c r="G224" s="3272"/>
    </row>
    <row r="225" spans="1:7">
      <c r="A225" s="3265" t="s">
        <v>304</v>
      </c>
      <c r="B225" s="3254" t="s">
        <v>3000</v>
      </c>
      <c r="C225" s="3266"/>
      <c r="D225" s="3266"/>
      <c r="E225" s="3266"/>
      <c r="F225" s="3255">
        <v>0.05</v>
      </c>
      <c r="G225" s="3272"/>
    </row>
    <row r="226" spans="1:7">
      <c r="A226" s="3265" t="s">
        <v>304</v>
      </c>
      <c r="B226" s="3254" t="s">
        <v>3202</v>
      </c>
      <c r="C226" s="3266"/>
      <c r="D226" s="3266"/>
      <c r="E226" s="3266"/>
      <c r="F226" s="3255">
        <v>0.05</v>
      </c>
      <c r="G226" s="3272"/>
    </row>
    <row r="227" spans="1:7">
      <c r="A227" s="3265" t="s">
        <v>304</v>
      </c>
      <c r="B227" s="3254" t="s">
        <v>3203</v>
      </c>
      <c r="C227" s="3266"/>
      <c r="D227" s="3266"/>
      <c r="E227" s="3266"/>
      <c r="F227" s="3255">
        <v>0.05</v>
      </c>
      <c r="G227" s="3272"/>
    </row>
    <row r="228" spans="1:7">
      <c r="A228" s="3265" t="s">
        <v>304</v>
      </c>
      <c r="B228" s="3254" t="s">
        <v>3204</v>
      </c>
      <c r="C228" s="3266"/>
      <c r="D228" s="3266"/>
      <c r="E228" s="3266"/>
      <c r="F228" s="3255">
        <v>0.05</v>
      </c>
      <c r="G228" s="3272"/>
    </row>
    <row r="229" spans="1:7">
      <c r="A229" s="3265" t="s">
        <v>304</v>
      </c>
      <c r="B229" s="3254" t="s">
        <v>3205</v>
      </c>
      <c r="C229" s="3266"/>
      <c r="D229" s="3266"/>
      <c r="E229" s="3266"/>
      <c r="F229" s="3255">
        <v>0.05</v>
      </c>
      <c r="G229" s="3272"/>
    </row>
    <row r="230" spans="1:7">
      <c r="A230" s="3265" t="s">
        <v>304</v>
      </c>
      <c r="B230" s="3254" t="s">
        <v>3206</v>
      </c>
      <c r="C230" s="3266"/>
      <c r="D230" s="3266"/>
      <c r="E230" s="3266"/>
      <c r="F230" s="3255">
        <v>0.05</v>
      </c>
      <c r="G230" s="3272"/>
    </row>
    <row r="231" spans="1:7">
      <c r="A231" s="3265" t="s">
        <v>304</v>
      </c>
      <c r="B231" s="3254" t="s">
        <v>3207</v>
      </c>
      <c r="C231" s="3266"/>
      <c r="D231" s="3266"/>
      <c r="E231" s="3266"/>
      <c r="F231" s="3255">
        <v>0.05</v>
      </c>
      <c r="G231" s="3272"/>
    </row>
    <row r="232" spans="1:7">
      <c r="A232" s="3265" t="s">
        <v>304</v>
      </c>
      <c r="B232" s="3254" t="s">
        <v>3208</v>
      </c>
      <c r="C232" s="3266"/>
      <c r="D232" s="3266"/>
      <c r="E232" s="3266"/>
      <c r="F232" s="3255">
        <v>0.05</v>
      </c>
      <c r="G232" s="3272"/>
    </row>
    <row r="233" spans="1:7" ht="14.25" thickBot="1">
      <c r="A233" s="3268" t="s">
        <v>304</v>
      </c>
      <c r="B233" s="3258" t="s">
        <v>3209</v>
      </c>
      <c r="C233" s="3260"/>
      <c r="D233" s="3260"/>
      <c r="E233" s="3260"/>
      <c r="F233" s="3259">
        <v>0.05</v>
      </c>
      <c r="G233" s="3273"/>
    </row>
    <row r="234" spans="1:7">
      <c r="A234" s="3264" t="s">
        <v>305</v>
      </c>
      <c r="B234" s="3250" t="s">
        <v>2858</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2878</v>
      </c>
      <c r="C238" s="3255">
        <v>0.14899999999999999</v>
      </c>
      <c r="D238" s="3255">
        <v>0.14899999999999999</v>
      </c>
      <c r="E238" s="3255">
        <v>0.15</v>
      </c>
      <c r="F238" s="3255">
        <v>0.15</v>
      </c>
      <c r="G238" s="3256">
        <v>0.15</v>
      </c>
    </row>
    <row r="239" spans="1:7">
      <c r="A239" s="3265" t="s">
        <v>305</v>
      </c>
      <c r="B239" s="3254" t="s">
        <v>2882</v>
      </c>
      <c r="C239" s="3255">
        <v>0.15</v>
      </c>
      <c r="D239" s="3255">
        <v>0.15</v>
      </c>
      <c r="E239" s="3255">
        <v>0.15</v>
      </c>
      <c r="F239" s="3255">
        <v>0.15</v>
      </c>
      <c r="G239" s="3256">
        <v>0.15</v>
      </c>
    </row>
    <row r="240" spans="1:7">
      <c r="A240" s="3265" t="s">
        <v>305</v>
      </c>
      <c r="B240" s="3254" t="s">
        <v>2887</v>
      </c>
      <c r="C240" s="3255">
        <v>0.15</v>
      </c>
      <c r="D240" s="3255">
        <v>0.15</v>
      </c>
      <c r="E240" s="3255">
        <v>0.15</v>
      </c>
      <c r="F240" s="3255">
        <v>0.15</v>
      </c>
      <c r="G240" s="3256">
        <v>0.15</v>
      </c>
    </row>
    <row r="241" spans="1:7">
      <c r="A241" s="3265" t="s">
        <v>305</v>
      </c>
      <c r="B241" s="3254" t="s">
        <v>2891</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2897</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2905</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2910</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2918</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2931</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2940</v>
      </c>
      <c r="C258" s="3255">
        <v>0.14299999999999999</v>
      </c>
      <c r="D258" s="3255">
        <v>0.14299999999999999</v>
      </c>
      <c r="E258" s="3255">
        <v>0.15</v>
      </c>
      <c r="F258" s="3255">
        <v>0.14799999999999999</v>
      </c>
      <c r="G258" s="3256">
        <v>0.14599999999999999</v>
      </c>
    </row>
    <row r="259" spans="1:7">
      <c r="A259" s="3265" t="s">
        <v>305</v>
      </c>
      <c r="B259" s="3254" t="s">
        <v>2944</v>
      </c>
      <c r="C259" s="3255">
        <v>0.14399999999999999</v>
      </c>
      <c r="D259" s="3255">
        <v>0.14399999999999999</v>
      </c>
      <c r="E259" s="3255">
        <v>0.14899999999999999</v>
      </c>
      <c r="F259" s="3255">
        <v>0.14699999999999999</v>
      </c>
      <c r="G259" s="3256">
        <v>0.14599999999999999</v>
      </c>
    </row>
    <row r="260" spans="1:7">
      <c r="A260" s="3265" t="s">
        <v>305</v>
      </c>
      <c r="B260" s="3254" t="s">
        <v>2951</v>
      </c>
      <c r="C260" s="3255">
        <v>0.109</v>
      </c>
      <c r="D260" s="3255">
        <v>0.111</v>
      </c>
      <c r="E260" s="3255">
        <v>0.13100000000000001</v>
      </c>
      <c r="F260" s="3255">
        <v>0.126</v>
      </c>
      <c r="G260" s="3256">
        <v>0.11899999999999999</v>
      </c>
    </row>
    <row r="261" spans="1:7">
      <c r="A261" s="3265" t="s">
        <v>305</v>
      </c>
      <c r="B261" s="3254" t="s">
        <v>2958</v>
      </c>
      <c r="C261" s="3255">
        <v>0.1</v>
      </c>
      <c r="D261" s="3255">
        <v>0.1</v>
      </c>
      <c r="E261" s="3255">
        <v>0.11799999999999999</v>
      </c>
      <c r="F261" s="3255">
        <v>0.108</v>
      </c>
      <c r="G261" s="3256">
        <v>0.107</v>
      </c>
    </row>
    <row r="262" spans="1:7">
      <c r="A262" s="3265" t="s">
        <v>305</v>
      </c>
      <c r="B262" s="3254" t="s">
        <v>2964</v>
      </c>
      <c r="C262" s="3255">
        <v>0.1</v>
      </c>
      <c r="D262" s="3255">
        <v>0.1</v>
      </c>
      <c r="E262" s="3255">
        <v>0.1</v>
      </c>
      <c r="F262" s="3255">
        <v>0.14099999999999999</v>
      </c>
      <c r="G262" s="3256">
        <v>0.1</v>
      </c>
    </row>
    <row r="263" spans="1:7">
      <c r="A263" s="3265" t="s">
        <v>305</v>
      </c>
      <c r="B263" s="3254" t="s">
        <v>2971</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2982</v>
      </c>
      <c r="C265" s="3266"/>
      <c r="D265" s="3266"/>
      <c r="E265" s="3266"/>
      <c r="F265" s="3255">
        <v>0.05</v>
      </c>
      <c r="G265" s="3272"/>
    </row>
    <row r="266" spans="1:7">
      <c r="A266" s="3265" t="s">
        <v>305</v>
      </c>
      <c r="B266" s="3254" t="s">
        <v>2986</v>
      </c>
      <c r="C266" s="3266"/>
      <c r="D266" s="3266"/>
      <c r="E266" s="3266"/>
      <c r="F266" s="3255">
        <v>0.05</v>
      </c>
      <c r="G266" s="3272"/>
    </row>
    <row r="267" spans="1:7">
      <c r="A267" s="3265" t="s">
        <v>305</v>
      </c>
      <c r="B267" s="3254" t="s">
        <v>2991</v>
      </c>
      <c r="C267" s="3266"/>
      <c r="D267" s="3266"/>
      <c r="E267" s="3266"/>
      <c r="F267" s="3255">
        <v>0.05</v>
      </c>
      <c r="G267" s="3272"/>
    </row>
    <row r="268" spans="1:7">
      <c r="A268" s="3265" t="s">
        <v>305</v>
      </c>
      <c r="B268" s="3254" t="s">
        <v>2996</v>
      </c>
      <c r="C268" s="3266"/>
      <c r="D268" s="3266"/>
      <c r="E268" s="3266"/>
      <c r="F268" s="3255">
        <v>0.05</v>
      </c>
      <c r="G268" s="3272"/>
    </row>
    <row r="269" spans="1:7">
      <c r="A269" s="3265" t="s">
        <v>305</v>
      </c>
      <c r="B269" s="3254" t="s">
        <v>3001</v>
      </c>
      <c r="C269" s="3266"/>
      <c r="D269" s="3266"/>
      <c r="E269" s="3266"/>
      <c r="F269" s="3255">
        <v>0.05</v>
      </c>
      <c r="G269" s="3272"/>
    </row>
    <row r="270" spans="1:7">
      <c r="A270" s="3265" t="s">
        <v>305</v>
      </c>
      <c r="B270" s="3254" t="s">
        <v>3006</v>
      </c>
      <c r="C270" s="3266"/>
      <c r="D270" s="3266"/>
      <c r="E270" s="3266"/>
      <c r="F270" s="3255">
        <v>0.05</v>
      </c>
      <c r="G270" s="3272"/>
    </row>
    <row r="271" spans="1:7">
      <c r="A271" s="3265" t="s">
        <v>305</v>
      </c>
      <c r="B271" s="3254" t="s">
        <v>3210</v>
      </c>
      <c r="C271" s="3266"/>
      <c r="D271" s="3266"/>
      <c r="E271" s="3266"/>
      <c r="F271" s="3255">
        <v>0.05</v>
      </c>
      <c r="G271" s="3272"/>
    </row>
    <row r="272" spans="1:7">
      <c r="A272" s="3265" t="s">
        <v>305</v>
      </c>
      <c r="B272" s="3254" t="s">
        <v>3211</v>
      </c>
      <c r="C272" s="3266"/>
      <c r="D272" s="3266"/>
      <c r="E272" s="3266"/>
      <c r="F272" s="3255">
        <v>0.05</v>
      </c>
      <c r="G272" s="3272"/>
    </row>
    <row r="273" spans="1:7">
      <c r="A273" s="3265" t="s">
        <v>305</v>
      </c>
      <c r="B273" s="3254" t="s">
        <v>3212</v>
      </c>
      <c r="C273" s="3266"/>
      <c r="D273" s="3266"/>
      <c r="E273" s="3266"/>
      <c r="F273" s="3255">
        <v>0.05</v>
      </c>
      <c r="G273" s="3272"/>
    </row>
    <row r="274" spans="1:7">
      <c r="A274" s="3265" t="s">
        <v>305</v>
      </c>
      <c r="B274" s="3254" t="s">
        <v>3213</v>
      </c>
      <c r="C274" s="3266"/>
      <c r="D274" s="3266"/>
      <c r="E274" s="3266"/>
      <c r="F274" s="3255">
        <v>0.05</v>
      </c>
      <c r="G274" s="3272"/>
    </row>
    <row r="275" spans="1:7">
      <c r="A275" s="3265" t="s">
        <v>305</v>
      </c>
      <c r="B275" s="3254" t="s">
        <v>3214</v>
      </c>
      <c r="C275" s="3266"/>
      <c r="D275" s="3266"/>
      <c r="E275" s="3266"/>
      <c r="F275" s="3255">
        <v>0.05</v>
      </c>
      <c r="G275" s="3272"/>
    </row>
    <row r="276" spans="1:7" ht="14.25" thickBot="1">
      <c r="A276" s="3268" t="s">
        <v>305</v>
      </c>
      <c r="B276" s="3258" t="s">
        <v>3215</v>
      </c>
      <c r="C276" s="3260"/>
      <c r="D276" s="3260"/>
      <c r="E276" s="3260"/>
      <c r="F276" s="3259">
        <v>0.05</v>
      </c>
      <c r="G276" s="3273"/>
    </row>
    <row r="277" spans="1:7">
      <c r="A277" s="3264" t="s">
        <v>306</v>
      </c>
      <c r="B277" s="3250" t="s">
        <v>2859</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2871</v>
      </c>
      <c r="C279" s="3255">
        <v>0.15</v>
      </c>
      <c r="D279" s="3255">
        <v>0.15</v>
      </c>
      <c r="E279" s="3255">
        <v>0.15</v>
      </c>
      <c r="F279" s="3255">
        <v>0.15</v>
      </c>
      <c r="G279" s="3256">
        <v>0.15</v>
      </c>
    </row>
    <row r="280" spans="1:7">
      <c r="A280" s="3265" t="s">
        <v>306</v>
      </c>
      <c r="B280" s="3254" t="s">
        <v>2875</v>
      </c>
      <c r="C280" s="3255">
        <v>0.15</v>
      </c>
      <c r="D280" s="3255">
        <v>0.15</v>
      </c>
      <c r="E280" s="3255">
        <v>0.15</v>
      </c>
      <c r="F280" s="3255">
        <v>0.15</v>
      </c>
      <c r="G280" s="3256">
        <v>0.15</v>
      </c>
    </row>
    <row r="281" spans="1:7">
      <c r="A281" s="3265" t="s">
        <v>306</v>
      </c>
      <c r="B281" s="3254" t="s">
        <v>2879</v>
      </c>
      <c r="C281" s="3255">
        <v>0.15</v>
      </c>
      <c r="D281" s="3255">
        <v>0.15</v>
      </c>
      <c r="E281" s="3255">
        <v>0.15</v>
      </c>
      <c r="F281" s="3255">
        <v>0.15</v>
      </c>
      <c r="G281" s="3256">
        <v>0.15</v>
      </c>
    </row>
    <row r="282" spans="1:7">
      <c r="A282" s="3265" t="s">
        <v>306</v>
      </c>
      <c r="B282" s="3254" t="s">
        <v>2883</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2898</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2903</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2913</v>
      </c>
      <c r="C293" s="3255">
        <v>0.15</v>
      </c>
      <c r="D293" s="3255">
        <v>0.15</v>
      </c>
      <c r="E293" s="3255">
        <v>0.15</v>
      </c>
      <c r="F293" s="3255">
        <v>0.14499999999999999</v>
      </c>
      <c r="G293" s="3256">
        <v>0.15</v>
      </c>
    </row>
    <row r="294" spans="1:7">
      <c r="A294" s="3265" t="s">
        <v>306</v>
      </c>
      <c r="B294" s="3254" t="s">
        <v>2915</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2932</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2945</v>
      </c>
      <c r="C302" s="3255">
        <v>0.15</v>
      </c>
      <c r="D302" s="3255">
        <v>0.15</v>
      </c>
      <c r="E302" s="3255">
        <v>0.15</v>
      </c>
      <c r="F302" s="3255">
        <v>0.14699999999999999</v>
      </c>
      <c r="G302" s="3256">
        <v>0.15</v>
      </c>
    </row>
    <row r="303" spans="1:7">
      <c r="A303" s="3265" t="s">
        <v>306</v>
      </c>
      <c r="B303" s="3254" t="s">
        <v>2952</v>
      </c>
      <c r="C303" s="3255">
        <v>0.15</v>
      </c>
      <c r="D303" s="3255">
        <v>0.15</v>
      </c>
      <c r="E303" s="3255">
        <v>0.15</v>
      </c>
      <c r="F303" s="3255">
        <v>0.14199999999999999</v>
      </c>
      <c r="G303" s="3256">
        <v>0.15</v>
      </c>
    </row>
    <row r="304" spans="1:7">
      <c r="A304" s="3265" t="s">
        <v>306</v>
      </c>
      <c r="B304" s="3254" t="s">
        <v>2959</v>
      </c>
      <c r="C304" s="3255">
        <v>0.15</v>
      </c>
      <c r="D304" s="3255">
        <v>0.15</v>
      </c>
      <c r="E304" s="3255">
        <v>0.15</v>
      </c>
      <c r="F304" s="3255">
        <v>0.14499999999999999</v>
      </c>
      <c r="G304" s="3256">
        <v>0.15</v>
      </c>
    </row>
    <row r="305" spans="1:7">
      <c r="A305" s="3265" t="s">
        <v>306</v>
      </c>
      <c r="B305" s="3254" t="s">
        <v>2965</v>
      </c>
      <c r="C305" s="3255">
        <v>0.15</v>
      </c>
      <c r="D305" s="3255">
        <v>0.15</v>
      </c>
      <c r="E305" s="3255">
        <v>0.15</v>
      </c>
      <c r="F305" s="3255">
        <v>0.111</v>
      </c>
      <c r="G305" s="3256">
        <v>0.15</v>
      </c>
    </row>
    <row r="306" spans="1:7">
      <c r="A306" s="3265" t="s">
        <v>306</v>
      </c>
      <c r="B306" s="3254" t="s">
        <v>2972</v>
      </c>
      <c r="C306" s="3255">
        <v>0.15</v>
      </c>
      <c r="D306" s="3255">
        <v>0.15</v>
      </c>
      <c r="E306" s="3255">
        <v>0.15</v>
      </c>
      <c r="F306" s="3255">
        <v>0.126</v>
      </c>
      <c r="G306" s="3256">
        <v>0.15</v>
      </c>
    </row>
    <row r="307" spans="1:7">
      <c r="A307" s="3265" t="s">
        <v>306</v>
      </c>
      <c r="B307" s="3254" t="s">
        <v>2977</v>
      </c>
      <c r="C307" s="3255">
        <v>0.15</v>
      </c>
      <c r="D307" s="3255">
        <v>0.15</v>
      </c>
      <c r="E307" s="3255">
        <v>0.15</v>
      </c>
      <c r="F307" s="3255">
        <v>0.12</v>
      </c>
      <c r="G307" s="3256">
        <v>0.15</v>
      </c>
    </row>
    <row r="308" spans="1:7">
      <c r="A308" s="3265" t="s">
        <v>306</v>
      </c>
      <c r="B308" s="3254" t="s">
        <v>2983</v>
      </c>
      <c r="C308" s="3255">
        <v>0.15</v>
      </c>
      <c r="D308" s="3255">
        <v>0.15</v>
      </c>
      <c r="E308" s="3255">
        <v>0.15</v>
      </c>
      <c r="F308" s="3255">
        <v>0.13</v>
      </c>
      <c r="G308" s="3256">
        <v>0.15</v>
      </c>
    </row>
    <row r="309" spans="1:7">
      <c r="A309" s="3265" t="s">
        <v>306</v>
      </c>
      <c r="B309" s="3254" t="s">
        <v>2987</v>
      </c>
      <c r="C309" s="3255">
        <v>0.15</v>
      </c>
      <c r="D309" s="3255">
        <v>0.15</v>
      </c>
      <c r="E309" s="3255">
        <v>0.15</v>
      </c>
      <c r="F309" s="3255">
        <v>0.14099999999999999</v>
      </c>
      <c r="G309" s="3256">
        <v>0.15</v>
      </c>
    </row>
    <row r="310" spans="1:7">
      <c r="A310" s="3265" t="s">
        <v>306</v>
      </c>
      <c r="B310" s="3254" t="s">
        <v>2992</v>
      </c>
      <c r="C310" s="3255">
        <v>0.15</v>
      </c>
      <c r="D310" s="3255">
        <v>0.15</v>
      </c>
      <c r="E310" s="3255">
        <v>0.15</v>
      </c>
      <c r="F310" s="3255">
        <v>0.15</v>
      </c>
      <c r="G310" s="3256">
        <v>0.15</v>
      </c>
    </row>
    <row r="311" spans="1:7">
      <c r="A311" s="3265" t="s">
        <v>306</v>
      </c>
      <c r="B311" s="3254" t="s">
        <v>2997</v>
      </c>
      <c r="C311" s="3255">
        <v>0.13200000000000001</v>
      </c>
      <c r="D311" s="3255">
        <v>0.13300000000000001</v>
      </c>
      <c r="E311" s="3255">
        <v>0.14499999999999999</v>
      </c>
      <c r="F311" s="3255">
        <v>0.14199999999999999</v>
      </c>
      <c r="G311" s="3256">
        <v>0.14000000000000001</v>
      </c>
    </row>
    <row r="312" spans="1:7">
      <c r="A312" s="3265" t="s">
        <v>306</v>
      </c>
      <c r="B312" s="3254" t="s">
        <v>3002</v>
      </c>
      <c r="C312" s="3255">
        <v>0.13800000000000001</v>
      </c>
      <c r="D312" s="3255">
        <v>0.14000000000000001</v>
      </c>
      <c r="E312" s="3255">
        <v>0.14599999999999999</v>
      </c>
      <c r="F312" s="3255">
        <v>0.14899999999999999</v>
      </c>
      <c r="G312" s="3256">
        <v>0.14199999999999999</v>
      </c>
    </row>
    <row r="313" spans="1:7">
      <c r="A313" s="3265" t="s">
        <v>306</v>
      </c>
      <c r="B313" s="3254" t="s">
        <v>3007</v>
      </c>
      <c r="C313" s="3255">
        <v>0.125</v>
      </c>
      <c r="D313" s="3255">
        <v>0.127</v>
      </c>
      <c r="E313" s="3255">
        <v>0.14399999999999999</v>
      </c>
      <c r="F313" s="3255">
        <v>0.115</v>
      </c>
      <c r="G313" s="3256">
        <v>0.13600000000000001</v>
      </c>
    </row>
    <row r="314" spans="1:7">
      <c r="A314" s="3265" t="s">
        <v>306</v>
      </c>
      <c r="B314" s="3254" t="s">
        <v>3216</v>
      </c>
      <c r="C314" s="3271"/>
      <c r="D314" s="3271"/>
      <c r="E314" s="3271"/>
      <c r="F314" s="3255">
        <v>0.05</v>
      </c>
      <c r="G314" s="3272"/>
    </row>
    <row r="315" spans="1:7">
      <c r="A315" s="3265" t="s">
        <v>306</v>
      </c>
      <c r="B315" s="3254" t="s">
        <v>3217</v>
      </c>
      <c r="C315" s="3271"/>
      <c r="D315" s="3271"/>
      <c r="E315" s="3271"/>
      <c r="F315" s="3255">
        <v>0.05</v>
      </c>
      <c r="G315" s="3272"/>
    </row>
    <row r="316" spans="1:7">
      <c r="A316" s="3265" t="s">
        <v>306</v>
      </c>
      <c r="B316" s="3254" t="s">
        <v>3218</v>
      </c>
      <c r="C316" s="3266"/>
      <c r="D316" s="3266"/>
      <c r="E316" s="3266"/>
      <c r="F316" s="3255">
        <v>0.05</v>
      </c>
      <c r="G316" s="3272"/>
    </row>
    <row r="317" spans="1:7">
      <c r="A317" s="3265" t="s">
        <v>306</v>
      </c>
      <c r="B317" s="3254" t="s">
        <v>3219</v>
      </c>
      <c r="C317" s="3266"/>
      <c r="D317" s="3266"/>
      <c r="E317" s="3266"/>
      <c r="F317" s="3255">
        <v>0.05</v>
      </c>
      <c r="G317" s="3272"/>
    </row>
    <row r="318" spans="1:7">
      <c r="A318" s="3265" t="s">
        <v>306</v>
      </c>
      <c r="B318" s="3254" t="s">
        <v>3220</v>
      </c>
      <c r="C318" s="3266"/>
      <c r="D318" s="3266"/>
      <c r="E318" s="3266"/>
      <c r="F318" s="3255">
        <v>0.05</v>
      </c>
      <c r="G318" s="3272"/>
    </row>
    <row r="319" spans="1:7">
      <c r="A319" s="3265" t="s">
        <v>306</v>
      </c>
      <c r="B319" s="3254" t="s">
        <v>3221</v>
      </c>
      <c r="C319" s="3266"/>
      <c r="D319" s="3266"/>
      <c r="E319" s="3266"/>
      <c r="F319" s="3255">
        <v>0.05</v>
      </c>
      <c r="G319" s="3272"/>
    </row>
    <row r="320" spans="1:7">
      <c r="A320" s="3265" t="s">
        <v>306</v>
      </c>
      <c r="B320" s="3254" t="s">
        <v>3222</v>
      </c>
      <c r="C320" s="3266"/>
      <c r="D320" s="3266"/>
      <c r="E320" s="3266"/>
      <c r="F320" s="3255">
        <v>0.05</v>
      </c>
      <c r="G320" s="3272"/>
    </row>
    <row r="321" spans="1:7">
      <c r="A321" s="3265" t="s">
        <v>306</v>
      </c>
      <c r="B321" s="3254" t="s">
        <v>3223</v>
      </c>
      <c r="C321" s="3266"/>
      <c r="D321" s="3266"/>
      <c r="E321" s="3266"/>
      <c r="F321" s="3255">
        <v>0.05</v>
      </c>
      <c r="G321" s="3272"/>
    </row>
    <row r="322" spans="1:7">
      <c r="A322" s="3265" t="s">
        <v>306</v>
      </c>
      <c r="B322" s="3254" t="s">
        <v>3224</v>
      </c>
      <c r="C322" s="3266"/>
      <c r="D322" s="3266"/>
      <c r="E322" s="3266"/>
      <c r="F322" s="3255">
        <v>0.05</v>
      </c>
      <c r="G322" s="3272"/>
    </row>
    <row r="323" spans="1:7">
      <c r="A323" s="3265" t="s">
        <v>306</v>
      </c>
      <c r="B323" s="3254" t="s">
        <v>3225</v>
      </c>
      <c r="C323" s="3266"/>
      <c r="D323" s="3266"/>
      <c r="E323" s="3266"/>
      <c r="F323" s="3255">
        <v>0.05</v>
      </c>
      <c r="G323" s="3272"/>
    </row>
    <row r="324" spans="1:7">
      <c r="A324" s="3265" t="s">
        <v>306</v>
      </c>
      <c r="B324" s="3254" t="s">
        <v>3226</v>
      </c>
      <c r="C324" s="3266"/>
      <c r="D324" s="3266"/>
      <c r="E324" s="3266"/>
      <c r="F324" s="3255">
        <v>0.05</v>
      </c>
      <c r="G324" s="3272"/>
    </row>
    <row r="325" spans="1:7">
      <c r="A325" s="3265" t="s">
        <v>306</v>
      </c>
      <c r="B325" s="3254" t="s">
        <v>3227</v>
      </c>
      <c r="C325" s="3266"/>
      <c r="D325" s="3266"/>
      <c r="E325" s="3266"/>
      <c r="F325" s="3255">
        <v>0.05</v>
      </c>
      <c r="G325" s="3272"/>
    </row>
    <row r="326" spans="1:7" ht="14.25" thickBot="1">
      <c r="A326" s="3268" t="s">
        <v>306</v>
      </c>
      <c r="B326" s="3258" t="s">
        <v>3228</v>
      </c>
      <c r="C326" s="3260"/>
      <c r="D326" s="3260"/>
      <c r="E326" s="3260"/>
      <c r="F326" s="3259">
        <v>0.05</v>
      </c>
      <c r="G326" s="3273"/>
    </row>
    <row r="327" spans="1:7">
      <c r="A327" s="3264" t="s">
        <v>307</v>
      </c>
      <c r="B327" s="3250" t="s">
        <v>2860</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2872</v>
      </c>
      <c r="C329" s="3255">
        <v>0.15</v>
      </c>
      <c r="D329" s="3255">
        <v>0.15</v>
      </c>
      <c r="E329" s="3255">
        <v>0.15</v>
      </c>
      <c r="F329" s="3255">
        <v>0.15</v>
      </c>
      <c r="G329" s="3256">
        <v>0.15</v>
      </c>
    </row>
    <row r="330" spans="1:7">
      <c r="A330" s="3265" t="s">
        <v>307</v>
      </c>
      <c r="B330" s="3254" t="s">
        <v>2876</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2884</v>
      </c>
      <c r="C332" s="3255">
        <v>0.15</v>
      </c>
      <c r="D332" s="3255">
        <v>0.15</v>
      </c>
      <c r="E332" s="3255">
        <v>0.15</v>
      </c>
      <c r="F332" s="3255">
        <v>0.15</v>
      </c>
      <c r="G332" s="3256">
        <v>0.15</v>
      </c>
    </row>
    <row r="333" spans="1:7">
      <c r="A333" s="3265" t="s">
        <v>307</v>
      </c>
      <c r="B333" s="3254" t="s">
        <v>2888</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2894</v>
      </c>
      <c r="C336" s="3255">
        <v>0.15</v>
      </c>
      <c r="D336" s="3255">
        <v>0.15</v>
      </c>
      <c r="E336" s="3255">
        <v>0.15</v>
      </c>
      <c r="F336" s="3255">
        <v>0.14199999999999999</v>
      </c>
      <c r="G336" s="3256">
        <v>0.15</v>
      </c>
    </row>
    <row r="337" spans="1:7">
      <c r="A337" s="3265" t="s">
        <v>307</v>
      </c>
      <c r="B337" s="3254" t="s">
        <v>2899</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2906</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2911</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2919</v>
      </c>
      <c r="C345" s="3255">
        <v>0.15</v>
      </c>
      <c r="D345" s="3255">
        <v>0.15</v>
      </c>
      <c r="E345" s="3255">
        <v>0.15</v>
      </c>
      <c r="F345" s="3255">
        <v>0.13800000000000001</v>
      </c>
      <c r="G345" s="3256">
        <v>0.15</v>
      </c>
    </row>
    <row r="346" spans="1:7">
      <c r="A346" s="3265" t="s">
        <v>307</v>
      </c>
      <c r="B346" s="3254" t="s">
        <v>2921</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2928</v>
      </c>
      <c r="C348" s="3255">
        <v>0.15</v>
      </c>
      <c r="D348" s="3255">
        <v>0.15</v>
      </c>
      <c r="E348" s="3255">
        <v>0.15</v>
      </c>
      <c r="F348" s="3255">
        <v>0.14399999999999999</v>
      </c>
      <c r="G348" s="3256">
        <v>0.15</v>
      </c>
    </row>
    <row r="349" spans="1:7">
      <c r="A349" s="3265" t="s">
        <v>307</v>
      </c>
      <c r="B349" s="3254" t="s">
        <v>2933</v>
      </c>
      <c r="C349" s="3255">
        <v>0.15</v>
      </c>
      <c r="D349" s="3255">
        <v>0.15</v>
      </c>
      <c r="E349" s="3255">
        <v>0.15</v>
      </c>
      <c r="F349" s="3255">
        <v>0.15</v>
      </c>
      <c r="G349" s="3256">
        <v>0.15</v>
      </c>
    </row>
    <row r="350" spans="1:7">
      <c r="A350" s="3265" t="s">
        <v>307</v>
      </c>
      <c r="B350" s="3254" t="s">
        <v>2936</v>
      </c>
      <c r="C350" s="3255">
        <v>0.15</v>
      </c>
      <c r="D350" s="3255">
        <v>0.15</v>
      </c>
      <c r="E350" s="3255">
        <v>0.15</v>
      </c>
      <c r="F350" s="3255">
        <v>0.14699999999999999</v>
      </c>
      <c r="G350" s="3256">
        <v>0.15</v>
      </c>
    </row>
    <row r="351" spans="1:7">
      <c r="A351" s="3265" t="s">
        <v>307</v>
      </c>
      <c r="B351" s="3254" t="s">
        <v>2941</v>
      </c>
      <c r="C351" s="3255">
        <v>0.15</v>
      </c>
      <c r="D351" s="3255">
        <v>0.15</v>
      </c>
      <c r="E351" s="3255">
        <v>0.15</v>
      </c>
      <c r="F351" s="3255">
        <v>0.13</v>
      </c>
      <c r="G351" s="3256">
        <v>0.15</v>
      </c>
    </row>
    <row r="352" spans="1:7">
      <c r="A352" s="3265" t="s">
        <v>307</v>
      </c>
      <c r="B352" s="3254" t="s">
        <v>2946</v>
      </c>
      <c r="C352" s="3255">
        <v>0.15</v>
      </c>
      <c r="D352" s="3255">
        <v>0.15</v>
      </c>
      <c r="E352" s="3255">
        <v>0.15</v>
      </c>
      <c r="F352" s="3255">
        <v>0.14599999999999999</v>
      </c>
      <c r="G352" s="3256">
        <v>0.15</v>
      </c>
    </row>
    <row r="353" spans="1:7">
      <c r="A353" s="3265" t="s">
        <v>307</v>
      </c>
      <c r="B353" s="3254" t="s">
        <v>2953</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2966</v>
      </c>
      <c r="C355" s="3255">
        <v>0.15</v>
      </c>
      <c r="D355" s="3255">
        <v>0.15</v>
      </c>
      <c r="E355" s="3255">
        <v>0.15</v>
      </c>
      <c r="F355" s="3255">
        <v>0.15</v>
      </c>
      <c r="G355" s="3256">
        <v>0.15</v>
      </c>
    </row>
    <row r="356" spans="1:7">
      <c r="A356" s="3265" t="s">
        <v>307</v>
      </c>
      <c r="B356" s="3254" t="s">
        <v>2973</v>
      </c>
      <c r="C356" s="3255">
        <v>0.15</v>
      </c>
      <c r="D356" s="3255">
        <v>0.15</v>
      </c>
      <c r="E356" s="3255">
        <v>0.15</v>
      </c>
      <c r="F356" s="3255">
        <v>0.15</v>
      </c>
      <c r="G356" s="3256">
        <v>0.15</v>
      </c>
    </row>
    <row r="357" spans="1:7" ht="14.25" thickBot="1">
      <c r="A357" s="3268" t="s">
        <v>307</v>
      </c>
      <c r="B357" s="3258" t="s">
        <v>2978</v>
      </c>
      <c r="C357" s="3259">
        <v>0.126</v>
      </c>
      <c r="D357" s="3259">
        <v>0.127</v>
      </c>
      <c r="E357" s="3259">
        <v>0.14299999999999999</v>
      </c>
      <c r="F357" s="3259">
        <v>0.125</v>
      </c>
      <c r="G357" s="3261">
        <v>0.129</v>
      </c>
    </row>
    <row r="358" spans="1:7">
      <c r="A358" s="3264" t="s">
        <v>2847</v>
      </c>
      <c r="B358" s="3250" t="s">
        <v>2861</v>
      </c>
      <c r="C358" s="3251">
        <v>0.15</v>
      </c>
      <c r="D358" s="3251">
        <v>0.15</v>
      </c>
      <c r="E358" s="3251">
        <v>0.15</v>
      </c>
      <c r="F358" s="3251">
        <v>0.15</v>
      </c>
      <c r="G358" s="3252">
        <v>0.15</v>
      </c>
    </row>
    <row r="359" spans="1:7">
      <c r="A359" s="3265" t="s">
        <v>2847</v>
      </c>
      <c r="B359" s="3254" t="s">
        <v>2867</v>
      </c>
      <c r="C359" s="3255">
        <v>0.1</v>
      </c>
      <c r="D359" s="3255">
        <v>0.1</v>
      </c>
      <c r="E359" s="3255">
        <v>0.1</v>
      </c>
      <c r="F359" s="3255">
        <v>0.1</v>
      </c>
      <c r="G359" s="3256">
        <v>0.1</v>
      </c>
    </row>
    <row r="360" spans="1:7">
      <c r="A360" s="3265" t="s">
        <v>2847</v>
      </c>
      <c r="B360" s="3254" t="s">
        <v>2873</v>
      </c>
      <c r="C360" s="3255">
        <v>0.15</v>
      </c>
      <c r="D360" s="3255">
        <v>0.15</v>
      </c>
      <c r="E360" s="3255">
        <v>0.15</v>
      </c>
      <c r="F360" s="3255">
        <v>0.14899999999999999</v>
      </c>
      <c r="G360" s="3256">
        <v>0.15</v>
      </c>
    </row>
    <row r="361" spans="1:7">
      <c r="A361" s="3265" t="s">
        <v>2847</v>
      </c>
      <c r="B361" s="3254" t="s">
        <v>153</v>
      </c>
      <c r="C361" s="3255">
        <v>0.15</v>
      </c>
      <c r="D361" s="3255">
        <v>0.15</v>
      </c>
      <c r="E361" s="3255">
        <v>0.15</v>
      </c>
      <c r="F361" s="3255">
        <v>0.115</v>
      </c>
      <c r="G361" s="3256">
        <v>0.15</v>
      </c>
    </row>
    <row r="362" spans="1:7">
      <c r="A362" s="3265" t="s">
        <v>2847</v>
      </c>
      <c r="B362" s="3254" t="s">
        <v>2880</v>
      </c>
      <c r="C362" s="3255">
        <v>0.15</v>
      </c>
      <c r="D362" s="3255">
        <v>0.15</v>
      </c>
      <c r="E362" s="3255">
        <v>0.15</v>
      </c>
      <c r="F362" s="3255">
        <v>0.106</v>
      </c>
      <c r="G362" s="3256">
        <v>0.15</v>
      </c>
    </row>
    <row r="363" spans="1:7">
      <c r="A363" s="3265" t="s">
        <v>2847</v>
      </c>
      <c r="B363" s="3254" t="s">
        <v>2885</v>
      </c>
      <c r="C363" s="3255">
        <v>0.15</v>
      </c>
      <c r="D363" s="3255">
        <v>0.15</v>
      </c>
      <c r="E363" s="3255">
        <v>0.15</v>
      </c>
      <c r="F363" s="3255">
        <v>0.14699999999999999</v>
      </c>
      <c r="G363" s="3256">
        <v>0.15</v>
      </c>
    </row>
    <row r="364" spans="1:7">
      <c r="A364" s="3265" t="s">
        <v>2847</v>
      </c>
      <c r="B364" s="3254" t="s">
        <v>2889</v>
      </c>
      <c r="C364" s="3255">
        <v>0.15</v>
      </c>
      <c r="D364" s="3255">
        <v>0.15</v>
      </c>
      <c r="E364" s="3255">
        <v>0.15</v>
      </c>
      <c r="F364" s="3255">
        <v>0.14799999999999999</v>
      </c>
      <c r="G364" s="3256">
        <v>0.15</v>
      </c>
    </row>
    <row r="365" spans="1:7">
      <c r="A365" s="3265" t="s">
        <v>2847</v>
      </c>
      <c r="B365" s="3254" t="s">
        <v>200</v>
      </c>
      <c r="C365" s="3255">
        <v>0.15</v>
      </c>
      <c r="D365" s="3255">
        <v>0.15</v>
      </c>
      <c r="E365" s="3255">
        <v>0.15</v>
      </c>
      <c r="F365" s="3255">
        <v>0.15</v>
      </c>
      <c r="G365" s="3256">
        <v>0.15</v>
      </c>
    </row>
    <row r="366" spans="1:7">
      <c r="A366" s="3265" t="s">
        <v>2847</v>
      </c>
      <c r="B366" s="3254" t="s">
        <v>2892</v>
      </c>
      <c r="C366" s="3255">
        <v>0.15</v>
      </c>
      <c r="D366" s="3255">
        <v>0.15</v>
      </c>
      <c r="E366" s="3255">
        <v>0.15</v>
      </c>
      <c r="F366" s="3255">
        <v>0.15</v>
      </c>
      <c r="G366" s="3256">
        <v>0.15</v>
      </c>
    </row>
    <row r="367" spans="1:7">
      <c r="A367" s="3265" t="s">
        <v>2847</v>
      </c>
      <c r="B367" s="3254" t="s">
        <v>2895</v>
      </c>
      <c r="C367" s="3255">
        <v>0.15</v>
      </c>
      <c r="D367" s="3255">
        <v>0.15</v>
      </c>
      <c r="E367" s="3255">
        <v>0.15</v>
      </c>
      <c r="F367" s="3255">
        <v>0.14699999999999999</v>
      </c>
      <c r="G367" s="3256">
        <v>0.15</v>
      </c>
    </row>
    <row r="368" spans="1:7">
      <c r="A368" s="3265" t="s">
        <v>2847</v>
      </c>
      <c r="B368" s="3254" t="s">
        <v>2900</v>
      </c>
      <c r="C368" s="3255">
        <v>0.15</v>
      </c>
      <c r="D368" s="3255">
        <v>0.15</v>
      </c>
      <c r="E368" s="3255">
        <v>0.15</v>
      </c>
      <c r="F368" s="3255">
        <v>0.13600000000000001</v>
      </c>
      <c r="G368" s="3256">
        <v>0.15</v>
      </c>
    </row>
    <row r="369" spans="1:7">
      <c r="A369" s="3265" t="s">
        <v>2847</v>
      </c>
      <c r="B369" s="3254" t="s">
        <v>214</v>
      </c>
      <c r="C369" s="3255">
        <v>0.15</v>
      </c>
      <c r="D369" s="3255">
        <v>0.15</v>
      </c>
      <c r="E369" s="3255">
        <v>0.15</v>
      </c>
      <c r="F369" s="3255">
        <v>0.14399999999999999</v>
      </c>
      <c r="G369" s="3256">
        <v>0.15</v>
      </c>
    </row>
    <row r="370" spans="1:7">
      <c r="A370" s="3265" t="s">
        <v>2847</v>
      </c>
      <c r="B370" s="3254" t="s">
        <v>221</v>
      </c>
      <c r="C370" s="3255">
        <v>0.15</v>
      </c>
      <c r="D370" s="3255">
        <v>0.15</v>
      </c>
      <c r="E370" s="3255">
        <v>0.15</v>
      </c>
      <c r="F370" s="3255">
        <v>0.14599999999999999</v>
      </c>
      <c r="G370" s="3256">
        <v>0.15</v>
      </c>
    </row>
    <row r="371" spans="1:7">
      <c r="A371" s="3265" t="s">
        <v>2847</v>
      </c>
      <c r="B371" s="3254" t="s">
        <v>229</v>
      </c>
      <c r="C371" s="3255">
        <v>0.15</v>
      </c>
      <c r="D371" s="3255">
        <v>0.15</v>
      </c>
      <c r="E371" s="3255">
        <v>0.15</v>
      </c>
      <c r="F371" s="3255">
        <v>0.12</v>
      </c>
      <c r="G371" s="3256">
        <v>0.15</v>
      </c>
    </row>
    <row r="372" spans="1:7">
      <c r="A372" s="3265" t="s">
        <v>2847</v>
      </c>
      <c r="B372" s="3254" t="s">
        <v>2908</v>
      </c>
      <c r="C372" s="3255">
        <v>0.15</v>
      </c>
      <c r="D372" s="3255">
        <v>0.15</v>
      </c>
      <c r="E372" s="3255">
        <v>0.15</v>
      </c>
      <c r="F372" s="3255">
        <v>0.14299999999999999</v>
      </c>
      <c r="G372" s="3256">
        <v>0.15</v>
      </c>
    </row>
    <row r="373" spans="1:7">
      <c r="A373" s="3265" t="s">
        <v>2847</v>
      </c>
      <c r="B373" s="3254" t="s">
        <v>258</v>
      </c>
      <c r="C373" s="3255">
        <v>0.15</v>
      </c>
      <c r="D373" s="3255">
        <v>0.15</v>
      </c>
      <c r="E373" s="3255">
        <v>0.15</v>
      </c>
      <c r="F373" s="3255">
        <v>0.14599999999999999</v>
      </c>
      <c r="G373" s="3256">
        <v>0.15</v>
      </c>
    </row>
    <row r="374" spans="1:7">
      <c r="A374" s="3265" t="s">
        <v>2847</v>
      </c>
      <c r="B374" s="3254" t="s">
        <v>266</v>
      </c>
      <c r="C374" s="3255">
        <v>0.15</v>
      </c>
      <c r="D374" s="3255">
        <v>0.15</v>
      </c>
      <c r="E374" s="3255">
        <v>0.15</v>
      </c>
      <c r="F374" s="3255">
        <v>0.14399999999999999</v>
      </c>
      <c r="G374" s="3256">
        <v>0.15</v>
      </c>
    </row>
    <row r="375" spans="1:7">
      <c r="A375" s="3265" t="s">
        <v>2847</v>
      </c>
      <c r="B375" s="3254" t="s">
        <v>2916</v>
      </c>
      <c r="C375" s="3255">
        <v>0.15</v>
      </c>
      <c r="D375" s="3255">
        <v>0.15</v>
      </c>
      <c r="E375" s="3255">
        <v>0.15</v>
      </c>
      <c r="F375" s="3255">
        <v>0.13</v>
      </c>
      <c r="G375" s="3256">
        <v>0.15</v>
      </c>
    </row>
    <row r="376" spans="1:7">
      <c r="A376" s="3265" t="s">
        <v>2847</v>
      </c>
      <c r="B376" s="3254" t="s">
        <v>277</v>
      </c>
      <c r="C376" s="3255">
        <v>0.15</v>
      </c>
      <c r="D376" s="3255">
        <v>0.15</v>
      </c>
      <c r="E376" s="3255">
        <v>0.15</v>
      </c>
      <c r="F376" s="3255">
        <v>0.14199999999999999</v>
      </c>
      <c r="G376" s="3256">
        <v>0.15</v>
      </c>
    </row>
    <row r="377" spans="1:7" ht="14.25" thickBot="1">
      <c r="A377" s="3268" t="s">
        <v>2847</v>
      </c>
      <c r="B377" s="3258" t="s">
        <v>2922</v>
      </c>
      <c r="C377" s="3259">
        <v>0.15</v>
      </c>
      <c r="D377" s="3259">
        <v>0.15</v>
      </c>
      <c r="E377" s="3259">
        <v>0.15</v>
      </c>
      <c r="F377" s="3259">
        <v>0.14000000000000001</v>
      </c>
      <c r="G377" s="3261">
        <v>0.15</v>
      </c>
    </row>
    <row r="378" spans="1:7">
      <c r="A378" s="3264" t="s">
        <v>2848</v>
      </c>
      <c r="B378" s="3250" t="s">
        <v>2862</v>
      </c>
      <c r="C378" s="3251">
        <v>0.15</v>
      </c>
      <c r="D378" s="3251">
        <v>0.15</v>
      </c>
      <c r="E378" s="3251">
        <v>0.15</v>
      </c>
      <c r="F378" s="3251">
        <v>0.107</v>
      </c>
      <c r="G378" s="3252">
        <v>0.15</v>
      </c>
    </row>
    <row r="379" spans="1:7">
      <c r="A379" s="3265" t="s">
        <v>2848</v>
      </c>
      <c r="B379" s="3254" t="s">
        <v>2868</v>
      </c>
      <c r="C379" s="3255">
        <v>0.15</v>
      </c>
      <c r="D379" s="3255">
        <v>0.15</v>
      </c>
      <c r="E379" s="3255">
        <v>0.15</v>
      </c>
      <c r="F379" s="3255">
        <v>0.115</v>
      </c>
      <c r="G379" s="3256">
        <v>0.14899999999999999</v>
      </c>
    </row>
    <row r="380" spans="1:7">
      <c r="A380" s="3265" t="s">
        <v>2848</v>
      </c>
      <c r="B380" s="3254" t="s">
        <v>2874</v>
      </c>
      <c r="C380" s="3255">
        <v>0.15</v>
      </c>
      <c r="D380" s="3255">
        <v>0.15</v>
      </c>
      <c r="E380" s="3255">
        <v>0.15</v>
      </c>
      <c r="F380" s="3255">
        <v>0.1</v>
      </c>
      <c r="G380" s="3256">
        <v>0.14799999999999999</v>
      </c>
    </row>
    <row r="381" spans="1:7">
      <c r="A381" s="3265" t="s">
        <v>2848</v>
      </c>
      <c r="B381" s="3254" t="s">
        <v>2877</v>
      </c>
      <c r="C381" s="3255">
        <v>0.15</v>
      </c>
      <c r="D381" s="3255">
        <v>0.15</v>
      </c>
      <c r="E381" s="3255">
        <v>0.15</v>
      </c>
      <c r="F381" s="3255">
        <v>0.126</v>
      </c>
      <c r="G381" s="3256">
        <v>0.15</v>
      </c>
    </row>
    <row r="382" spans="1:7">
      <c r="A382" s="3265" t="s">
        <v>2848</v>
      </c>
      <c r="B382" s="3254" t="s">
        <v>2881</v>
      </c>
      <c r="C382" s="3255">
        <v>0.15</v>
      </c>
      <c r="D382" s="3255">
        <v>0.15</v>
      </c>
      <c r="E382" s="3255">
        <v>0.15</v>
      </c>
      <c r="F382" s="3255">
        <v>0.15</v>
      </c>
      <c r="G382" s="3256">
        <v>0.15</v>
      </c>
    </row>
    <row r="383" spans="1:7">
      <c r="A383" s="3265" t="s">
        <v>2848</v>
      </c>
      <c r="B383" s="3254" t="s">
        <v>2886</v>
      </c>
      <c r="C383" s="3255">
        <v>0.15</v>
      </c>
      <c r="D383" s="3255">
        <v>0.15</v>
      </c>
      <c r="E383" s="3255">
        <v>0.15</v>
      </c>
      <c r="F383" s="3255">
        <v>0.14699999999999999</v>
      </c>
      <c r="G383" s="3256">
        <v>0.15</v>
      </c>
    </row>
    <row r="384" spans="1:7" ht="14.25" thickBot="1">
      <c r="A384" s="3275" t="s">
        <v>2848</v>
      </c>
      <c r="B384" s="3276" t="s">
        <v>2890</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907" t="s">
        <v>3229</v>
      </c>
      <c r="B1" s="3907"/>
      <c r="C1" s="3907"/>
      <c r="D1" s="3907"/>
      <c r="E1" s="3907"/>
      <c r="F1" s="3908"/>
    </row>
    <row r="2" spans="1:6">
      <c r="A2" s="3281" t="s">
        <v>3230</v>
      </c>
      <c r="B2" s="3282"/>
      <c r="C2" s="3282"/>
      <c r="D2" s="3282"/>
      <c r="E2" s="3282"/>
      <c r="F2" s="3282"/>
    </row>
    <row r="3" spans="1:6">
      <c r="A3" s="3281" t="s">
        <v>3231</v>
      </c>
      <c r="B3" s="3282"/>
      <c r="C3" s="3282"/>
      <c r="D3" s="3282"/>
      <c r="E3" s="3282"/>
      <c r="F3" s="3283" t="s">
        <v>3232</v>
      </c>
    </row>
    <row r="4" spans="1:6">
      <c r="A4" s="3284" t="s">
        <v>672</v>
      </c>
      <c r="B4" s="3284" t="s">
        <v>673</v>
      </c>
      <c r="C4" s="3284" t="s">
        <v>21</v>
      </c>
      <c r="D4" s="3284" t="s">
        <v>674</v>
      </c>
      <c r="E4" s="3284" t="s">
        <v>3</v>
      </c>
      <c r="F4" s="3284" t="s">
        <v>3233</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1">
        <f>基准地价修正!G23</f>
        <v>45160</v>
      </c>
      <c r="B1" s="3200" t="s">
        <v>2835</v>
      </c>
      <c r="C1" s="3201"/>
      <c r="D1" s="3201"/>
      <c r="E1" s="3201"/>
      <c r="F1" s="3201"/>
      <c r="G1" s="3201"/>
      <c r="H1" s="3201"/>
      <c r="I1" s="3201"/>
      <c r="J1" s="3155"/>
      <c r="K1" s="3201" t="s">
        <v>454</v>
      </c>
      <c r="L1" s="3201"/>
      <c r="M1" s="3201"/>
      <c r="N1" s="3201"/>
      <c r="O1" s="3201"/>
      <c r="P1" s="3201"/>
      <c r="Q1" s="3155"/>
      <c r="R1" s="3909" t="s">
        <v>456</v>
      </c>
      <c r="S1" s="3910"/>
      <c r="T1" s="3910"/>
      <c r="U1" s="3910"/>
      <c r="V1" s="3910"/>
      <c r="W1" s="3910"/>
      <c r="X1" s="3155"/>
      <c r="Y1" s="3909" t="s">
        <v>457</v>
      </c>
      <c r="Z1" s="3910"/>
      <c r="AA1" s="3910"/>
      <c r="AB1" s="3910"/>
      <c r="AC1" s="3910"/>
      <c r="AD1" s="3910"/>
    </row>
    <row r="2" spans="1:30" s="3133" customFormat="1" ht="14.25" thickBot="1">
      <c r="B2" s="3134"/>
      <c r="C2" s="3135"/>
      <c r="D2" s="3136" t="s">
        <v>2805</v>
      </c>
      <c r="E2" s="3137" t="s">
        <v>2806</v>
      </c>
      <c r="F2" s="3137" t="s">
        <v>2807</v>
      </c>
      <c r="G2" s="3137" t="s">
        <v>2808</v>
      </c>
      <c r="H2" s="3137" t="s">
        <v>2809</v>
      </c>
      <c r="I2" s="3137" t="s">
        <v>2626</v>
      </c>
      <c r="J2" s="3138"/>
      <c r="K2" s="3136" t="s">
        <v>2805</v>
      </c>
      <c r="L2" s="3137" t="s">
        <v>2806</v>
      </c>
      <c r="M2" s="3137" t="s">
        <v>2807</v>
      </c>
      <c r="N2" s="3137" t="s">
        <v>2808</v>
      </c>
      <c r="O2" s="3137" t="s">
        <v>2810</v>
      </c>
      <c r="P2" s="3137" t="s">
        <v>2626</v>
      </c>
      <c r="Q2" s="3138"/>
      <c r="R2" s="3136" t="s">
        <v>2805</v>
      </c>
      <c r="S2" s="3137" t="s">
        <v>2806</v>
      </c>
      <c r="T2" s="3137" t="s">
        <v>2807</v>
      </c>
      <c r="U2" s="3137" t="s">
        <v>2811</v>
      </c>
      <c r="V2" s="3137" t="s">
        <v>2812</v>
      </c>
      <c r="W2" s="3137" t="s">
        <v>2626</v>
      </c>
      <c r="X2" s="3138"/>
      <c r="Y2" s="3136" t="s">
        <v>2805</v>
      </c>
      <c r="Z2" s="3137" t="s">
        <v>2806</v>
      </c>
      <c r="AA2" s="3137" t="s">
        <v>2807</v>
      </c>
      <c r="AB2" s="3137" t="s">
        <v>2813</v>
      </c>
      <c r="AC2" s="3137" t="s">
        <v>2812</v>
      </c>
      <c r="AD2" s="3137" t="s">
        <v>2626</v>
      </c>
    </row>
    <row r="3" spans="1:30" s="3151" customFormat="1" ht="12.75">
      <c r="A3" s="3139" t="s">
        <v>2814</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3364</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3365</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3369</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3368</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3366</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ROUND(IF([4]项目基本情况!B8="出让",SUMPRODUCT(PRODUCT(1+K9:K16)),SUMPRODUCT(PRODUCT(1+K9:K15))),4)</f>
        <v>1.0565</v>
      </c>
      <c r="S9" s="3173">
        <f>ROUND(IF([4]项目基本情况!B8="出让",SUMPRODUCT(PRODUCT(1+L9:L16)),SUMPRODUCT(PRODUCT(1+L9:L15))),4)</f>
        <v>1.0250999999999999</v>
      </c>
      <c r="T9" s="3173">
        <f>ROUND(IF([4]项目基本情况!B8="出让",SUMPRODUCT(PRODUCT(1+M9:M16)),SUMPRODUCT(PRODUCT(1+M9:M15))),4)</f>
        <v>1.0145</v>
      </c>
      <c r="U9" s="3173">
        <f>ROUND(IF([4]项目基本情况!B8="出让",SUMPRODUCT(PRODUCT(1+N9:N16)),SUMPRODUCT(PRODUCT(1+N9:N15))),4)</f>
        <v>1.0618000000000001</v>
      </c>
      <c r="V9" s="3173">
        <f>ROUND(IF([4]项目基本情况!B8="出让",SUMPRODUCT(PRODUCT(1+O9:O16)),SUMPRODUCT(PRODUCT(1+O9:O15))),4)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3360</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ROUND(IF([4]项目基本情况!B8="出让",SUMPRODUCT(PRODUCT(1+K10:K16)),SUMPRODUCT(PRODUCT(1+K10:K15))),4)</f>
        <v>1.05</v>
      </c>
      <c r="S10" s="3173">
        <f>ROUND(IF([4]项目基本情况!B8="出让",SUMPRODUCT(PRODUCT(1+L10:L16)),SUMPRODUCT(PRODUCT(1+L10:L15))),4)</f>
        <v>1.0229999999999999</v>
      </c>
      <c r="T10" s="3173">
        <f>ROUND(IF([4]项目基本情况!B8="出让",SUMPRODUCT(PRODUCT(1+M10:M16)),SUMPRODUCT(PRODUCT(1+M10:M15))),4)</f>
        <v>1.0134000000000001</v>
      </c>
      <c r="U10" s="3173">
        <f>ROUND(IF([4]项目基本情况!B8="出让",SUMPRODUCT(PRODUCT(1+N10:N16)),SUMPRODUCT(PRODUCT(1+N10:N15))),4)</f>
        <v>1.0545</v>
      </c>
      <c r="V10" s="3173">
        <f>ROUND(IF([4]项目基本情况!B8="出让",SUMPRODUCT(PRODUCT(1+O10:O16)),SUMPRODUCT(PRODUCT(1+O10:O15))),4)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3351</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ROUND(IF([4]项目基本情况!B8="出让",SUMPRODUCT(PRODUCT(1+K11:K16)),SUMPRODUCT(PRODUCT(1+K11:K15))),4)</f>
        <v>1.0430999999999999</v>
      </c>
      <c r="S11" s="3173">
        <f>ROUND(IF([4]项目基本情况!B8="出让",SUMPRODUCT(PRODUCT(1+L11:L16)),SUMPRODUCT(PRODUCT(1+L11:L15))),4)</f>
        <v>1.0197000000000001</v>
      </c>
      <c r="T11" s="3173">
        <f>ROUND(IF([4]项目基本情况!B8="出让",SUMPRODUCT(PRODUCT(1+M11:M16)),SUMPRODUCT(PRODUCT(1+M11:M15))),4)</f>
        <v>1.0109999999999999</v>
      </c>
      <c r="U11" s="3173">
        <f>ROUND(IF([4]项目基本情况!B8="出让",SUMPRODUCT(PRODUCT(1+N11:N16)),SUMPRODUCT(PRODUCT(1+N11:N15))),4)</f>
        <v>1.0468999999999999</v>
      </c>
      <c r="V11" s="3173">
        <f>ROUND(IF([4]项目基本情况!B8="出让",SUMPRODUCT(PRODUCT(1+O11:O16)),SUMPRODUCT(PRODUCT(1+O11:O15))),4)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2815</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ROUND(IF([4]项目基本情况!B8="出让",SUMPRODUCT(PRODUCT(1+K12:K16)),SUMPRODUCT(PRODUCT(1+K12:K15))),4)</f>
        <v>1.0335000000000001</v>
      </c>
      <c r="S12" s="3173">
        <f>ROUND(IF([4]项目基本情况!B8="出让",SUMPRODUCT(PRODUCT(1+L12:L16)),SUMPRODUCT(PRODUCT(1+L12:L15))),4)</f>
        <v>1.0182</v>
      </c>
      <c r="T12" s="3173">
        <f>ROUND(IF([4]项目基本情况!B8="出让",SUMPRODUCT(PRODUCT(1+M12:M16)),SUMPRODUCT(PRODUCT(1+M12:M15))),4)</f>
        <v>1.0108999999999999</v>
      </c>
      <c r="U12" s="3173">
        <f>ROUND(IF([4]项目基本情况!B8="出让",SUMPRODUCT(PRODUCT(1+N12:N16)),SUMPRODUCT(PRODUCT(1+N12:N15))),4)</f>
        <v>1.0361</v>
      </c>
      <c r="V12" s="3173">
        <f>ROUND(IF([4]项目基本情况!B8="出让",SUMPRODUCT(PRODUCT(1+O12:O16)),SUMPRODUCT(PRODUCT(1+O12:O15))),4)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2816</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ROUND(IF([4]项目基本情况!B8="出让",SUMPRODUCT(PRODUCT(1+K13:K16)),SUMPRODUCT(PRODUCT(1+K13:K15))),4)</f>
        <v>1.0244</v>
      </c>
      <c r="S13" s="3173">
        <f>ROUND(IF([4]项目基本情况!B8="出让",SUMPRODUCT(PRODUCT(1+L13:L16)),SUMPRODUCT(PRODUCT(1+L13:L15))),4)</f>
        <v>1.0138</v>
      </c>
      <c r="T13" s="3173">
        <f>ROUND(IF([4]项目基本情况!B8="出让",SUMPRODUCT(PRODUCT(1+M13:M16)),SUMPRODUCT(PRODUCT(1+M13:M15))),4)</f>
        <v>1.0072000000000001</v>
      </c>
      <c r="U13" s="3173">
        <f>ROUND(IF([4]项目基本情况!B8="出让",SUMPRODUCT(PRODUCT(1+N13:N16)),SUMPRODUCT(PRODUCT(1+N13:N15))),4)</f>
        <v>1.0262</v>
      </c>
      <c r="V13" s="3173">
        <f>ROUND(IF([4]项目基本情况!B8="出让",SUMPRODUCT(PRODUCT(1+O13:O16)),SUMPRODUCT(PRODUCT(1+O13:O15))),4)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2817</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ROUND(IF([4]项目基本情况!B8="出让",SUMPRODUCT(PRODUCT(1+K14:K16)),SUMPRODUCT(PRODUCT(1+K14:K15))),4)</f>
        <v>1.0139</v>
      </c>
      <c r="S14" s="3173">
        <f>ROUND(IF([4]项目基本情况!B8="出让",SUMPRODUCT(PRODUCT(1+L14:L16)),SUMPRODUCT(PRODUCT(1+L14:L15))),4)</f>
        <v>1.0113000000000001</v>
      </c>
      <c r="T14" s="3173">
        <f>ROUND(IF([4]项目基本情况!B8="出让",SUMPRODUCT(PRODUCT(1+M14:M16)),SUMPRODUCT(PRODUCT(1+M14:M15))),4)</f>
        <v>1.0065</v>
      </c>
      <c r="U14" s="3173">
        <f>ROUND(IF([4]项目基本情况!B8="出让",SUMPRODUCT(PRODUCT(1+N14:N16)),SUMPRODUCT(PRODUCT(1+N14:N15))),4)</f>
        <v>1.0143</v>
      </c>
      <c r="V14" s="3173">
        <f>ROUND(IF([4]项目基本情况!B8="出让",SUMPRODUCT(PRODUCT(1+O14:O16)),SUMPRODUCT(PRODUCT(1+O14:O15))),4)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2818</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ROUND(IF([4]项目基本情况!B8="出让",SUMPRODUCT(PRODUCT(1+K15:K16)),SUMPRODUCT(PRODUCT(1+K15:K15))),4)</f>
        <v>1.0092000000000001</v>
      </c>
      <c r="S15" s="3173">
        <f>ROUND(IF([4]项目基本情况!B8="出让",SUMPRODUCT(PRODUCT(1+L15:L16)),SUMPRODUCT(PRODUCT(1+L15:L15))),4)</f>
        <v>1.0072000000000001</v>
      </c>
      <c r="T15" s="3173">
        <f>ROUND(IF([4]项目基本情况!B8="出让",SUMPRODUCT(PRODUCT(1+M15:M16)),SUMPRODUCT(PRODUCT(1+M15:M15))),4)</f>
        <v>1.0041</v>
      </c>
      <c r="U15" s="3173">
        <f>ROUND(IF([4]项目基本情况!B8="出让",SUMPRODUCT(PRODUCT(1+N15:N16)),SUMPRODUCT(PRODUCT(1+N15:N15))),4)</f>
        <v>1.0095000000000001</v>
      </c>
      <c r="V15" s="3173">
        <f>ROUND(IF([4]项目基本情况!B8="出让",SUMPRODUCT(PRODUCT(1+O15:O16)),SUMPRODUCT(PRODUCT(1+O15:O15))),4)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2819</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3362</v>
      </c>
    </row>
    <row r="19" spans="1:30" s="2999" customFormat="1">
      <c r="I19" s="3198" t="s">
        <v>2820</v>
      </c>
    </row>
    <row r="20" spans="1:30" s="2999" customFormat="1"/>
    <row r="21" spans="1:30" s="3199" customFormat="1" ht="12.75">
      <c r="B21" s="3200" t="s">
        <v>2821</v>
      </c>
      <c r="C21" s="3201"/>
      <c r="D21" s="3201"/>
      <c r="E21" s="3201"/>
      <c r="F21" s="3201"/>
      <c r="G21" s="3201"/>
      <c r="H21" s="3201"/>
      <c r="I21" s="3201"/>
      <c r="J21" s="3155"/>
      <c r="K21" s="3201" t="s">
        <v>2822</v>
      </c>
      <c r="L21" s="3201"/>
      <c r="M21" s="3201"/>
      <c r="N21" s="3201"/>
      <c r="O21" s="3201"/>
      <c r="P21" s="3201"/>
      <c r="Q21" s="3155"/>
      <c r="R21" s="3909" t="s">
        <v>2823</v>
      </c>
      <c r="S21" s="3910"/>
      <c r="T21" s="3910"/>
      <c r="U21" s="3910"/>
      <c r="V21" s="3910"/>
      <c r="W21" s="3910"/>
      <c r="X21" s="3155"/>
      <c r="Y21" s="3909" t="s">
        <v>2824</v>
      </c>
      <c r="Z21" s="3910"/>
      <c r="AA21" s="3910"/>
      <c r="AB21" s="3910"/>
      <c r="AC21" s="3910"/>
      <c r="AD21" s="3910"/>
    </row>
    <row r="22" spans="1:30" s="3133" customFormat="1" ht="14.25" thickBot="1">
      <c r="B22" s="3134"/>
      <c r="C22" s="3135"/>
      <c r="D22" s="3136" t="s">
        <v>2825</v>
      </c>
      <c r="E22" s="3137" t="s">
        <v>2826</v>
      </c>
      <c r="F22" s="3137" t="s">
        <v>2827</v>
      </c>
      <c r="G22" s="3137" t="s">
        <v>2828</v>
      </c>
      <c r="H22" s="3137"/>
      <c r="I22" s="3137" t="s">
        <v>2829</v>
      </c>
      <c r="J22" s="3138"/>
      <c r="K22" s="3136" t="s">
        <v>2825</v>
      </c>
      <c r="L22" s="3137" t="s">
        <v>2826</v>
      </c>
      <c r="M22" s="3137" t="s">
        <v>2827</v>
      </c>
      <c r="N22" s="3137" t="s">
        <v>2828</v>
      </c>
      <c r="O22" s="3137"/>
      <c r="P22" s="3137" t="s">
        <v>2829</v>
      </c>
      <c r="Q22" s="3138"/>
      <c r="R22" s="3136" t="s">
        <v>2825</v>
      </c>
      <c r="S22" s="3137" t="s">
        <v>2826</v>
      </c>
      <c r="T22" s="3137" t="s">
        <v>2827</v>
      </c>
      <c r="U22" s="3137" t="s">
        <v>2828</v>
      </c>
      <c r="V22" s="3137"/>
      <c r="W22" s="3137" t="s">
        <v>2829</v>
      </c>
      <c r="X22" s="3138"/>
      <c r="Y22" s="3136" t="s">
        <v>2825</v>
      </c>
      <c r="Z22" s="3137" t="s">
        <v>2826</v>
      </c>
      <c r="AA22" s="3137" t="s">
        <v>2827</v>
      </c>
      <c r="AB22" s="3137" t="s">
        <v>2828</v>
      </c>
      <c r="AC22" s="3137"/>
      <c r="AD22" s="3137" t="s">
        <v>2829</v>
      </c>
    </row>
    <row r="23" spans="1:30" s="3151" customFormat="1" ht="12.75">
      <c r="A23" s="3139" t="s">
        <v>2830</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3364</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ROUND(IF([4]项目基本情况!$B$8="出让",SUMPRODUCT(PRODUCT(1+L25:L$36)),SUMPRODUCT(PRODUCT(1+L25:L$35))),4)</f>
        <v>1.0396000000000001</v>
      </c>
      <c r="T25" s="3173">
        <f>ROUND(IF([4]项目基本情况!$B$8="出让",SUMPRODUCT(PRODUCT(1+M25:M$36)),SUMPRODUCT(PRODUCT(1+M25:M$35))),4)</f>
        <v>1.0269999999999999</v>
      </c>
      <c r="U25" s="3173">
        <f>ROUND(IF([4]项目基本情况!$B$8="出让",SUMPRODUCT(PRODUCT(1+N25:N$36)),SUMPRODUCT(PRODUCT(1+N25:N$35))),4)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3365</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ROUND(IF([4]项目基本情况!$B$8="出让",SUMPRODUCT(PRODUCT(1+L26:L$36)),SUMPRODUCT(PRODUCT(1+L26:L$35))),4)</f>
        <v>1.0396000000000001</v>
      </c>
      <c r="T26" s="3173">
        <f>ROUND(IF([4]项目基本情况!$B$8="出让",SUMPRODUCT(PRODUCT(1+M26:M$36)),SUMPRODUCT(PRODUCT(1+M26:M$35))),4)</f>
        <v>1.0269999999999999</v>
      </c>
      <c r="U26" s="3173">
        <f>ROUND(IF([4]项目基本情况!$B$8="出让",SUMPRODUCT(PRODUCT(1+N26:N$36)),SUMPRODUCT(PRODUCT(1+N26:N$35))),4)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3367</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ROUND(IF([4]项目基本情况!$B$8="出让",SUMPRODUCT(PRODUCT(1+L27:L$36)),SUMPRODUCT(PRODUCT(1+L27:L$35))),4)</f>
        <v>1.0396000000000001</v>
      </c>
      <c r="T27" s="3182">
        <f>ROUND(IF([4]项目基本情况!$B$8="出让",SUMPRODUCT(PRODUCT(1+M27:M$36)),SUMPRODUCT(PRODUCT(1+M27:M$35))),4)</f>
        <v>1.0269999999999999</v>
      </c>
      <c r="U27" s="3182">
        <f>ROUND(IF([4]项目基本情况!$B$8="出让",SUMPRODUCT(PRODUCT(1+N27:N$36)),SUMPRODUCT(PRODUCT(1+N27:N$35))),4)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3368</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ROUND(IF([4]项目基本情况!$B$8="出让",SUMPRODUCT(PRODUCT(1+L28:L$36)),SUMPRODUCT(PRODUCT(1+L28:L$35))),4)</f>
        <v>1.0344</v>
      </c>
      <c r="T28" s="3173">
        <f>ROUND(IF([4]项目基本情况!$B$8="出让",SUMPRODUCT(PRODUCT(1+M28:M$36)),SUMPRODUCT(PRODUCT(1+M28:M$35))),4)</f>
        <v>1.0224</v>
      </c>
      <c r="U28" s="3173">
        <f>ROUND(IF([4]项目基本情况!$B$8="出让",SUMPRODUCT(PRODUCT(1+N28:N$36)),SUMPRODUCT(PRODUCT(1+N28:N$35))),4)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3366</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ROUND(IF([4]项目基本情况!$B$8="出让",SUMPRODUCT(PRODUCT(1+L29:L$36)),SUMPRODUCT(PRODUCT(1+L29:L$35))),4)</f>
        <v>1.0286999999999999</v>
      </c>
      <c r="T29" s="3173">
        <f>ROUND(IF([4]项目基本情况!$B$8="出让",SUMPRODUCT(PRODUCT(1+M29:M$36)),SUMPRODUCT(PRODUCT(1+M29:M$35))),4)</f>
        <v>1.0164</v>
      </c>
      <c r="U29" s="3173">
        <f>ROUND(IF([4]项目基本情况!$B$8="出让",SUMPRODUCT(PRODUCT(1+N29:N$36)),SUMPRODUCT(PRODUCT(1+N29:N$35))),4)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3361</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ROUND(IF([4]项目基本情况!$B$8="出让",SUMPRODUCT(PRODUCT(1+L30:L$36)),SUMPRODUCT(PRODUCT(1+L30:L$35))),4)</f>
        <v>1.0241</v>
      </c>
      <c r="T30" s="3173">
        <f>ROUND(IF([4]项目基本情况!$B$8="出让",SUMPRODUCT(PRODUCT(1+M30:M$36)),SUMPRODUCT(PRODUCT(1+M30:M$35))),4)</f>
        <v>1.0144</v>
      </c>
      <c r="U30" s="3173">
        <f>ROUND(IF([4]项目基本情况!$B$8="出让",SUMPRODUCT(PRODUCT(1+N30:N$36)),SUMPRODUCT(PRODUCT(1+N30:N$35))),4)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3351</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ROUND(IF([4]项目基本情况!$B$8="出让",SUMPRODUCT(PRODUCT(1+L31:L$36)),SUMPRODUCT(PRODUCT(1+L31:L$35))),4)</f>
        <v>1.0210999999999999</v>
      </c>
      <c r="T31" s="3173">
        <f>ROUND(IF([4]项目基本情况!$B$8="出让",SUMPRODUCT(PRODUCT(1+M31:M$36)),SUMPRODUCT(PRODUCT(1+M31:M$35))),4)</f>
        <v>1.0114000000000001</v>
      </c>
      <c r="U31" s="3173">
        <f>ROUND(IF([4]项目基本情况!$B$8="出让",SUMPRODUCT(PRODUCT(1+N31:N$36)),SUMPRODUCT(PRODUCT(1+N31:N$35))),4)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2831</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ROUND(IF([4]项目基本情况!$B$8="出让",SUMPRODUCT(PRODUCT(1+L32:L$36)),SUMPRODUCT(PRODUCT(1+L32:L$35))),4)</f>
        <v>1.0222</v>
      </c>
      <c r="T32" s="3173">
        <f>ROUND(IF([4]项目基本情况!$B$8="出让",SUMPRODUCT(PRODUCT(1+M32:M$36)),SUMPRODUCT(PRODUCT(1+M32:M$35))),4)</f>
        <v>1.0127999999999999</v>
      </c>
      <c r="U32" s="3173">
        <f>ROUND(IF([4]项目基本情况!$B$8="出让",SUMPRODUCT(PRODUCT(1+N32:N$36)),SUMPRODUCT(PRODUCT(1+N32:N$35))),4)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2832</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ROUND(IF([4]项目基本情况!$B$8="出让",SUMPRODUCT(PRODUCT(1+L33:L$36)),SUMPRODUCT(PRODUCT(1+L33:L$35))),4)</f>
        <v>1.0161</v>
      </c>
      <c r="T33" s="3173">
        <f>ROUND(IF([4]项目基本情况!$B$8="出让",SUMPRODUCT(PRODUCT(1+M33:M$36)),SUMPRODUCT(PRODUCT(1+M33:M$35))),4)</f>
        <v>1.0082</v>
      </c>
      <c r="U33" s="3173">
        <f>ROUND(IF([4]项目基本情况!$B$8="出让",SUMPRODUCT(PRODUCT(1+N33:N$36)),SUMPRODUCT(PRODUCT(1+N33:N$35))),4)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2833</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ROUND(IF([4]项目基本情况!$B$8="出让",SUMPRODUCT(PRODUCT(1+L34:L$36)),SUMPRODUCT(PRODUCT(1+L34:L$35))),4)</f>
        <v>1.0102</v>
      </c>
      <c r="T34" s="3173">
        <f>ROUND(IF([4]项目基本情况!$B$8="出让",SUMPRODUCT(PRODUCT(1+M34:M$36)),SUMPRODUCT(PRODUCT(1+M34:M$35))),4)</f>
        <v>1.0074000000000001</v>
      </c>
      <c r="U34" s="3173">
        <f>ROUND(IF([4]项目基本情况!$B$8="出让",SUMPRODUCT(PRODUCT(1+N34:N$36)),SUMPRODUCT(PRODUCT(1+N34:N$35))),4)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2834</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ROUND(IF([4]项目基本情况!$B$8="出让",SUMPRODUCT(PRODUCT(1+L35:L$36)),SUMPRODUCT(PRODUCT(1+L35:L$35))),4)</f>
        <v>1.0055000000000001</v>
      </c>
      <c r="T35" s="3173">
        <f>ROUND(IF([4]项目基本情况!$B$8="出让",SUMPRODUCT(PRODUCT(1+M35:M$36)),SUMPRODUCT(PRODUCT(1+M35:M$35))),4)</f>
        <v>1.0045999999999999</v>
      </c>
      <c r="U35" s="3173">
        <f>ROUND(IF([4]项目基本情况!$B$8="出让",SUMPRODUCT(PRODUCT(1+N35:N$36)),SUMPRODUCT(PRODUCT(1+N35:N$35))),4)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2819</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6" t="s">
        <v>452</v>
      </c>
      <c r="C1" s="3916"/>
      <c r="D1" s="3916"/>
      <c r="E1" s="3916"/>
      <c r="F1" s="3916"/>
      <c r="G1" s="3912" t="s">
        <v>453</v>
      </c>
      <c r="H1" s="3912"/>
      <c r="I1" s="3912"/>
      <c r="J1" s="3912"/>
      <c r="K1" s="3912"/>
      <c r="L1" s="3912"/>
      <c r="N1" s="3912" t="s">
        <v>454</v>
      </c>
      <c r="O1" s="3912"/>
      <c r="P1" s="3912"/>
      <c r="Q1" s="3912"/>
      <c r="S1" s="3912" t="s">
        <v>455</v>
      </c>
      <c r="T1" s="3912"/>
      <c r="U1" s="3912"/>
      <c r="V1" s="3912"/>
      <c r="X1" s="3911" t="s">
        <v>456</v>
      </c>
      <c r="Y1" s="3912"/>
      <c r="Z1" s="3912"/>
      <c r="AA1" s="3912"/>
      <c r="AB1" s="3912"/>
      <c r="AD1" s="3911" t="s">
        <v>457</v>
      </c>
      <c r="AE1" s="3912"/>
      <c r="AF1" s="3912"/>
      <c r="AG1" s="3912"/>
      <c r="AH1" s="391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1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1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1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2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91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1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1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2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1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1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1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1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1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1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1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1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1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1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1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2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1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1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1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1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1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1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1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1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1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1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1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1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1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1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1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1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1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1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1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1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1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1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1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1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1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1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1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1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1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1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1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1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1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1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1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1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1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1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1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1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1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1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1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1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1">
        <v>45159</v>
      </c>
      <c r="D13" s="2812">
        <v>3.45</v>
      </c>
      <c r="E13" s="2812">
        <f>D13</f>
        <v>3.45</v>
      </c>
      <c r="F13" s="2812">
        <f>D13</f>
        <v>3.45</v>
      </c>
      <c r="G13" s="2812">
        <f>D13</f>
        <v>3.45</v>
      </c>
      <c r="H13" s="2812">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6"/>
      <c r="C14" s="2808">
        <v>45097</v>
      </c>
      <c r="D14" s="2807">
        <v>3.55</v>
      </c>
      <c r="E14" s="2807">
        <f>D14</f>
        <v>3.55</v>
      </c>
      <c r="F14" s="2807">
        <f>D14</f>
        <v>3.55</v>
      </c>
      <c r="G14" s="2807">
        <f>D14</f>
        <v>3.55</v>
      </c>
      <c r="H14" s="2807">
        <v>4.2</v>
      </c>
      <c r="I14" s="2812"/>
      <c r="J14" s="2812"/>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6"/>
      <c r="C15" s="2808">
        <v>44795</v>
      </c>
      <c r="D15" s="2807">
        <v>3.65</v>
      </c>
      <c r="E15" s="2807">
        <v>3.65</v>
      </c>
      <c r="F15" s="2807">
        <v>3.65</v>
      </c>
      <c r="G15" s="2807">
        <v>3.65</v>
      </c>
      <c r="H15" s="2807">
        <v>4.3</v>
      </c>
      <c r="I15" s="2812"/>
      <c r="J15" s="2812"/>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6"/>
      <c r="C16" s="2808">
        <v>44701</v>
      </c>
      <c r="D16" s="2807">
        <v>3.7</v>
      </c>
      <c r="E16" s="2807">
        <f>D16</f>
        <v>3.7</v>
      </c>
      <c r="F16" s="2807">
        <f>D16</f>
        <v>3.7</v>
      </c>
      <c r="G16" s="2807">
        <f>D16</f>
        <v>3.7</v>
      </c>
      <c r="H16" s="2807">
        <v>4.45</v>
      </c>
      <c r="I16" s="2812"/>
      <c r="J16" s="2812"/>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6"/>
      <c r="C17" s="2808">
        <v>44581</v>
      </c>
      <c r="D17" s="2807">
        <v>3.7</v>
      </c>
      <c r="E17" s="2807">
        <f>D17</f>
        <v>3.7</v>
      </c>
      <c r="F17" s="2807">
        <f>D17</f>
        <v>3.7</v>
      </c>
      <c r="G17" s="2807">
        <f>D17</f>
        <v>3.7</v>
      </c>
      <c r="H17" s="2807">
        <v>4.5999999999999996</v>
      </c>
      <c r="I17" s="2812"/>
      <c r="J17" s="2812"/>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2"/>
      <c r="B19" s="2807"/>
      <c r="C19" s="2808">
        <v>43941</v>
      </c>
      <c r="D19" s="2807">
        <v>3.85</v>
      </c>
      <c r="E19" s="2807">
        <v>3.85</v>
      </c>
      <c r="F19" s="2807">
        <v>3.85</v>
      </c>
      <c r="G19" s="2807">
        <v>3.85</v>
      </c>
      <c r="H19" s="2807">
        <v>4.6500000000000004</v>
      </c>
      <c r="I19" s="2807"/>
      <c r="J19" s="2807"/>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7"/>
      <c r="C20" s="2808">
        <v>43881</v>
      </c>
      <c r="D20" s="2807">
        <v>4.05</v>
      </c>
      <c r="E20" s="2807">
        <v>4.05</v>
      </c>
      <c r="F20" s="2807">
        <v>4.05</v>
      </c>
      <c r="G20" s="2807">
        <v>4.05</v>
      </c>
      <c r="H20" s="2807">
        <v>4.75</v>
      </c>
      <c r="I20" s="2807"/>
      <c r="J20" s="2807"/>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7"/>
      <c r="C21" s="2808">
        <v>43789</v>
      </c>
      <c r="D21" s="2807">
        <v>4.1500000000000004</v>
      </c>
      <c r="E21" s="2807">
        <v>4.1500000000000004</v>
      </c>
      <c r="F21" s="2807">
        <v>4.1500000000000004</v>
      </c>
      <c r="G21" s="2807">
        <v>4.1500000000000004</v>
      </c>
      <c r="H21" s="2807">
        <v>4.8</v>
      </c>
      <c r="I21" s="2807"/>
      <c r="J21" s="2807"/>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7"/>
      <c r="C22" s="2808">
        <v>43728</v>
      </c>
      <c r="D22" s="2807">
        <v>4.2</v>
      </c>
      <c r="E22" s="2807">
        <v>4.2</v>
      </c>
      <c r="F22" s="2807">
        <v>4.2</v>
      </c>
      <c r="G22" s="2807">
        <v>4.2</v>
      </c>
      <c r="H22" s="2807">
        <v>4.8499999999999996</v>
      </c>
      <c r="I22" s="2807"/>
      <c r="J22" s="2807"/>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3"/>
      <c r="B23" s="2806" t="s">
        <v>2304</v>
      </c>
      <c r="C23" s="2809">
        <v>43697</v>
      </c>
      <c r="D23" s="2810">
        <v>4.25</v>
      </c>
      <c r="E23" s="2810">
        <v>4.25</v>
      </c>
      <c r="F23" s="2810">
        <v>4.25</v>
      </c>
      <c r="G23" s="2810">
        <v>4.25</v>
      </c>
      <c r="H23" s="2810">
        <v>4.8499999999999996</v>
      </c>
      <c r="I23" s="2810"/>
      <c r="J23" s="281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4"/>
      <c r="C24" s="2815">
        <v>42301</v>
      </c>
      <c r="D24" s="2816">
        <v>4.3499999999999996</v>
      </c>
      <c r="E24" s="2816">
        <v>4.3499999999999996</v>
      </c>
      <c r="F24" s="2816">
        <v>4.75</v>
      </c>
      <c r="G24" s="2816">
        <v>4.75</v>
      </c>
      <c r="H24" s="2816">
        <v>4.9000000000000004</v>
      </c>
      <c r="I24" s="2816"/>
      <c r="J24" s="2816"/>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93" t="str">
        <f>IF(项目基本情况!B9="房地产市场价值","估价结果一览表","结果表-2")</f>
        <v>估价结果一览表</v>
      </c>
      <c r="B1" s="3593"/>
      <c r="C1" s="3593"/>
      <c r="D1" s="3593"/>
      <c r="E1" s="3593"/>
      <c r="F1" s="3593"/>
      <c r="G1" s="3593"/>
      <c r="H1" s="3593"/>
      <c r="I1" s="3593"/>
    </row>
    <row r="2" spans="1:9" ht="30" customHeight="1" thickTop="1">
      <c r="A2" s="3594" t="s">
        <v>928</v>
      </c>
      <c r="B2" s="3594" t="s">
        <v>929</v>
      </c>
      <c r="C2" s="3594" t="s">
        <v>930</v>
      </c>
      <c r="D2" s="3594" t="str">
        <f>结果表!D116</f>
        <v>出让国有建设用地使用权价值</v>
      </c>
      <c r="E2" s="3594"/>
      <c r="F2" s="3594" t="str">
        <f>结果表!F116</f>
        <v>在建建筑物价值</v>
      </c>
      <c r="G2" s="3594"/>
      <c r="H2" s="3594" t="str">
        <f>IF(项目基本情况!B9="房地产市场价值","房地产市场价值","房地产价值")</f>
        <v>房地产市场价值</v>
      </c>
      <c r="I2" s="3594"/>
    </row>
    <row r="3" spans="1:9" ht="15">
      <c r="A3" s="3595"/>
      <c r="B3" s="3595"/>
      <c r="C3" s="3595"/>
      <c r="D3" s="853" t="s">
        <v>925</v>
      </c>
      <c r="E3" s="853" t="s">
        <v>931</v>
      </c>
      <c r="F3" s="853" t="s">
        <v>925</v>
      </c>
      <c r="G3" s="853" t="s">
        <v>926</v>
      </c>
      <c r="H3" s="853" t="s">
        <v>925</v>
      </c>
      <c r="I3" s="853" t="s">
        <v>926</v>
      </c>
    </row>
    <row r="4" spans="1:9" ht="15">
      <c r="A4" s="1503" t="str">
        <f>项目基本情况!S2</f>
        <v>北京市房地产</v>
      </c>
      <c r="B4" s="853">
        <f>项目基本情况!C17</f>
        <v>35356.130000000005</v>
      </c>
      <c r="C4" s="853">
        <f>项目基本情况!C18</f>
        <v>0</v>
      </c>
      <c r="D4" s="853">
        <f ca="1">结果表!D118</f>
        <v>58291</v>
      </c>
      <c r="E4" s="853">
        <f ca="1">结果表!E118</f>
        <v>16487</v>
      </c>
      <c r="F4" s="853">
        <f ca="1">结果表!F118</f>
        <v>27179</v>
      </c>
      <c r="G4" s="853">
        <f ca="1">结果表!G118</f>
        <v>7687</v>
      </c>
      <c r="H4" s="853">
        <f ca="1">结果表!H118</f>
        <v>85470</v>
      </c>
      <c r="I4" s="853">
        <f ca="1">结果表!I118</f>
        <v>24174</v>
      </c>
    </row>
    <row r="5" spans="1:9" ht="30" customHeight="1">
      <c r="A5" s="3595" t="s">
        <v>927</v>
      </c>
      <c r="B5" s="3595"/>
      <c r="C5" s="3595"/>
      <c r="D5" s="3595" t="str">
        <f ca="1">结果表!D119</f>
        <v>伍亿捌仟贰佰玖拾壹万元整</v>
      </c>
      <c r="E5" s="3595"/>
      <c r="F5" s="3595" t="str">
        <f ca="1">结果表!F119</f>
        <v>贰亿柒仟壹佰柒拾玖万元整</v>
      </c>
      <c r="G5" s="3595"/>
      <c r="H5" s="3595" t="str">
        <f ca="1">结果表!H119</f>
        <v>捌亿伍仟肆佰柒拾万元整</v>
      </c>
      <c r="I5" s="3595"/>
    </row>
    <row r="6" spans="1:9" ht="15.75">
      <c r="A6" s="3596" t="str">
        <f>结果表!A120</f>
        <v/>
      </c>
      <c r="B6" s="3596"/>
      <c r="C6" s="3596"/>
      <c r="D6" s="3596">
        <f>结果表!D120</f>
        <v>0</v>
      </c>
      <c r="E6" s="3596"/>
      <c r="F6" s="3596"/>
      <c r="G6" s="3596"/>
      <c r="H6" s="3596"/>
      <c r="I6" s="3596"/>
    </row>
    <row r="7" spans="1:9" ht="15">
      <c r="A7" s="3595" t="s">
        <v>927</v>
      </c>
      <c r="B7" s="3595"/>
      <c r="C7" s="3595"/>
      <c r="D7" s="3597" t="str">
        <f>结果表!D121</f>
        <v>零元整</v>
      </c>
      <c r="E7" s="3598"/>
      <c r="F7" s="3598"/>
      <c r="G7" s="3598"/>
      <c r="H7" s="3598"/>
      <c r="I7" s="3599"/>
    </row>
    <row r="8" spans="1:9" ht="15.75">
      <c r="A8" s="3596" t="str">
        <f>结果表!A122</f>
        <v/>
      </c>
      <c r="B8" s="3596"/>
      <c r="C8" s="3596"/>
      <c r="D8" s="3596">
        <f ca="1">结果表!D122</f>
        <v>85470</v>
      </c>
      <c r="E8" s="3596"/>
      <c r="F8" s="3596"/>
      <c r="G8" s="3596"/>
      <c r="H8" s="3596"/>
      <c r="I8" s="3596"/>
    </row>
    <row r="9" spans="1:9" ht="15">
      <c r="A9" s="3595" t="s">
        <v>927</v>
      </c>
      <c r="B9" s="3595"/>
      <c r="C9" s="3595"/>
      <c r="D9" s="3595" t="str">
        <f ca="1">结果表!D123</f>
        <v>捌亿伍仟肆佰柒拾万元整</v>
      </c>
      <c r="E9" s="3595"/>
      <c r="F9" s="3595"/>
      <c r="G9" s="3595"/>
      <c r="H9" s="3595"/>
      <c r="I9" s="3595"/>
    </row>
    <row r="10" spans="1:9" ht="15.75">
      <c r="A10" s="3596" t="str">
        <f>结果表!A124</f>
        <v/>
      </c>
      <c r="B10" s="3596"/>
      <c r="C10" s="3596"/>
      <c r="D10" s="3596" t="str">
        <f>结果表!D124</f>
        <v>——</v>
      </c>
      <c r="E10" s="3596"/>
      <c r="F10" s="3596"/>
      <c r="G10" s="3596"/>
      <c r="H10" s="3596"/>
      <c r="I10" s="3596"/>
    </row>
    <row r="11" spans="1:9" ht="15">
      <c r="A11" s="3595" t="s">
        <v>927</v>
      </c>
      <c r="B11" s="3595"/>
      <c r="C11" s="3595"/>
      <c r="D11" s="3595" t="e">
        <f>结果表!D125</f>
        <v>#VALUE!</v>
      </c>
      <c r="E11" s="3595"/>
      <c r="F11" s="3595"/>
      <c r="G11" s="3595"/>
      <c r="H11" s="3595"/>
      <c r="I11" s="3595"/>
    </row>
    <row r="12" spans="1:9" ht="15.75">
      <c r="A12" s="3596" t="str">
        <f>结果表!A126</f>
        <v/>
      </c>
      <c r="B12" s="3596"/>
      <c r="C12" s="3596"/>
      <c r="D12" s="3596" t="str">
        <f>结果表!D126</f>
        <v>——</v>
      </c>
      <c r="E12" s="3596"/>
      <c r="F12" s="3596"/>
      <c r="G12" s="3596"/>
      <c r="H12" s="3596"/>
      <c r="I12" s="3596"/>
    </row>
    <row r="13" spans="1:9" ht="15.75" thickBot="1">
      <c r="A13" s="3600" t="s">
        <v>927</v>
      </c>
      <c r="B13" s="3600"/>
      <c r="C13" s="3600"/>
      <c r="D13" s="3600" t="e">
        <f>结果表!D127</f>
        <v>#VALUE!</v>
      </c>
      <c r="E13" s="3600"/>
      <c r="F13" s="3600"/>
      <c r="G13" s="3600"/>
      <c r="H13" s="3600"/>
      <c r="I13" s="3600"/>
    </row>
    <row r="14" spans="1:9" ht="15" thickTop="1">
      <c r="A14" s="3601" t="s">
        <v>932</v>
      </c>
      <c r="B14" s="3601"/>
      <c r="C14" s="3601"/>
      <c r="D14" s="3601"/>
      <c r="E14" s="3601"/>
      <c r="F14" s="3601"/>
      <c r="G14" s="3601"/>
      <c r="H14" s="3601"/>
      <c r="I14" s="360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opLeftCell="G1" workbookViewId="0">
      <selection activeCell="G35" sqref="G35"/>
    </sheetView>
  </sheetViews>
  <sheetFormatPr defaultRowHeight="13.5"/>
  <cols>
    <col min="2" max="2" width="15" customWidth="1"/>
  </cols>
  <sheetData>
    <row r="1" spans="1:2">
      <c r="A1" s="3446" t="s">
        <v>3408</v>
      </c>
    </row>
    <row r="2" spans="1:2">
      <c r="A2" s="3446" t="s">
        <v>3409</v>
      </c>
      <c r="B2" s="3446" t="s">
        <v>3410</v>
      </c>
    </row>
    <row r="3" spans="1:2">
      <c r="B3" s="3446" t="s">
        <v>3411</v>
      </c>
    </row>
    <row r="4" spans="1:2">
      <c r="B4" s="3446" t="s">
        <v>3412</v>
      </c>
    </row>
    <row r="5" spans="1:2">
      <c r="A5" s="3446" t="s">
        <v>3413</v>
      </c>
      <c r="B5">
        <v>97843.941999999995</v>
      </c>
    </row>
    <row r="6" spans="1:2">
      <c r="A6" s="3446" t="s">
        <v>3414</v>
      </c>
      <c r="B6" s="3446" t="s">
        <v>3415</v>
      </c>
    </row>
    <row r="7" spans="1:2">
      <c r="B7" s="3446" t="s">
        <v>3416</v>
      </c>
    </row>
    <row r="8" spans="1:2">
      <c r="B8" s="3446" t="s">
        <v>3417</v>
      </c>
    </row>
    <row r="9" spans="1:2">
      <c r="B9" s="3446" t="s">
        <v>3418</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37" workbookViewId="0">
      <selection activeCell="Q68" sqref="Q68"/>
    </sheetView>
  </sheetViews>
  <sheetFormatPr defaultRowHeight="13.5"/>
  <cols>
    <col min="3" max="4" width="16.125" customWidth="1"/>
    <col min="5" max="5" width="18.375" customWidth="1"/>
  </cols>
  <sheetData>
    <row r="2" spans="1:7">
      <c r="A2" s="3446" t="s">
        <v>3897</v>
      </c>
      <c r="B2" s="3446" t="s">
        <v>3900</v>
      </c>
      <c r="C2" s="3446" t="s">
        <v>3901</v>
      </c>
      <c r="D2" s="3446"/>
      <c r="E2" s="3446" t="s">
        <v>3895</v>
      </c>
      <c r="F2" s="3446" t="s">
        <v>3896</v>
      </c>
      <c r="G2" s="3446" t="s">
        <v>3903</v>
      </c>
    </row>
    <row r="3" spans="1:7">
      <c r="A3" s="3446" t="s">
        <v>3898</v>
      </c>
      <c r="B3" s="3446" t="s">
        <v>3899</v>
      </c>
      <c r="C3" s="3446" t="s">
        <v>3913</v>
      </c>
      <c r="D3" s="3446">
        <v>3</v>
      </c>
      <c r="E3">
        <v>4</v>
      </c>
      <c r="F3" s="3446" t="s">
        <v>3902</v>
      </c>
      <c r="G3">
        <f>ROUND(E3/D3,2)</f>
        <v>1.33</v>
      </c>
    </row>
    <row r="4" spans="1:7">
      <c r="A4" s="3446" t="s">
        <v>3907</v>
      </c>
      <c r="B4" s="3446" t="s">
        <v>3908</v>
      </c>
      <c r="C4" s="3446" t="s">
        <v>3914</v>
      </c>
      <c r="D4">
        <v>3</v>
      </c>
      <c r="E4">
        <v>4</v>
      </c>
      <c r="F4" s="3446" t="s">
        <v>3915</v>
      </c>
      <c r="G4">
        <f>ROUND(E4/D4,2)</f>
        <v>1.33</v>
      </c>
    </row>
    <row r="5" spans="1:7">
      <c r="A5" s="3446" t="s">
        <v>3907</v>
      </c>
      <c r="B5" s="3446" t="s">
        <v>3922</v>
      </c>
      <c r="C5" s="3446" t="s">
        <v>3923</v>
      </c>
      <c r="D5">
        <v>2.5</v>
      </c>
      <c r="E5">
        <v>3.8</v>
      </c>
      <c r="F5" s="3446" t="s">
        <v>3924</v>
      </c>
      <c r="G5">
        <f>ROUND(E5/D5,2)</f>
        <v>1.52</v>
      </c>
    </row>
    <row r="6" spans="1:7">
      <c r="A6" s="3446" t="s">
        <v>3925</v>
      </c>
      <c r="B6" s="3446" t="s">
        <v>3926</v>
      </c>
      <c r="C6" s="3446" t="s">
        <v>3928</v>
      </c>
      <c r="D6" s="3446" t="s">
        <v>3934</v>
      </c>
      <c r="E6">
        <v>3.2</v>
      </c>
      <c r="F6" s="3446" t="s">
        <v>3927</v>
      </c>
    </row>
    <row r="7" spans="1:7">
      <c r="A7" s="3446" t="s">
        <v>3907</v>
      </c>
      <c r="B7" s="3446" t="s">
        <v>3929</v>
      </c>
      <c r="D7" s="3446">
        <v>3.8</v>
      </c>
      <c r="E7">
        <v>3.8</v>
      </c>
    </row>
    <row r="31" spans="1:5">
      <c r="A31" s="3446" t="s">
        <v>3904</v>
      </c>
      <c r="B31">
        <v>3800</v>
      </c>
      <c r="C31">
        <v>32</v>
      </c>
      <c r="E31">
        <f>B31/C31/30</f>
        <v>3.9583333333333335</v>
      </c>
    </row>
    <row r="32" spans="1:5">
      <c r="A32" s="3446" t="s">
        <v>3905</v>
      </c>
      <c r="B32">
        <v>3650</v>
      </c>
      <c r="C32">
        <v>40</v>
      </c>
      <c r="E32">
        <f t="shared" ref="E32:E95" si="0">B32/C32/30</f>
        <v>3.0416666666666665</v>
      </c>
    </row>
    <row r="33" spans="1:5">
      <c r="A33" s="3446" t="s">
        <v>3905</v>
      </c>
      <c r="B33">
        <v>3700</v>
      </c>
      <c r="C33">
        <v>38.46</v>
      </c>
      <c r="E33">
        <f t="shared" si="0"/>
        <v>3.2067949384642054</v>
      </c>
    </row>
    <row r="34" spans="1:5">
      <c r="A34" s="3446" t="s">
        <v>3906</v>
      </c>
      <c r="B34">
        <v>4647</v>
      </c>
      <c r="C34">
        <v>37</v>
      </c>
      <c r="E34">
        <f t="shared" si="0"/>
        <v>4.1864864864864861</v>
      </c>
    </row>
    <row r="35" spans="1:5">
      <c r="A35" s="3446" t="s">
        <v>3906</v>
      </c>
      <c r="B35">
        <v>4489</v>
      </c>
      <c r="C35">
        <v>37.4</v>
      </c>
      <c r="E35">
        <f t="shared" si="0"/>
        <v>4.000891265597148</v>
      </c>
    </row>
    <row r="36" spans="1:5">
      <c r="A36" s="3446" t="s">
        <v>3906</v>
      </c>
      <c r="B36">
        <v>4723</v>
      </c>
      <c r="C36">
        <v>42.2</v>
      </c>
      <c r="E36">
        <f t="shared" si="0"/>
        <v>3.7306477093206949</v>
      </c>
    </row>
    <row r="37" spans="1:5">
      <c r="A37" s="3446" t="s">
        <v>3906</v>
      </c>
      <c r="B37">
        <v>6033</v>
      </c>
      <c r="C37">
        <v>51.4</v>
      </c>
      <c r="E37">
        <f t="shared" si="0"/>
        <v>3.9124513618677041</v>
      </c>
    </row>
    <row r="38" spans="1:5">
      <c r="A38" s="3446" t="s">
        <v>3906</v>
      </c>
      <c r="B38">
        <v>6823</v>
      </c>
      <c r="C38">
        <v>55.9</v>
      </c>
      <c r="E38">
        <f t="shared" si="0"/>
        <v>4.0685748360166967</v>
      </c>
    </row>
    <row r="39" spans="1:5">
      <c r="A39" s="3446" t="s">
        <v>3906</v>
      </c>
      <c r="B39">
        <v>13000</v>
      </c>
      <c r="C39" s="3446">
        <v>106.7</v>
      </c>
      <c r="D39" s="3446"/>
      <c r="E39">
        <f t="shared" si="0"/>
        <v>4.0612308653545766</v>
      </c>
    </row>
    <row r="40" spans="1:5">
      <c r="A40" s="3446" t="s">
        <v>3905</v>
      </c>
      <c r="B40">
        <v>3750</v>
      </c>
      <c r="C40" s="3446">
        <v>38.380000000000003</v>
      </c>
      <c r="D40" s="3446"/>
      <c r="E40">
        <f t="shared" si="0"/>
        <v>3.2569046378322044</v>
      </c>
    </row>
    <row r="41" spans="1:5">
      <c r="A41" s="3446" t="s">
        <v>3905</v>
      </c>
      <c r="B41">
        <v>3700</v>
      </c>
      <c r="C41" s="3446">
        <v>38.46</v>
      </c>
      <c r="D41" s="3446"/>
      <c r="E41">
        <f t="shared" si="0"/>
        <v>3.2067949384642054</v>
      </c>
    </row>
    <row r="42" spans="1:5">
      <c r="A42" s="3446" t="s">
        <v>3905</v>
      </c>
      <c r="B42">
        <v>3600</v>
      </c>
      <c r="C42" s="3446">
        <v>38.39</v>
      </c>
      <c r="D42" s="3446"/>
      <c r="E42">
        <f t="shared" si="0"/>
        <v>3.125814014066163</v>
      </c>
    </row>
    <row r="43" spans="1:5">
      <c r="E43" t="e">
        <f t="shared" si="0"/>
        <v>#DIV/0!</v>
      </c>
    </row>
    <row r="44" spans="1:5">
      <c r="A44" s="3446" t="s">
        <v>3909</v>
      </c>
      <c r="B44">
        <v>3880</v>
      </c>
      <c r="C44">
        <v>34.590000000000003</v>
      </c>
      <c r="E44">
        <f t="shared" si="0"/>
        <v>3.739038257685265</v>
      </c>
    </row>
    <row r="45" spans="1:5">
      <c r="A45" s="3446" t="s">
        <v>3910</v>
      </c>
      <c r="B45">
        <v>3860</v>
      </c>
      <c r="C45">
        <v>38</v>
      </c>
      <c r="E45">
        <f t="shared" si="0"/>
        <v>3.3859649122807016</v>
      </c>
    </row>
    <row r="46" spans="1:5">
      <c r="A46" s="3446" t="s">
        <v>3910</v>
      </c>
      <c r="B46">
        <v>3400</v>
      </c>
      <c r="C46">
        <v>38</v>
      </c>
      <c r="E46">
        <f t="shared" si="0"/>
        <v>2.9824561403508771</v>
      </c>
    </row>
    <row r="47" spans="1:5">
      <c r="A47" s="3446" t="s">
        <v>3911</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446" t="s">
        <v>3912</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446" t="s">
        <v>3916</v>
      </c>
      <c r="B56">
        <v>4000</v>
      </c>
      <c r="C56">
        <v>40</v>
      </c>
      <c r="E56">
        <f t="shared" si="0"/>
        <v>3.3333333333333335</v>
      </c>
    </row>
    <row r="57" spans="1:5">
      <c r="A57" s="3446" t="s">
        <v>3920</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446" t="s">
        <v>3921</v>
      </c>
      <c r="B60">
        <v>3500</v>
      </c>
      <c r="C60">
        <v>18</v>
      </c>
      <c r="E60">
        <f t="shared" si="0"/>
        <v>6.4814814814814818</v>
      </c>
    </row>
    <row r="61" spans="1:5">
      <c r="E61" t="e">
        <f t="shared" si="0"/>
        <v>#DIV/0!</v>
      </c>
    </row>
    <row r="62" spans="1:5">
      <c r="A62" s="3446" t="s">
        <v>3917</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446" t="s">
        <v>3918</v>
      </c>
      <c r="B66">
        <v>3000</v>
      </c>
      <c r="C66">
        <v>30</v>
      </c>
      <c r="E66">
        <f t="shared" si="0"/>
        <v>3.3333333333333335</v>
      </c>
    </row>
    <row r="67" spans="1:17">
      <c r="A67" s="3446" t="s">
        <v>3919</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446" t="s">
        <v>3927</v>
      </c>
      <c r="B72">
        <v>1899</v>
      </c>
      <c r="C72">
        <v>25</v>
      </c>
      <c r="E72">
        <f t="shared" si="0"/>
        <v>2.5319999999999996</v>
      </c>
    </row>
    <row r="73" spans="1:17">
      <c r="B73">
        <v>2256</v>
      </c>
      <c r="C73">
        <v>25</v>
      </c>
      <c r="E73">
        <f t="shared" si="0"/>
        <v>3.008</v>
      </c>
    </row>
    <row r="74" spans="1:17">
      <c r="B74">
        <v>1899</v>
      </c>
      <c r="C74">
        <v>22</v>
      </c>
      <c r="E74">
        <f t="shared" si="0"/>
        <v>2.877272727272727</v>
      </c>
      <c r="F74" s="3446"/>
    </row>
    <row r="75" spans="1:17">
      <c r="B75">
        <v>2256</v>
      </c>
      <c r="C75">
        <v>25</v>
      </c>
      <c r="E75">
        <f t="shared" si="0"/>
        <v>3.008</v>
      </c>
      <c r="F75" s="3446"/>
      <c r="H75" s="3446"/>
      <c r="L75" s="3446"/>
      <c r="Q75" s="3446"/>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446" t="s">
        <v>3930</v>
      </c>
      <c r="B86">
        <v>3500</v>
      </c>
      <c r="C86">
        <v>32.89</v>
      </c>
      <c r="E86">
        <f t="shared" si="0"/>
        <v>3.5471774602209383</v>
      </c>
    </row>
    <row r="87" spans="1:5">
      <c r="B87">
        <v>4400</v>
      </c>
      <c r="C87">
        <v>32.89</v>
      </c>
      <c r="E87">
        <f t="shared" si="0"/>
        <v>4.4593088071348941</v>
      </c>
    </row>
    <row r="88" spans="1:5">
      <c r="A88" s="3446" t="s">
        <v>3931</v>
      </c>
      <c r="B88">
        <v>3600</v>
      </c>
      <c r="C88">
        <v>34.19</v>
      </c>
      <c r="E88">
        <f t="shared" si="0"/>
        <v>3.5097981866042707</v>
      </c>
    </row>
    <row r="89" spans="1:5">
      <c r="A89" s="3446" t="s">
        <v>3932</v>
      </c>
      <c r="B89">
        <v>3650</v>
      </c>
      <c r="C89">
        <v>36</v>
      </c>
      <c r="E89">
        <f t="shared" si="0"/>
        <v>3.3796296296296293</v>
      </c>
    </row>
    <row r="90" spans="1:5">
      <c r="B90">
        <v>4250</v>
      </c>
      <c r="C90">
        <v>36</v>
      </c>
      <c r="E90">
        <f t="shared" si="0"/>
        <v>3.9351851851851851</v>
      </c>
    </row>
    <row r="91" spans="1:5">
      <c r="A91" s="3446" t="s">
        <v>3933</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446" t="s">
        <v>3935</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76" customWidth="1"/>
    <col min="2" max="2" width="11.125" style="3576" customWidth="1"/>
    <col min="3" max="3" width="12.25" style="3576" hidden="1" customWidth="1"/>
    <col min="4" max="26" width="10.125" style="3576" hidden="1" customWidth="1"/>
    <col min="27" max="27" width="10.875" style="3576" hidden="1" customWidth="1"/>
    <col min="28" max="28" width="10.75" style="3576" customWidth="1"/>
    <col min="29" max="29" width="11.375" style="3576" customWidth="1"/>
    <col min="30" max="31" width="9.75" style="3576" customWidth="1"/>
    <col min="32" max="32" width="10.75" style="3576" customWidth="1"/>
    <col min="33" max="33" width="11.25" style="3576" customWidth="1"/>
    <col min="34" max="34" width="10.625" style="3576" customWidth="1"/>
    <col min="35" max="35" width="10.875" style="3576" customWidth="1"/>
    <col min="36" max="36" width="10.625" style="3576" customWidth="1"/>
    <col min="37" max="37" width="10.875" style="3576" customWidth="1"/>
    <col min="38" max="38" width="10.375" style="3576" customWidth="1"/>
    <col min="39" max="43" width="10.5" style="3576" customWidth="1"/>
    <col min="44" max="44" width="15.125" style="3576" customWidth="1"/>
    <col min="45" max="45" width="15.75" style="3576" bestFit="1" customWidth="1"/>
    <col min="46" max="256" width="7.875" style="3576"/>
    <col min="257" max="257" width="20.625" style="3576" customWidth="1"/>
    <col min="258" max="258" width="11.125" style="3576" customWidth="1"/>
    <col min="259" max="283" width="0" style="3576" hidden="1" customWidth="1"/>
    <col min="284" max="284" width="10.75" style="3576" customWidth="1"/>
    <col min="285" max="285" width="11.375" style="3576" customWidth="1"/>
    <col min="286" max="287" width="9.75" style="3576" customWidth="1"/>
    <col min="288" max="288" width="10.75" style="3576" customWidth="1"/>
    <col min="289" max="289" width="11.25" style="3576" customWidth="1"/>
    <col min="290" max="290" width="10.625" style="3576" customWidth="1"/>
    <col min="291" max="291" width="10.875" style="3576" customWidth="1"/>
    <col min="292" max="292" width="10.625" style="3576" customWidth="1"/>
    <col min="293" max="293" width="10.875" style="3576" customWidth="1"/>
    <col min="294" max="294" width="10.375" style="3576" customWidth="1"/>
    <col min="295" max="299" width="10.5" style="3576" customWidth="1"/>
    <col min="300" max="300" width="15.125" style="3576" customWidth="1"/>
    <col min="301" max="301" width="15.75" style="3576" bestFit="1" customWidth="1"/>
    <col min="302" max="512" width="7.875" style="3576"/>
    <col min="513" max="513" width="20.625" style="3576" customWidth="1"/>
    <col min="514" max="514" width="11.125" style="3576" customWidth="1"/>
    <col min="515" max="539" width="0" style="3576" hidden="1" customWidth="1"/>
    <col min="540" max="540" width="10.75" style="3576" customWidth="1"/>
    <col min="541" max="541" width="11.375" style="3576" customWidth="1"/>
    <col min="542" max="543" width="9.75" style="3576" customWidth="1"/>
    <col min="544" max="544" width="10.75" style="3576" customWidth="1"/>
    <col min="545" max="545" width="11.25" style="3576" customWidth="1"/>
    <col min="546" max="546" width="10.625" style="3576" customWidth="1"/>
    <col min="547" max="547" width="10.875" style="3576" customWidth="1"/>
    <col min="548" max="548" width="10.625" style="3576" customWidth="1"/>
    <col min="549" max="549" width="10.875" style="3576" customWidth="1"/>
    <col min="550" max="550" width="10.375" style="3576" customWidth="1"/>
    <col min="551" max="555" width="10.5" style="3576" customWidth="1"/>
    <col min="556" max="556" width="15.125" style="3576" customWidth="1"/>
    <col min="557" max="557" width="15.75" style="3576" bestFit="1" customWidth="1"/>
    <col min="558" max="768" width="7.875" style="3576"/>
    <col min="769" max="769" width="20.625" style="3576" customWidth="1"/>
    <col min="770" max="770" width="11.125" style="3576" customWidth="1"/>
    <col min="771" max="795" width="0" style="3576" hidden="1" customWidth="1"/>
    <col min="796" max="796" width="10.75" style="3576" customWidth="1"/>
    <col min="797" max="797" width="11.375" style="3576" customWidth="1"/>
    <col min="798" max="799" width="9.75" style="3576" customWidth="1"/>
    <col min="800" max="800" width="10.75" style="3576" customWidth="1"/>
    <col min="801" max="801" width="11.25" style="3576" customWidth="1"/>
    <col min="802" max="802" width="10.625" style="3576" customWidth="1"/>
    <col min="803" max="803" width="10.875" style="3576" customWidth="1"/>
    <col min="804" max="804" width="10.625" style="3576" customWidth="1"/>
    <col min="805" max="805" width="10.875" style="3576" customWidth="1"/>
    <col min="806" max="806" width="10.375" style="3576" customWidth="1"/>
    <col min="807" max="811" width="10.5" style="3576" customWidth="1"/>
    <col min="812" max="812" width="15.125" style="3576" customWidth="1"/>
    <col min="813" max="813" width="15.75" style="3576" bestFit="1" customWidth="1"/>
    <col min="814" max="1024" width="7.875" style="3576"/>
    <col min="1025" max="1025" width="20.625" style="3576" customWidth="1"/>
    <col min="1026" max="1026" width="11.125" style="3576" customWidth="1"/>
    <col min="1027" max="1051" width="0" style="3576" hidden="1" customWidth="1"/>
    <col min="1052" max="1052" width="10.75" style="3576" customWidth="1"/>
    <col min="1053" max="1053" width="11.375" style="3576" customWidth="1"/>
    <col min="1054" max="1055" width="9.75" style="3576" customWidth="1"/>
    <col min="1056" max="1056" width="10.75" style="3576" customWidth="1"/>
    <col min="1057" max="1057" width="11.25" style="3576" customWidth="1"/>
    <col min="1058" max="1058" width="10.625" style="3576" customWidth="1"/>
    <col min="1059" max="1059" width="10.875" style="3576" customWidth="1"/>
    <col min="1060" max="1060" width="10.625" style="3576" customWidth="1"/>
    <col min="1061" max="1061" width="10.875" style="3576" customWidth="1"/>
    <col min="1062" max="1062" width="10.375" style="3576" customWidth="1"/>
    <col min="1063" max="1067" width="10.5" style="3576" customWidth="1"/>
    <col min="1068" max="1068" width="15.125" style="3576" customWidth="1"/>
    <col min="1069" max="1069" width="15.75" style="3576" bestFit="1" customWidth="1"/>
    <col min="1070" max="1280" width="7.875" style="3576"/>
    <col min="1281" max="1281" width="20.625" style="3576" customWidth="1"/>
    <col min="1282" max="1282" width="11.125" style="3576" customWidth="1"/>
    <col min="1283" max="1307" width="0" style="3576" hidden="1" customWidth="1"/>
    <col min="1308" max="1308" width="10.75" style="3576" customWidth="1"/>
    <col min="1309" max="1309" width="11.375" style="3576" customWidth="1"/>
    <col min="1310" max="1311" width="9.75" style="3576" customWidth="1"/>
    <col min="1312" max="1312" width="10.75" style="3576" customWidth="1"/>
    <col min="1313" max="1313" width="11.25" style="3576" customWidth="1"/>
    <col min="1314" max="1314" width="10.625" style="3576" customWidth="1"/>
    <col min="1315" max="1315" width="10.875" style="3576" customWidth="1"/>
    <col min="1316" max="1316" width="10.625" style="3576" customWidth="1"/>
    <col min="1317" max="1317" width="10.875" style="3576" customWidth="1"/>
    <col min="1318" max="1318" width="10.375" style="3576" customWidth="1"/>
    <col min="1319" max="1323" width="10.5" style="3576" customWidth="1"/>
    <col min="1324" max="1324" width="15.125" style="3576" customWidth="1"/>
    <col min="1325" max="1325" width="15.75" style="3576" bestFit="1" customWidth="1"/>
    <col min="1326" max="1536" width="7.875" style="3576"/>
    <col min="1537" max="1537" width="20.625" style="3576" customWidth="1"/>
    <col min="1538" max="1538" width="11.125" style="3576" customWidth="1"/>
    <col min="1539" max="1563" width="0" style="3576" hidden="1" customWidth="1"/>
    <col min="1564" max="1564" width="10.75" style="3576" customWidth="1"/>
    <col min="1565" max="1565" width="11.375" style="3576" customWidth="1"/>
    <col min="1566" max="1567" width="9.75" style="3576" customWidth="1"/>
    <col min="1568" max="1568" width="10.75" style="3576" customWidth="1"/>
    <col min="1569" max="1569" width="11.25" style="3576" customWidth="1"/>
    <col min="1570" max="1570" width="10.625" style="3576" customWidth="1"/>
    <col min="1571" max="1571" width="10.875" style="3576" customWidth="1"/>
    <col min="1572" max="1572" width="10.625" style="3576" customWidth="1"/>
    <col min="1573" max="1573" width="10.875" style="3576" customWidth="1"/>
    <col min="1574" max="1574" width="10.375" style="3576" customWidth="1"/>
    <col min="1575" max="1579" width="10.5" style="3576" customWidth="1"/>
    <col min="1580" max="1580" width="15.125" style="3576" customWidth="1"/>
    <col min="1581" max="1581" width="15.75" style="3576" bestFit="1" customWidth="1"/>
    <col min="1582" max="1792" width="7.875" style="3576"/>
    <col min="1793" max="1793" width="20.625" style="3576" customWidth="1"/>
    <col min="1794" max="1794" width="11.125" style="3576" customWidth="1"/>
    <col min="1795" max="1819" width="0" style="3576" hidden="1" customWidth="1"/>
    <col min="1820" max="1820" width="10.75" style="3576" customWidth="1"/>
    <col min="1821" max="1821" width="11.375" style="3576" customWidth="1"/>
    <col min="1822" max="1823" width="9.75" style="3576" customWidth="1"/>
    <col min="1824" max="1824" width="10.75" style="3576" customWidth="1"/>
    <col min="1825" max="1825" width="11.25" style="3576" customWidth="1"/>
    <col min="1826" max="1826" width="10.625" style="3576" customWidth="1"/>
    <col min="1827" max="1827" width="10.875" style="3576" customWidth="1"/>
    <col min="1828" max="1828" width="10.625" style="3576" customWidth="1"/>
    <col min="1829" max="1829" width="10.875" style="3576" customWidth="1"/>
    <col min="1830" max="1830" width="10.375" style="3576" customWidth="1"/>
    <col min="1831" max="1835" width="10.5" style="3576" customWidth="1"/>
    <col min="1836" max="1836" width="15.125" style="3576" customWidth="1"/>
    <col min="1837" max="1837" width="15.75" style="3576" bestFit="1" customWidth="1"/>
    <col min="1838" max="2048" width="7.875" style="3576"/>
    <col min="2049" max="2049" width="20.625" style="3576" customWidth="1"/>
    <col min="2050" max="2050" width="11.125" style="3576" customWidth="1"/>
    <col min="2051" max="2075" width="0" style="3576" hidden="1" customWidth="1"/>
    <col min="2076" max="2076" width="10.75" style="3576" customWidth="1"/>
    <col min="2077" max="2077" width="11.375" style="3576" customWidth="1"/>
    <col min="2078" max="2079" width="9.75" style="3576" customWidth="1"/>
    <col min="2080" max="2080" width="10.75" style="3576" customWidth="1"/>
    <col min="2081" max="2081" width="11.25" style="3576" customWidth="1"/>
    <col min="2082" max="2082" width="10.625" style="3576" customWidth="1"/>
    <col min="2083" max="2083" width="10.875" style="3576" customWidth="1"/>
    <col min="2084" max="2084" width="10.625" style="3576" customWidth="1"/>
    <col min="2085" max="2085" width="10.875" style="3576" customWidth="1"/>
    <col min="2086" max="2086" width="10.375" style="3576" customWidth="1"/>
    <col min="2087" max="2091" width="10.5" style="3576" customWidth="1"/>
    <col min="2092" max="2092" width="15.125" style="3576" customWidth="1"/>
    <col min="2093" max="2093" width="15.75" style="3576" bestFit="1" customWidth="1"/>
    <col min="2094" max="2304" width="7.875" style="3576"/>
    <col min="2305" max="2305" width="20.625" style="3576" customWidth="1"/>
    <col min="2306" max="2306" width="11.125" style="3576" customWidth="1"/>
    <col min="2307" max="2331" width="0" style="3576" hidden="1" customWidth="1"/>
    <col min="2332" max="2332" width="10.75" style="3576" customWidth="1"/>
    <col min="2333" max="2333" width="11.375" style="3576" customWidth="1"/>
    <col min="2334" max="2335" width="9.75" style="3576" customWidth="1"/>
    <col min="2336" max="2336" width="10.75" style="3576" customWidth="1"/>
    <col min="2337" max="2337" width="11.25" style="3576" customWidth="1"/>
    <col min="2338" max="2338" width="10.625" style="3576" customWidth="1"/>
    <col min="2339" max="2339" width="10.875" style="3576" customWidth="1"/>
    <col min="2340" max="2340" width="10.625" style="3576" customWidth="1"/>
    <col min="2341" max="2341" width="10.875" style="3576" customWidth="1"/>
    <col min="2342" max="2342" width="10.375" style="3576" customWidth="1"/>
    <col min="2343" max="2347" width="10.5" style="3576" customWidth="1"/>
    <col min="2348" max="2348" width="15.125" style="3576" customWidth="1"/>
    <col min="2349" max="2349" width="15.75" style="3576" bestFit="1" customWidth="1"/>
    <col min="2350" max="2560" width="7.875" style="3576"/>
    <col min="2561" max="2561" width="20.625" style="3576" customWidth="1"/>
    <col min="2562" max="2562" width="11.125" style="3576" customWidth="1"/>
    <col min="2563" max="2587" width="0" style="3576" hidden="1" customWidth="1"/>
    <col min="2588" max="2588" width="10.75" style="3576" customWidth="1"/>
    <col min="2589" max="2589" width="11.375" style="3576" customWidth="1"/>
    <col min="2590" max="2591" width="9.75" style="3576" customWidth="1"/>
    <col min="2592" max="2592" width="10.75" style="3576" customWidth="1"/>
    <col min="2593" max="2593" width="11.25" style="3576" customWidth="1"/>
    <col min="2594" max="2594" width="10.625" style="3576" customWidth="1"/>
    <col min="2595" max="2595" width="10.875" style="3576" customWidth="1"/>
    <col min="2596" max="2596" width="10.625" style="3576" customWidth="1"/>
    <col min="2597" max="2597" width="10.875" style="3576" customWidth="1"/>
    <col min="2598" max="2598" width="10.375" style="3576" customWidth="1"/>
    <col min="2599" max="2603" width="10.5" style="3576" customWidth="1"/>
    <col min="2604" max="2604" width="15.125" style="3576" customWidth="1"/>
    <col min="2605" max="2605" width="15.75" style="3576" bestFit="1" customWidth="1"/>
    <col min="2606" max="2816" width="7.875" style="3576"/>
    <col min="2817" max="2817" width="20.625" style="3576" customWidth="1"/>
    <col min="2818" max="2818" width="11.125" style="3576" customWidth="1"/>
    <col min="2819" max="2843" width="0" style="3576" hidden="1" customWidth="1"/>
    <col min="2844" max="2844" width="10.75" style="3576" customWidth="1"/>
    <col min="2845" max="2845" width="11.375" style="3576" customWidth="1"/>
    <col min="2846" max="2847" width="9.75" style="3576" customWidth="1"/>
    <col min="2848" max="2848" width="10.75" style="3576" customWidth="1"/>
    <col min="2849" max="2849" width="11.25" style="3576" customWidth="1"/>
    <col min="2850" max="2850" width="10.625" style="3576" customWidth="1"/>
    <col min="2851" max="2851" width="10.875" style="3576" customWidth="1"/>
    <col min="2852" max="2852" width="10.625" style="3576" customWidth="1"/>
    <col min="2853" max="2853" width="10.875" style="3576" customWidth="1"/>
    <col min="2854" max="2854" width="10.375" style="3576" customWidth="1"/>
    <col min="2855" max="2859" width="10.5" style="3576" customWidth="1"/>
    <col min="2860" max="2860" width="15.125" style="3576" customWidth="1"/>
    <col min="2861" max="2861" width="15.75" style="3576" bestFit="1" customWidth="1"/>
    <col min="2862" max="3072" width="7.875" style="3576"/>
    <col min="3073" max="3073" width="20.625" style="3576" customWidth="1"/>
    <col min="3074" max="3074" width="11.125" style="3576" customWidth="1"/>
    <col min="3075" max="3099" width="0" style="3576" hidden="1" customWidth="1"/>
    <col min="3100" max="3100" width="10.75" style="3576" customWidth="1"/>
    <col min="3101" max="3101" width="11.375" style="3576" customWidth="1"/>
    <col min="3102" max="3103" width="9.75" style="3576" customWidth="1"/>
    <col min="3104" max="3104" width="10.75" style="3576" customWidth="1"/>
    <col min="3105" max="3105" width="11.25" style="3576" customWidth="1"/>
    <col min="3106" max="3106" width="10.625" style="3576" customWidth="1"/>
    <col min="3107" max="3107" width="10.875" style="3576" customWidth="1"/>
    <col min="3108" max="3108" width="10.625" style="3576" customWidth="1"/>
    <col min="3109" max="3109" width="10.875" style="3576" customWidth="1"/>
    <col min="3110" max="3110" width="10.375" style="3576" customWidth="1"/>
    <col min="3111" max="3115" width="10.5" style="3576" customWidth="1"/>
    <col min="3116" max="3116" width="15.125" style="3576" customWidth="1"/>
    <col min="3117" max="3117" width="15.75" style="3576" bestFit="1" customWidth="1"/>
    <col min="3118" max="3328" width="7.875" style="3576"/>
    <col min="3329" max="3329" width="20.625" style="3576" customWidth="1"/>
    <col min="3330" max="3330" width="11.125" style="3576" customWidth="1"/>
    <col min="3331" max="3355" width="0" style="3576" hidden="1" customWidth="1"/>
    <col min="3356" max="3356" width="10.75" style="3576" customWidth="1"/>
    <col min="3357" max="3357" width="11.375" style="3576" customWidth="1"/>
    <col min="3358" max="3359" width="9.75" style="3576" customWidth="1"/>
    <col min="3360" max="3360" width="10.75" style="3576" customWidth="1"/>
    <col min="3361" max="3361" width="11.25" style="3576" customWidth="1"/>
    <col min="3362" max="3362" width="10.625" style="3576" customWidth="1"/>
    <col min="3363" max="3363" width="10.875" style="3576" customWidth="1"/>
    <col min="3364" max="3364" width="10.625" style="3576" customWidth="1"/>
    <col min="3365" max="3365" width="10.875" style="3576" customWidth="1"/>
    <col min="3366" max="3366" width="10.375" style="3576" customWidth="1"/>
    <col min="3367" max="3371" width="10.5" style="3576" customWidth="1"/>
    <col min="3372" max="3372" width="15.125" style="3576" customWidth="1"/>
    <col min="3373" max="3373" width="15.75" style="3576" bestFit="1" customWidth="1"/>
    <col min="3374" max="3584" width="7.875" style="3576"/>
    <col min="3585" max="3585" width="20.625" style="3576" customWidth="1"/>
    <col min="3586" max="3586" width="11.125" style="3576" customWidth="1"/>
    <col min="3587" max="3611" width="0" style="3576" hidden="1" customWidth="1"/>
    <col min="3612" max="3612" width="10.75" style="3576" customWidth="1"/>
    <col min="3613" max="3613" width="11.375" style="3576" customWidth="1"/>
    <col min="3614" max="3615" width="9.75" style="3576" customWidth="1"/>
    <col min="3616" max="3616" width="10.75" style="3576" customWidth="1"/>
    <col min="3617" max="3617" width="11.25" style="3576" customWidth="1"/>
    <col min="3618" max="3618" width="10.625" style="3576" customWidth="1"/>
    <col min="3619" max="3619" width="10.875" style="3576" customWidth="1"/>
    <col min="3620" max="3620" width="10.625" style="3576" customWidth="1"/>
    <col min="3621" max="3621" width="10.875" style="3576" customWidth="1"/>
    <col min="3622" max="3622" width="10.375" style="3576" customWidth="1"/>
    <col min="3623" max="3627" width="10.5" style="3576" customWidth="1"/>
    <col min="3628" max="3628" width="15.125" style="3576" customWidth="1"/>
    <col min="3629" max="3629" width="15.75" style="3576" bestFit="1" customWidth="1"/>
    <col min="3630" max="3840" width="7.875" style="3576"/>
    <col min="3841" max="3841" width="20.625" style="3576" customWidth="1"/>
    <col min="3842" max="3842" width="11.125" style="3576" customWidth="1"/>
    <col min="3843" max="3867" width="0" style="3576" hidden="1" customWidth="1"/>
    <col min="3868" max="3868" width="10.75" style="3576" customWidth="1"/>
    <col min="3869" max="3869" width="11.375" style="3576" customWidth="1"/>
    <col min="3870" max="3871" width="9.75" style="3576" customWidth="1"/>
    <col min="3872" max="3872" width="10.75" style="3576" customWidth="1"/>
    <col min="3873" max="3873" width="11.25" style="3576" customWidth="1"/>
    <col min="3874" max="3874" width="10.625" style="3576" customWidth="1"/>
    <col min="3875" max="3875" width="10.875" style="3576" customWidth="1"/>
    <col min="3876" max="3876" width="10.625" style="3576" customWidth="1"/>
    <col min="3877" max="3877" width="10.875" style="3576" customWidth="1"/>
    <col min="3878" max="3878" width="10.375" style="3576" customWidth="1"/>
    <col min="3879" max="3883" width="10.5" style="3576" customWidth="1"/>
    <col min="3884" max="3884" width="15.125" style="3576" customWidth="1"/>
    <col min="3885" max="3885" width="15.75" style="3576" bestFit="1" customWidth="1"/>
    <col min="3886" max="4096" width="7.875" style="3576"/>
    <col min="4097" max="4097" width="20.625" style="3576" customWidth="1"/>
    <col min="4098" max="4098" width="11.125" style="3576" customWidth="1"/>
    <col min="4099" max="4123" width="0" style="3576" hidden="1" customWidth="1"/>
    <col min="4124" max="4124" width="10.75" style="3576" customWidth="1"/>
    <col min="4125" max="4125" width="11.375" style="3576" customWidth="1"/>
    <col min="4126" max="4127" width="9.75" style="3576" customWidth="1"/>
    <col min="4128" max="4128" width="10.75" style="3576" customWidth="1"/>
    <col min="4129" max="4129" width="11.25" style="3576" customWidth="1"/>
    <col min="4130" max="4130" width="10.625" style="3576" customWidth="1"/>
    <col min="4131" max="4131" width="10.875" style="3576" customWidth="1"/>
    <col min="4132" max="4132" width="10.625" style="3576" customWidth="1"/>
    <col min="4133" max="4133" width="10.875" style="3576" customWidth="1"/>
    <col min="4134" max="4134" width="10.375" style="3576" customWidth="1"/>
    <col min="4135" max="4139" width="10.5" style="3576" customWidth="1"/>
    <col min="4140" max="4140" width="15.125" style="3576" customWidth="1"/>
    <col min="4141" max="4141" width="15.75" style="3576" bestFit="1" customWidth="1"/>
    <col min="4142" max="4352" width="7.875" style="3576"/>
    <col min="4353" max="4353" width="20.625" style="3576" customWidth="1"/>
    <col min="4354" max="4354" width="11.125" style="3576" customWidth="1"/>
    <col min="4355" max="4379" width="0" style="3576" hidden="1" customWidth="1"/>
    <col min="4380" max="4380" width="10.75" style="3576" customWidth="1"/>
    <col min="4381" max="4381" width="11.375" style="3576" customWidth="1"/>
    <col min="4382" max="4383" width="9.75" style="3576" customWidth="1"/>
    <col min="4384" max="4384" width="10.75" style="3576" customWidth="1"/>
    <col min="4385" max="4385" width="11.25" style="3576" customWidth="1"/>
    <col min="4386" max="4386" width="10.625" style="3576" customWidth="1"/>
    <col min="4387" max="4387" width="10.875" style="3576" customWidth="1"/>
    <col min="4388" max="4388" width="10.625" style="3576" customWidth="1"/>
    <col min="4389" max="4389" width="10.875" style="3576" customWidth="1"/>
    <col min="4390" max="4390" width="10.375" style="3576" customWidth="1"/>
    <col min="4391" max="4395" width="10.5" style="3576" customWidth="1"/>
    <col min="4396" max="4396" width="15.125" style="3576" customWidth="1"/>
    <col min="4397" max="4397" width="15.75" style="3576" bestFit="1" customWidth="1"/>
    <col min="4398" max="4608" width="7.875" style="3576"/>
    <col min="4609" max="4609" width="20.625" style="3576" customWidth="1"/>
    <col min="4610" max="4610" width="11.125" style="3576" customWidth="1"/>
    <col min="4611" max="4635" width="0" style="3576" hidden="1" customWidth="1"/>
    <col min="4636" max="4636" width="10.75" style="3576" customWidth="1"/>
    <col min="4637" max="4637" width="11.375" style="3576" customWidth="1"/>
    <col min="4638" max="4639" width="9.75" style="3576" customWidth="1"/>
    <col min="4640" max="4640" width="10.75" style="3576" customWidth="1"/>
    <col min="4641" max="4641" width="11.25" style="3576" customWidth="1"/>
    <col min="4642" max="4642" width="10.625" style="3576" customWidth="1"/>
    <col min="4643" max="4643" width="10.875" style="3576" customWidth="1"/>
    <col min="4644" max="4644" width="10.625" style="3576" customWidth="1"/>
    <col min="4645" max="4645" width="10.875" style="3576" customWidth="1"/>
    <col min="4646" max="4646" width="10.375" style="3576" customWidth="1"/>
    <col min="4647" max="4651" width="10.5" style="3576" customWidth="1"/>
    <col min="4652" max="4652" width="15.125" style="3576" customWidth="1"/>
    <col min="4653" max="4653" width="15.75" style="3576" bestFit="1" customWidth="1"/>
    <col min="4654" max="4864" width="7.875" style="3576"/>
    <col min="4865" max="4865" width="20.625" style="3576" customWidth="1"/>
    <col min="4866" max="4866" width="11.125" style="3576" customWidth="1"/>
    <col min="4867" max="4891" width="0" style="3576" hidden="1" customWidth="1"/>
    <col min="4892" max="4892" width="10.75" style="3576" customWidth="1"/>
    <col min="4893" max="4893" width="11.375" style="3576" customWidth="1"/>
    <col min="4894" max="4895" width="9.75" style="3576" customWidth="1"/>
    <col min="4896" max="4896" width="10.75" style="3576" customWidth="1"/>
    <col min="4897" max="4897" width="11.25" style="3576" customWidth="1"/>
    <col min="4898" max="4898" width="10.625" style="3576" customWidth="1"/>
    <col min="4899" max="4899" width="10.875" style="3576" customWidth="1"/>
    <col min="4900" max="4900" width="10.625" style="3576" customWidth="1"/>
    <col min="4901" max="4901" width="10.875" style="3576" customWidth="1"/>
    <col min="4902" max="4902" width="10.375" style="3576" customWidth="1"/>
    <col min="4903" max="4907" width="10.5" style="3576" customWidth="1"/>
    <col min="4908" max="4908" width="15.125" style="3576" customWidth="1"/>
    <col min="4909" max="4909" width="15.75" style="3576" bestFit="1" customWidth="1"/>
    <col min="4910" max="5120" width="7.875" style="3576"/>
    <col min="5121" max="5121" width="20.625" style="3576" customWidth="1"/>
    <col min="5122" max="5122" width="11.125" style="3576" customWidth="1"/>
    <col min="5123" max="5147" width="0" style="3576" hidden="1" customWidth="1"/>
    <col min="5148" max="5148" width="10.75" style="3576" customWidth="1"/>
    <col min="5149" max="5149" width="11.375" style="3576" customWidth="1"/>
    <col min="5150" max="5151" width="9.75" style="3576" customWidth="1"/>
    <col min="5152" max="5152" width="10.75" style="3576" customWidth="1"/>
    <col min="5153" max="5153" width="11.25" style="3576" customWidth="1"/>
    <col min="5154" max="5154" width="10.625" style="3576" customWidth="1"/>
    <col min="5155" max="5155" width="10.875" style="3576" customWidth="1"/>
    <col min="5156" max="5156" width="10.625" style="3576" customWidth="1"/>
    <col min="5157" max="5157" width="10.875" style="3576" customWidth="1"/>
    <col min="5158" max="5158" width="10.375" style="3576" customWidth="1"/>
    <col min="5159" max="5163" width="10.5" style="3576" customWidth="1"/>
    <col min="5164" max="5164" width="15.125" style="3576" customWidth="1"/>
    <col min="5165" max="5165" width="15.75" style="3576" bestFit="1" customWidth="1"/>
    <col min="5166" max="5376" width="7.875" style="3576"/>
    <col min="5377" max="5377" width="20.625" style="3576" customWidth="1"/>
    <col min="5378" max="5378" width="11.125" style="3576" customWidth="1"/>
    <col min="5379" max="5403" width="0" style="3576" hidden="1" customWidth="1"/>
    <col min="5404" max="5404" width="10.75" style="3576" customWidth="1"/>
    <col min="5405" max="5405" width="11.375" style="3576" customWidth="1"/>
    <col min="5406" max="5407" width="9.75" style="3576" customWidth="1"/>
    <col min="5408" max="5408" width="10.75" style="3576" customWidth="1"/>
    <col min="5409" max="5409" width="11.25" style="3576" customWidth="1"/>
    <col min="5410" max="5410" width="10.625" style="3576" customWidth="1"/>
    <col min="5411" max="5411" width="10.875" style="3576" customWidth="1"/>
    <col min="5412" max="5412" width="10.625" style="3576" customWidth="1"/>
    <col min="5413" max="5413" width="10.875" style="3576" customWidth="1"/>
    <col min="5414" max="5414" width="10.375" style="3576" customWidth="1"/>
    <col min="5415" max="5419" width="10.5" style="3576" customWidth="1"/>
    <col min="5420" max="5420" width="15.125" style="3576" customWidth="1"/>
    <col min="5421" max="5421" width="15.75" style="3576" bestFit="1" customWidth="1"/>
    <col min="5422" max="5632" width="7.875" style="3576"/>
    <col min="5633" max="5633" width="20.625" style="3576" customWidth="1"/>
    <col min="5634" max="5634" width="11.125" style="3576" customWidth="1"/>
    <col min="5635" max="5659" width="0" style="3576" hidden="1" customWidth="1"/>
    <col min="5660" max="5660" width="10.75" style="3576" customWidth="1"/>
    <col min="5661" max="5661" width="11.375" style="3576" customWidth="1"/>
    <col min="5662" max="5663" width="9.75" style="3576" customWidth="1"/>
    <col min="5664" max="5664" width="10.75" style="3576" customWidth="1"/>
    <col min="5665" max="5665" width="11.25" style="3576" customWidth="1"/>
    <col min="5666" max="5666" width="10.625" style="3576" customWidth="1"/>
    <col min="5667" max="5667" width="10.875" style="3576" customWidth="1"/>
    <col min="5668" max="5668" width="10.625" style="3576" customWidth="1"/>
    <col min="5669" max="5669" width="10.875" style="3576" customWidth="1"/>
    <col min="5670" max="5670" width="10.375" style="3576" customWidth="1"/>
    <col min="5671" max="5675" width="10.5" style="3576" customWidth="1"/>
    <col min="5676" max="5676" width="15.125" style="3576" customWidth="1"/>
    <col min="5677" max="5677" width="15.75" style="3576" bestFit="1" customWidth="1"/>
    <col min="5678" max="5888" width="7.875" style="3576"/>
    <col min="5889" max="5889" width="20.625" style="3576" customWidth="1"/>
    <col min="5890" max="5890" width="11.125" style="3576" customWidth="1"/>
    <col min="5891" max="5915" width="0" style="3576" hidden="1" customWidth="1"/>
    <col min="5916" max="5916" width="10.75" style="3576" customWidth="1"/>
    <col min="5917" max="5917" width="11.375" style="3576" customWidth="1"/>
    <col min="5918" max="5919" width="9.75" style="3576" customWidth="1"/>
    <col min="5920" max="5920" width="10.75" style="3576" customWidth="1"/>
    <col min="5921" max="5921" width="11.25" style="3576" customWidth="1"/>
    <col min="5922" max="5922" width="10.625" style="3576" customWidth="1"/>
    <col min="5923" max="5923" width="10.875" style="3576" customWidth="1"/>
    <col min="5924" max="5924" width="10.625" style="3576" customWidth="1"/>
    <col min="5925" max="5925" width="10.875" style="3576" customWidth="1"/>
    <col min="5926" max="5926" width="10.375" style="3576" customWidth="1"/>
    <col min="5927" max="5931" width="10.5" style="3576" customWidth="1"/>
    <col min="5932" max="5932" width="15.125" style="3576" customWidth="1"/>
    <col min="5933" max="5933" width="15.75" style="3576" bestFit="1" customWidth="1"/>
    <col min="5934" max="6144" width="7.875" style="3576"/>
    <col min="6145" max="6145" width="20.625" style="3576" customWidth="1"/>
    <col min="6146" max="6146" width="11.125" style="3576" customWidth="1"/>
    <col min="6147" max="6171" width="0" style="3576" hidden="1" customWidth="1"/>
    <col min="6172" max="6172" width="10.75" style="3576" customWidth="1"/>
    <col min="6173" max="6173" width="11.375" style="3576" customWidth="1"/>
    <col min="6174" max="6175" width="9.75" style="3576" customWidth="1"/>
    <col min="6176" max="6176" width="10.75" style="3576" customWidth="1"/>
    <col min="6177" max="6177" width="11.25" style="3576" customWidth="1"/>
    <col min="6178" max="6178" width="10.625" style="3576" customWidth="1"/>
    <col min="6179" max="6179" width="10.875" style="3576" customWidth="1"/>
    <col min="6180" max="6180" width="10.625" style="3576" customWidth="1"/>
    <col min="6181" max="6181" width="10.875" style="3576" customWidth="1"/>
    <col min="6182" max="6182" width="10.375" style="3576" customWidth="1"/>
    <col min="6183" max="6187" width="10.5" style="3576" customWidth="1"/>
    <col min="6188" max="6188" width="15.125" style="3576" customWidth="1"/>
    <col min="6189" max="6189" width="15.75" style="3576" bestFit="1" customWidth="1"/>
    <col min="6190" max="6400" width="7.875" style="3576"/>
    <col min="6401" max="6401" width="20.625" style="3576" customWidth="1"/>
    <col min="6402" max="6402" width="11.125" style="3576" customWidth="1"/>
    <col min="6403" max="6427" width="0" style="3576" hidden="1" customWidth="1"/>
    <col min="6428" max="6428" width="10.75" style="3576" customWidth="1"/>
    <col min="6429" max="6429" width="11.375" style="3576" customWidth="1"/>
    <col min="6430" max="6431" width="9.75" style="3576" customWidth="1"/>
    <col min="6432" max="6432" width="10.75" style="3576" customWidth="1"/>
    <col min="6433" max="6433" width="11.25" style="3576" customWidth="1"/>
    <col min="6434" max="6434" width="10.625" style="3576" customWidth="1"/>
    <col min="6435" max="6435" width="10.875" style="3576" customWidth="1"/>
    <col min="6436" max="6436" width="10.625" style="3576" customWidth="1"/>
    <col min="6437" max="6437" width="10.875" style="3576" customWidth="1"/>
    <col min="6438" max="6438" width="10.375" style="3576" customWidth="1"/>
    <col min="6439" max="6443" width="10.5" style="3576" customWidth="1"/>
    <col min="6444" max="6444" width="15.125" style="3576" customWidth="1"/>
    <col min="6445" max="6445" width="15.75" style="3576" bestFit="1" customWidth="1"/>
    <col min="6446" max="6656" width="7.875" style="3576"/>
    <col min="6657" max="6657" width="20.625" style="3576" customWidth="1"/>
    <col min="6658" max="6658" width="11.125" style="3576" customWidth="1"/>
    <col min="6659" max="6683" width="0" style="3576" hidden="1" customWidth="1"/>
    <col min="6684" max="6684" width="10.75" style="3576" customWidth="1"/>
    <col min="6685" max="6685" width="11.375" style="3576" customWidth="1"/>
    <col min="6686" max="6687" width="9.75" style="3576" customWidth="1"/>
    <col min="6688" max="6688" width="10.75" style="3576" customWidth="1"/>
    <col min="6689" max="6689" width="11.25" style="3576" customWidth="1"/>
    <col min="6690" max="6690" width="10.625" style="3576" customWidth="1"/>
    <col min="6691" max="6691" width="10.875" style="3576" customWidth="1"/>
    <col min="6692" max="6692" width="10.625" style="3576" customWidth="1"/>
    <col min="6693" max="6693" width="10.875" style="3576" customWidth="1"/>
    <col min="6694" max="6694" width="10.375" style="3576" customWidth="1"/>
    <col min="6695" max="6699" width="10.5" style="3576" customWidth="1"/>
    <col min="6700" max="6700" width="15.125" style="3576" customWidth="1"/>
    <col min="6701" max="6701" width="15.75" style="3576" bestFit="1" customWidth="1"/>
    <col min="6702" max="6912" width="7.875" style="3576"/>
    <col min="6913" max="6913" width="20.625" style="3576" customWidth="1"/>
    <col min="6914" max="6914" width="11.125" style="3576" customWidth="1"/>
    <col min="6915" max="6939" width="0" style="3576" hidden="1" customWidth="1"/>
    <col min="6940" max="6940" width="10.75" style="3576" customWidth="1"/>
    <col min="6941" max="6941" width="11.375" style="3576" customWidth="1"/>
    <col min="6942" max="6943" width="9.75" style="3576" customWidth="1"/>
    <col min="6944" max="6944" width="10.75" style="3576" customWidth="1"/>
    <col min="6945" max="6945" width="11.25" style="3576" customWidth="1"/>
    <col min="6946" max="6946" width="10.625" style="3576" customWidth="1"/>
    <col min="6947" max="6947" width="10.875" style="3576" customWidth="1"/>
    <col min="6948" max="6948" width="10.625" style="3576" customWidth="1"/>
    <col min="6949" max="6949" width="10.875" style="3576" customWidth="1"/>
    <col min="6950" max="6950" width="10.375" style="3576" customWidth="1"/>
    <col min="6951" max="6955" width="10.5" style="3576" customWidth="1"/>
    <col min="6956" max="6956" width="15.125" style="3576" customWidth="1"/>
    <col min="6957" max="6957" width="15.75" style="3576" bestFit="1" customWidth="1"/>
    <col min="6958" max="7168" width="7.875" style="3576"/>
    <col min="7169" max="7169" width="20.625" style="3576" customWidth="1"/>
    <col min="7170" max="7170" width="11.125" style="3576" customWidth="1"/>
    <col min="7171" max="7195" width="0" style="3576" hidden="1" customWidth="1"/>
    <col min="7196" max="7196" width="10.75" style="3576" customWidth="1"/>
    <col min="7197" max="7197" width="11.375" style="3576" customWidth="1"/>
    <col min="7198" max="7199" width="9.75" style="3576" customWidth="1"/>
    <col min="7200" max="7200" width="10.75" style="3576" customWidth="1"/>
    <col min="7201" max="7201" width="11.25" style="3576" customWidth="1"/>
    <col min="7202" max="7202" width="10.625" style="3576" customWidth="1"/>
    <col min="7203" max="7203" width="10.875" style="3576" customWidth="1"/>
    <col min="7204" max="7204" width="10.625" style="3576" customWidth="1"/>
    <col min="7205" max="7205" width="10.875" style="3576" customWidth="1"/>
    <col min="7206" max="7206" width="10.375" style="3576" customWidth="1"/>
    <col min="7207" max="7211" width="10.5" style="3576" customWidth="1"/>
    <col min="7212" max="7212" width="15.125" style="3576" customWidth="1"/>
    <col min="7213" max="7213" width="15.75" style="3576" bestFit="1" customWidth="1"/>
    <col min="7214" max="7424" width="7.875" style="3576"/>
    <col min="7425" max="7425" width="20.625" style="3576" customWidth="1"/>
    <col min="7426" max="7426" width="11.125" style="3576" customWidth="1"/>
    <col min="7427" max="7451" width="0" style="3576" hidden="1" customWidth="1"/>
    <col min="7452" max="7452" width="10.75" style="3576" customWidth="1"/>
    <col min="7453" max="7453" width="11.375" style="3576" customWidth="1"/>
    <col min="7454" max="7455" width="9.75" style="3576" customWidth="1"/>
    <col min="7456" max="7456" width="10.75" style="3576" customWidth="1"/>
    <col min="7457" max="7457" width="11.25" style="3576" customWidth="1"/>
    <col min="7458" max="7458" width="10.625" style="3576" customWidth="1"/>
    <col min="7459" max="7459" width="10.875" style="3576" customWidth="1"/>
    <col min="7460" max="7460" width="10.625" style="3576" customWidth="1"/>
    <col min="7461" max="7461" width="10.875" style="3576" customWidth="1"/>
    <col min="7462" max="7462" width="10.375" style="3576" customWidth="1"/>
    <col min="7463" max="7467" width="10.5" style="3576" customWidth="1"/>
    <col min="7468" max="7468" width="15.125" style="3576" customWidth="1"/>
    <col min="7469" max="7469" width="15.75" style="3576" bestFit="1" customWidth="1"/>
    <col min="7470" max="7680" width="7.875" style="3576"/>
    <col min="7681" max="7681" width="20.625" style="3576" customWidth="1"/>
    <col min="7682" max="7682" width="11.125" style="3576" customWidth="1"/>
    <col min="7683" max="7707" width="0" style="3576" hidden="1" customWidth="1"/>
    <col min="7708" max="7708" width="10.75" style="3576" customWidth="1"/>
    <col min="7709" max="7709" width="11.375" style="3576" customWidth="1"/>
    <col min="7710" max="7711" width="9.75" style="3576" customWidth="1"/>
    <col min="7712" max="7712" width="10.75" style="3576" customWidth="1"/>
    <col min="7713" max="7713" width="11.25" style="3576" customWidth="1"/>
    <col min="7714" max="7714" width="10.625" style="3576" customWidth="1"/>
    <col min="7715" max="7715" width="10.875" style="3576" customWidth="1"/>
    <col min="7716" max="7716" width="10.625" style="3576" customWidth="1"/>
    <col min="7717" max="7717" width="10.875" style="3576" customWidth="1"/>
    <col min="7718" max="7718" width="10.375" style="3576" customWidth="1"/>
    <col min="7719" max="7723" width="10.5" style="3576" customWidth="1"/>
    <col min="7724" max="7724" width="15.125" style="3576" customWidth="1"/>
    <col min="7725" max="7725" width="15.75" style="3576" bestFit="1" customWidth="1"/>
    <col min="7726" max="7936" width="7.875" style="3576"/>
    <col min="7937" max="7937" width="20.625" style="3576" customWidth="1"/>
    <col min="7938" max="7938" width="11.125" style="3576" customWidth="1"/>
    <col min="7939" max="7963" width="0" style="3576" hidden="1" customWidth="1"/>
    <col min="7964" max="7964" width="10.75" style="3576" customWidth="1"/>
    <col min="7965" max="7965" width="11.375" style="3576" customWidth="1"/>
    <col min="7966" max="7967" width="9.75" style="3576" customWidth="1"/>
    <col min="7968" max="7968" width="10.75" style="3576" customWidth="1"/>
    <col min="7969" max="7969" width="11.25" style="3576" customWidth="1"/>
    <col min="7970" max="7970" width="10.625" style="3576" customWidth="1"/>
    <col min="7971" max="7971" width="10.875" style="3576" customWidth="1"/>
    <col min="7972" max="7972" width="10.625" style="3576" customWidth="1"/>
    <col min="7973" max="7973" width="10.875" style="3576" customWidth="1"/>
    <col min="7974" max="7974" width="10.375" style="3576" customWidth="1"/>
    <col min="7975" max="7979" width="10.5" style="3576" customWidth="1"/>
    <col min="7980" max="7980" width="15.125" style="3576" customWidth="1"/>
    <col min="7981" max="7981" width="15.75" style="3576" bestFit="1" customWidth="1"/>
    <col min="7982" max="8192" width="7.875" style="3576"/>
    <col min="8193" max="8193" width="20.625" style="3576" customWidth="1"/>
    <col min="8194" max="8194" width="11.125" style="3576" customWidth="1"/>
    <col min="8195" max="8219" width="0" style="3576" hidden="1" customWidth="1"/>
    <col min="8220" max="8220" width="10.75" style="3576" customWidth="1"/>
    <col min="8221" max="8221" width="11.375" style="3576" customWidth="1"/>
    <col min="8222" max="8223" width="9.75" style="3576" customWidth="1"/>
    <col min="8224" max="8224" width="10.75" style="3576" customWidth="1"/>
    <col min="8225" max="8225" width="11.25" style="3576" customWidth="1"/>
    <col min="8226" max="8226" width="10.625" style="3576" customWidth="1"/>
    <col min="8227" max="8227" width="10.875" style="3576" customWidth="1"/>
    <col min="8228" max="8228" width="10.625" style="3576" customWidth="1"/>
    <col min="8229" max="8229" width="10.875" style="3576" customWidth="1"/>
    <col min="8230" max="8230" width="10.375" style="3576" customWidth="1"/>
    <col min="8231" max="8235" width="10.5" style="3576" customWidth="1"/>
    <col min="8236" max="8236" width="15.125" style="3576" customWidth="1"/>
    <col min="8237" max="8237" width="15.75" style="3576" bestFit="1" customWidth="1"/>
    <col min="8238" max="8448" width="7.875" style="3576"/>
    <col min="8449" max="8449" width="20.625" style="3576" customWidth="1"/>
    <col min="8450" max="8450" width="11.125" style="3576" customWidth="1"/>
    <col min="8451" max="8475" width="0" style="3576" hidden="1" customWidth="1"/>
    <col min="8476" max="8476" width="10.75" style="3576" customWidth="1"/>
    <col min="8477" max="8477" width="11.375" style="3576" customWidth="1"/>
    <col min="8478" max="8479" width="9.75" style="3576" customWidth="1"/>
    <col min="8480" max="8480" width="10.75" style="3576" customWidth="1"/>
    <col min="8481" max="8481" width="11.25" style="3576" customWidth="1"/>
    <col min="8482" max="8482" width="10.625" style="3576" customWidth="1"/>
    <col min="8483" max="8483" width="10.875" style="3576" customWidth="1"/>
    <col min="8484" max="8484" width="10.625" style="3576" customWidth="1"/>
    <col min="8485" max="8485" width="10.875" style="3576" customWidth="1"/>
    <col min="8486" max="8486" width="10.375" style="3576" customWidth="1"/>
    <col min="8487" max="8491" width="10.5" style="3576" customWidth="1"/>
    <col min="8492" max="8492" width="15.125" style="3576" customWidth="1"/>
    <col min="8493" max="8493" width="15.75" style="3576" bestFit="1" customWidth="1"/>
    <col min="8494" max="8704" width="7.875" style="3576"/>
    <col min="8705" max="8705" width="20.625" style="3576" customWidth="1"/>
    <col min="8706" max="8706" width="11.125" style="3576" customWidth="1"/>
    <col min="8707" max="8731" width="0" style="3576" hidden="1" customWidth="1"/>
    <col min="8732" max="8732" width="10.75" style="3576" customWidth="1"/>
    <col min="8733" max="8733" width="11.375" style="3576" customWidth="1"/>
    <col min="8734" max="8735" width="9.75" style="3576" customWidth="1"/>
    <col min="8736" max="8736" width="10.75" style="3576" customWidth="1"/>
    <col min="8737" max="8737" width="11.25" style="3576" customWidth="1"/>
    <col min="8738" max="8738" width="10.625" style="3576" customWidth="1"/>
    <col min="8739" max="8739" width="10.875" style="3576" customWidth="1"/>
    <col min="8740" max="8740" width="10.625" style="3576" customWidth="1"/>
    <col min="8741" max="8741" width="10.875" style="3576" customWidth="1"/>
    <col min="8742" max="8742" width="10.375" style="3576" customWidth="1"/>
    <col min="8743" max="8747" width="10.5" style="3576" customWidth="1"/>
    <col min="8748" max="8748" width="15.125" style="3576" customWidth="1"/>
    <col min="8749" max="8749" width="15.75" style="3576" bestFit="1" customWidth="1"/>
    <col min="8750" max="8960" width="7.875" style="3576"/>
    <col min="8961" max="8961" width="20.625" style="3576" customWidth="1"/>
    <col min="8962" max="8962" width="11.125" style="3576" customWidth="1"/>
    <col min="8963" max="8987" width="0" style="3576" hidden="1" customWidth="1"/>
    <col min="8988" max="8988" width="10.75" style="3576" customWidth="1"/>
    <col min="8989" max="8989" width="11.375" style="3576" customWidth="1"/>
    <col min="8990" max="8991" width="9.75" style="3576" customWidth="1"/>
    <col min="8992" max="8992" width="10.75" style="3576" customWidth="1"/>
    <col min="8993" max="8993" width="11.25" style="3576" customWidth="1"/>
    <col min="8994" max="8994" width="10.625" style="3576" customWidth="1"/>
    <col min="8995" max="8995" width="10.875" style="3576" customWidth="1"/>
    <col min="8996" max="8996" width="10.625" style="3576" customWidth="1"/>
    <col min="8997" max="8997" width="10.875" style="3576" customWidth="1"/>
    <col min="8998" max="8998" width="10.375" style="3576" customWidth="1"/>
    <col min="8999" max="9003" width="10.5" style="3576" customWidth="1"/>
    <col min="9004" max="9004" width="15.125" style="3576" customWidth="1"/>
    <col min="9005" max="9005" width="15.75" style="3576" bestFit="1" customWidth="1"/>
    <col min="9006" max="9216" width="7.875" style="3576"/>
    <col min="9217" max="9217" width="20.625" style="3576" customWidth="1"/>
    <col min="9218" max="9218" width="11.125" style="3576" customWidth="1"/>
    <col min="9219" max="9243" width="0" style="3576" hidden="1" customWidth="1"/>
    <col min="9244" max="9244" width="10.75" style="3576" customWidth="1"/>
    <col min="9245" max="9245" width="11.375" style="3576" customWidth="1"/>
    <col min="9246" max="9247" width="9.75" style="3576" customWidth="1"/>
    <col min="9248" max="9248" width="10.75" style="3576" customWidth="1"/>
    <col min="9249" max="9249" width="11.25" style="3576" customWidth="1"/>
    <col min="9250" max="9250" width="10.625" style="3576" customWidth="1"/>
    <col min="9251" max="9251" width="10.875" style="3576" customWidth="1"/>
    <col min="9252" max="9252" width="10.625" style="3576" customWidth="1"/>
    <col min="9253" max="9253" width="10.875" style="3576" customWidth="1"/>
    <col min="9254" max="9254" width="10.375" style="3576" customWidth="1"/>
    <col min="9255" max="9259" width="10.5" style="3576" customWidth="1"/>
    <col min="9260" max="9260" width="15.125" style="3576" customWidth="1"/>
    <col min="9261" max="9261" width="15.75" style="3576" bestFit="1" customWidth="1"/>
    <col min="9262" max="9472" width="7.875" style="3576"/>
    <col min="9473" max="9473" width="20.625" style="3576" customWidth="1"/>
    <col min="9474" max="9474" width="11.125" style="3576" customWidth="1"/>
    <col min="9475" max="9499" width="0" style="3576" hidden="1" customWidth="1"/>
    <col min="9500" max="9500" width="10.75" style="3576" customWidth="1"/>
    <col min="9501" max="9501" width="11.375" style="3576" customWidth="1"/>
    <col min="9502" max="9503" width="9.75" style="3576" customWidth="1"/>
    <col min="9504" max="9504" width="10.75" style="3576" customWidth="1"/>
    <col min="9505" max="9505" width="11.25" style="3576" customWidth="1"/>
    <col min="9506" max="9506" width="10.625" style="3576" customWidth="1"/>
    <col min="9507" max="9507" width="10.875" style="3576" customWidth="1"/>
    <col min="9508" max="9508" width="10.625" style="3576" customWidth="1"/>
    <col min="9509" max="9509" width="10.875" style="3576" customWidth="1"/>
    <col min="9510" max="9510" width="10.375" style="3576" customWidth="1"/>
    <col min="9511" max="9515" width="10.5" style="3576" customWidth="1"/>
    <col min="9516" max="9516" width="15.125" style="3576" customWidth="1"/>
    <col min="9517" max="9517" width="15.75" style="3576" bestFit="1" customWidth="1"/>
    <col min="9518" max="9728" width="7.875" style="3576"/>
    <col min="9729" max="9729" width="20.625" style="3576" customWidth="1"/>
    <col min="9730" max="9730" width="11.125" style="3576" customWidth="1"/>
    <col min="9731" max="9755" width="0" style="3576" hidden="1" customWidth="1"/>
    <col min="9756" max="9756" width="10.75" style="3576" customWidth="1"/>
    <col min="9757" max="9757" width="11.375" style="3576" customWidth="1"/>
    <col min="9758" max="9759" width="9.75" style="3576" customWidth="1"/>
    <col min="9760" max="9760" width="10.75" style="3576" customWidth="1"/>
    <col min="9761" max="9761" width="11.25" style="3576" customWidth="1"/>
    <col min="9762" max="9762" width="10.625" style="3576" customWidth="1"/>
    <col min="9763" max="9763" width="10.875" style="3576" customWidth="1"/>
    <col min="9764" max="9764" width="10.625" style="3576" customWidth="1"/>
    <col min="9765" max="9765" width="10.875" style="3576" customWidth="1"/>
    <col min="9766" max="9766" width="10.375" style="3576" customWidth="1"/>
    <col min="9767" max="9771" width="10.5" style="3576" customWidth="1"/>
    <col min="9772" max="9772" width="15.125" style="3576" customWidth="1"/>
    <col min="9773" max="9773" width="15.75" style="3576" bestFit="1" customWidth="1"/>
    <col min="9774" max="9984" width="7.875" style="3576"/>
    <col min="9985" max="9985" width="20.625" style="3576" customWidth="1"/>
    <col min="9986" max="9986" width="11.125" style="3576" customWidth="1"/>
    <col min="9987" max="10011" width="0" style="3576" hidden="1" customWidth="1"/>
    <col min="10012" max="10012" width="10.75" style="3576" customWidth="1"/>
    <col min="10013" max="10013" width="11.375" style="3576" customWidth="1"/>
    <col min="10014" max="10015" width="9.75" style="3576" customWidth="1"/>
    <col min="10016" max="10016" width="10.75" style="3576" customWidth="1"/>
    <col min="10017" max="10017" width="11.25" style="3576" customWidth="1"/>
    <col min="10018" max="10018" width="10.625" style="3576" customWidth="1"/>
    <col min="10019" max="10019" width="10.875" style="3576" customWidth="1"/>
    <col min="10020" max="10020" width="10.625" style="3576" customWidth="1"/>
    <col min="10021" max="10021" width="10.875" style="3576" customWidth="1"/>
    <col min="10022" max="10022" width="10.375" style="3576" customWidth="1"/>
    <col min="10023" max="10027" width="10.5" style="3576" customWidth="1"/>
    <col min="10028" max="10028" width="15.125" style="3576" customWidth="1"/>
    <col min="10029" max="10029" width="15.75" style="3576" bestFit="1" customWidth="1"/>
    <col min="10030" max="10240" width="7.875" style="3576"/>
    <col min="10241" max="10241" width="20.625" style="3576" customWidth="1"/>
    <col min="10242" max="10242" width="11.125" style="3576" customWidth="1"/>
    <col min="10243" max="10267" width="0" style="3576" hidden="1" customWidth="1"/>
    <col min="10268" max="10268" width="10.75" style="3576" customWidth="1"/>
    <col min="10269" max="10269" width="11.375" style="3576" customWidth="1"/>
    <col min="10270" max="10271" width="9.75" style="3576" customWidth="1"/>
    <col min="10272" max="10272" width="10.75" style="3576" customWidth="1"/>
    <col min="10273" max="10273" width="11.25" style="3576" customWidth="1"/>
    <col min="10274" max="10274" width="10.625" style="3576" customWidth="1"/>
    <col min="10275" max="10275" width="10.875" style="3576" customWidth="1"/>
    <col min="10276" max="10276" width="10.625" style="3576" customWidth="1"/>
    <col min="10277" max="10277" width="10.875" style="3576" customWidth="1"/>
    <col min="10278" max="10278" width="10.375" style="3576" customWidth="1"/>
    <col min="10279" max="10283" width="10.5" style="3576" customWidth="1"/>
    <col min="10284" max="10284" width="15.125" style="3576" customWidth="1"/>
    <col min="10285" max="10285" width="15.75" style="3576" bestFit="1" customWidth="1"/>
    <col min="10286" max="10496" width="7.875" style="3576"/>
    <col min="10497" max="10497" width="20.625" style="3576" customWidth="1"/>
    <col min="10498" max="10498" width="11.125" style="3576" customWidth="1"/>
    <col min="10499" max="10523" width="0" style="3576" hidden="1" customWidth="1"/>
    <col min="10524" max="10524" width="10.75" style="3576" customWidth="1"/>
    <col min="10525" max="10525" width="11.375" style="3576" customWidth="1"/>
    <col min="10526" max="10527" width="9.75" style="3576" customWidth="1"/>
    <col min="10528" max="10528" width="10.75" style="3576" customWidth="1"/>
    <col min="10529" max="10529" width="11.25" style="3576" customWidth="1"/>
    <col min="10530" max="10530" width="10.625" style="3576" customWidth="1"/>
    <col min="10531" max="10531" width="10.875" style="3576" customWidth="1"/>
    <col min="10532" max="10532" width="10.625" style="3576" customWidth="1"/>
    <col min="10533" max="10533" width="10.875" style="3576" customWidth="1"/>
    <col min="10534" max="10534" width="10.375" style="3576" customWidth="1"/>
    <col min="10535" max="10539" width="10.5" style="3576" customWidth="1"/>
    <col min="10540" max="10540" width="15.125" style="3576" customWidth="1"/>
    <col min="10541" max="10541" width="15.75" style="3576" bestFit="1" customWidth="1"/>
    <col min="10542" max="10752" width="7.875" style="3576"/>
    <col min="10753" max="10753" width="20.625" style="3576" customWidth="1"/>
    <col min="10754" max="10754" width="11.125" style="3576" customWidth="1"/>
    <col min="10755" max="10779" width="0" style="3576" hidden="1" customWidth="1"/>
    <col min="10780" max="10780" width="10.75" style="3576" customWidth="1"/>
    <col min="10781" max="10781" width="11.375" style="3576" customWidth="1"/>
    <col min="10782" max="10783" width="9.75" style="3576" customWidth="1"/>
    <col min="10784" max="10784" width="10.75" style="3576" customWidth="1"/>
    <col min="10785" max="10785" width="11.25" style="3576" customWidth="1"/>
    <col min="10786" max="10786" width="10.625" style="3576" customWidth="1"/>
    <col min="10787" max="10787" width="10.875" style="3576" customWidth="1"/>
    <col min="10788" max="10788" width="10.625" style="3576" customWidth="1"/>
    <col min="10789" max="10789" width="10.875" style="3576" customWidth="1"/>
    <col min="10790" max="10790" width="10.375" style="3576" customWidth="1"/>
    <col min="10791" max="10795" width="10.5" style="3576" customWidth="1"/>
    <col min="10796" max="10796" width="15.125" style="3576" customWidth="1"/>
    <col min="10797" max="10797" width="15.75" style="3576" bestFit="1" customWidth="1"/>
    <col min="10798" max="11008" width="7.875" style="3576"/>
    <col min="11009" max="11009" width="20.625" style="3576" customWidth="1"/>
    <col min="11010" max="11010" width="11.125" style="3576" customWidth="1"/>
    <col min="11011" max="11035" width="0" style="3576" hidden="1" customWidth="1"/>
    <col min="11036" max="11036" width="10.75" style="3576" customWidth="1"/>
    <col min="11037" max="11037" width="11.375" style="3576" customWidth="1"/>
    <col min="11038" max="11039" width="9.75" style="3576" customWidth="1"/>
    <col min="11040" max="11040" width="10.75" style="3576" customWidth="1"/>
    <col min="11041" max="11041" width="11.25" style="3576" customWidth="1"/>
    <col min="11042" max="11042" width="10.625" style="3576" customWidth="1"/>
    <col min="11043" max="11043" width="10.875" style="3576" customWidth="1"/>
    <col min="11044" max="11044" width="10.625" style="3576" customWidth="1"/>
    <col min="11045" max="11045" width="10.875" style="3576" customWidth="1"/>
    <col min="11046" max="11046" width="10.375" style="3576" customWidth="1"/>
    <col min="11047" max="11051" width="10.5" style="3576" customWidth="1"/>
    <col min="11052" max="11052" width="15.125" style="3576" customWidth="1"/>
    <col min="11053" max="11053" width="15.75" style="3576" bestFit="1" customWidth="1"/>
    <col min="11054" max="11264" width="7.875" style="3576"/>
    <col min="11265" max="11265" width="20.625" style="3576" customWidth="1"/>
    <col min="11266" max="11266" width="11.125" style="3576" customWidth="1"/>
    <col min="11267" max="11291" width="0" style="3576" hidden="1" customWidth="1"/>
    <col min="11292" max="11292" width="10.75" style="3576" customWidth="1"/>
    <col min="11293" max="11293" width="11.375" style="3576" customWidth="1"/>
    <col min="11294" max="11295" width="9.75" style="3576" customWidth="1"/>
    <col min="11296" max="11296" width="10.75" style="3576" customWidth="1"/>
    <col min="11297" max="11297" width="11.25" style="3576" customWidth="1"/>
    <col min="11298" max="11298" width="10.625" style="3576" customWidth="1"/>
    <col min="11299" max="11299" width="10.875" style="3576" customWidth="1"/>
    <col min="11300" max="11300" width="10.625" style="3576" customWidth="1"/>
    <col min="11301" max="11301" width="10.875" style="3576" customWidth="1"/>
    <col min="11302" max="11302" width="10.375" style="3576" customWidth="1"/>
    <col min="11303" max="11307" width="10.5" style="3576" customWidth="1"/>
    <col min="11308" max="11308" width="15.125" style="3576" customWidth="1"/>
    <col min="11309" max="11309" width="15.75" style="3576" bestFit="1" customWidth="1"/>
    <col min="11310" max="11520" width="7.875" style="3576"/>
    <col min="11521" max="11521" width="20.625" style="3576" customWidth="1"/>
    <col min="11522" max="11522" width="11.125" style="3576" customWidth="1"/>
    <col min="11523" max="11547" width="0" style="3576" hidden="1" customWidth="1"/>
    <col min="11548" max="11548" width="10.75" style="3576" customWidth="1"/>
    <col min="11549" max="11549" width="11.375" style="3576" customWidth="1"/>
    <col min="11550" max="11551" width="9.75" style="3576" customWidth="1"/>
    <col min="11552" max="11552" width="10.75" style="3576" customWidth="1"/>
    <col min="11553" max="11553" width="11.25" style="3576" customWidth="1"/>
    <col min="11554" max="11554" width="10.625" style="3576" customWidth="1"/>
    <col min="11555" max="11555" width="10.875" style="3576" customWidth="1"/>
    <col min="11556" max="11556" width="10.625" style="3576" customWidth="1"/>
    <col min="11557" max="11557" width="10.875" style="3576" customWidth="1"/>
    <col min="11558" max="11558" width="10.375" style="3576" customWidth="1"/>
    <col min="11559" max="11563" width="10.5" style="3576" customWidth="1"/>
    <col min="11564" max="11564" width="15.125" style="3576" customWidth="1"/>
    <col min="11565" max="11565" width="15.75" style="3576" bestFit="1" customWidth="1"/>
    <col min="11566" max="11776" width="7.875" style="3576"/>
    <col min="11777" max="11777" width="20.625" style="3576" customWidth="1"/>
    <col min="11778" max="11778" width="11.125" style="3576" customWidth="1"/>
    <col min="11779" max="11803" width="0" style="3576" hidden="1" customWidth="1"/>
    <col min="11804" max="11804" width="10.75" style="3576" customWidth="1"/>
    <col min="11805" max="11805" width="11.375" style="3576" customWidth="1"/>
    <col min="11806" max="11807" width="9.75" style="3576" customWidth="1"/>
    <col min="11808" max="11808" width="10.75" style="3576" customWidth="1"/>
    <col min="11809" max="11809" width="11.25" style="3576" customWidth="1"/>
    <col min="11810" max="11810" width="10.625" style="3576" customWidth="1"/>
    <col min="11811" max="11811" width="10.875" style="3576" customWidth="1"/>
    <col min="11812" max="11812" width="10.625" style="3576" customWidth="1"/>
    <col min="11813" max="11813" width="10.875" style="3576" customWidth="1"/>
    <col min="11814" max="11814" width="10.375" style="3576" customWidth="1"/>
    <col min="11815" max="11819" width="10.5" style="3576" customWidth="1"/>
    <col min="11820" max="11820" width="15.125" style="3576" customWidth="1"/>
    <col min="11821" max="11821" width="15.75" style="3576" bestFit="1" customWidth="1"/>
    <col min="11822" max="12032" width="7.875" style="3576"/>
    <col min="12033" max="12033" width="20.625" style="3576" customWidth="1"/>
    <col min="12034" max="12034" width="11.125" style="3576" customWidth="1"/>
    <col min="12035" max="12059" width="0" style="3576" hidden="1" customWidth="1"/>
    <col min="12060" max="12060" width="10.75" style="3576" customWidth="1"/>
    <col min="12061" max="12061" width="11.375" style="3576" customWidth="1"/>
    <col min="12062" max="12063" width="9.75" style="3576" customWidth="1"/>
    <col min="12064" max="12064" width="10.75" style="3576" customWidth="1"/>
    <col min="12065" max="12065" width="11.25" style="3576" customWidth="1"/>
    <col min="12066" max="12066" width="10.625" style="3576" customWidth="1"/>
    <col min="12067" max="12067" width="10.875" style="3576" customWidth="1"/>
    <col min="12068" max="12068" width="10.625" style="3576" customWidth="1"/>
    <col min="12069" max="12069" width="10.875" style="3576" customWidth="1"/>
    <col min="12070" max="12070" width="10.375" style="3576" customWidth="1"/>
    <col min="12071" max="12075" width="10.5" style="3576" customWidth="1"/>
    <col min="12076" max="12076" width="15.125" style="3576" customWidth="1"/>
    <col min="12077" max="12077" width="15.75" style="3576" bestFit="1" customWidth="1"/>
    <col min="12078" max="12288" width="7.875" style="3576"/>
    <col min="12289" max="12289" width="20.625" style="3576" customWidth="1"/>
    <col min="12290" max="12290" width="11.125" style="3576" customWidth="1"/>
    <col min="12291" max="12315" width="0" style="3576" hidden="1" customWidth="1"/>
    <col min="12316" max="12316" width="10.75" style="3576" customWidth="1"/>
    <col min="12317" max="12317" width="11.375" style="3576" customWidth="1"/>
    <col min="12318" max="12319" width="9.75" style="3576" customWidth="1"/>
    <col min="12320" max="12320" width="10.75" style="3576" customWidth="1"/>
    <col min="12321" max="12321" width="11.25" style="3576" customWidth="1"/>
    <col min="12322" max="12322" width="10.625" style="3576" customWidth="1"/>
    <col min="12323" max="12323" width="10.875" style="3576" customWidth="1"/>
    <col min="12324" max="12324" width="10.625" style="3576" customWidth="1"/>
    <col min="12325" max="12325" width="10.875" style="3576" customWidth="1"/>
    <col min="12326" max="12326" width="10.375" style="3576" customWidth="1"/>
    <col min="12327" max="12331" width="10.5" style="3576" customWidth="1"/>
    <col min="12332" max="12332" width="15.125" style="3576" customWidth="1"/>
    <col min="12333" max="12333" width="15.75" style="3576" bestFit="1" customWidth="1"/>
    <col min="12334" max="12544" width="7.875" style="3576"/>
    <col min="12545" max="12545" width="20.625" style="3576" customWidth="1"/>
    <col min="12546" max="12546" width="11.125" style="3576" customWidth="1"/>
    <col min="12547" max="12571" width="0" style="3576" hidden="1" customWidth="1"/>
    <col min="12572" max="12572" width="10.75" style="3576" customWidth="1"/>
    <col min="12573" max="12573" width="11.375" style="3576" customWidth="1"/>
    <col min="12574" max="12575" width="9.75" style="3576" customWidth="1"/>
    <col min="12576" max="12576" width="10.75" style="3576" customWidth="1"/>
    <col min="12577" max="12577" width="11.25" style="3576" customWidth="1"/>
    <col min="12578" max="12578" width="10.625" style="3576" customWidth="1"/>
    <col min="12579" max="12579" width="10.875" style="3576" customWidth="1"/>
    <col min="12580" max="12580" width="10.625" style="3576" customWidth="1"/>
    <col min="12581" max="12581" width="10.875" style="3576" customWidth="1"/>
    <col min="12582" max="12582" width="10.375" style="3576" customWidth="1"/>
    <col min="12583" max="12587" width="10.5" style="3576" customWidth="1"/>
    <col min="12588" max="12588" width="15.125" style="3576" customWidth="1"/>
    <col min="12589" max="12589" width="15.75" style="3576" bestFit="1" customWidth="1"/>
    <col min="12590" max="12800" width="7.875" style="3576"/>
    <col min="12801" max="12801" width="20.625" style="3576" customWidth="1"/>
    <col min="12802" max="12802" width="11.125" style="3576" customWidth="1"/>
    <col min="12803" max="12827" width="0" style="3576" hidden="1" customWidth="1"/>
    <col min="12828" max="12828" width="10.75" style="3576" customWidth="1"/>
    <col min="12829" max="12829" width="11.375" style="3576" customWidth="1"/>
    <col min="12830" max="12831" width="9.75" style="3576" customWidth="1"/>
    <col min="12832" max="12832" width="10.75" style="3576" customWidth="1"/>
    <col min="12833" max="12833" width="11.25" style="3576" customWidth="1"/>
    <col min="12834" max="12834" width="10.625" style="3576" customWidth="1"/>
    <col min="12835" max="12835" width="10.875" style="3576" customWidth="1"/>
    <col min="12836" max="12836" width="10.625" style="3576" customWidth="1"/>
    <col min="12837" max="12837" width="10.875" style="3576" customWidth="1"/>
    <col min="12838" max="12838" width="10.375" style="3576" customWidth="1"/>
    <col min="12839" max="12843" width="10.5" style="3576" customWidth="1"/>
    <col min="12844" max="12844" width="15.125" style="3576" customWidth="1"/>
    <col min="12845" max="12845" width="15.75" style="3576" bestFit="1" customWidth="1"/>
    <col min="12846" max="13056" width="7.875" style="3576"/>
    <col min="13057" max="13057" width="20.625" style="3576" customWidth="1"/>
    <col min="13058" max="13058" width="11.125" style="3576" customWidth="1"/>
    <col min="13059" max="13083" width="0" style="3576" hidden="1" customWidth="1"/>
    <col min="13084" max="13084" width="10.75" style="3576" customWidth="1"/>
    <col min="13085" max="13085" width="11.375" style="3576" customWidth="1"/>
    <col min="13086" max="13087" width="9.75" style="3576" customWidth="1"/>
    <col min="13088" max="13088" width="10.75" style="3576" customWidth="1"/>
    <col min="13089" max="13089" width="11.25" style="3576" customWidth="1"/>
    <col min="13090" max="13090" width="10.625" style="3576" customWidth="1"/>
    <col min="13091" max="13091" width="10.875" style="3576" customWidth="1"/>
    <col min="13092" max="13092" width="10.625" style="3576" customWidth="1"/>
    <col min="13093" max="13093" width="10.875" style="3576" customWidth="1"/>
    <col min="13094" max="13094" width="10.375" style="3576" customWidth="1"/>
    <col min="13095" max="13099" width="10.5" style="3576" customWidth="1"/>
    <col min="13100" max="13100" width="15.125" style="3576" customWidth="1"/>
    <col min="13101" max="13101" width="15.75" style="3576" bestFit="1" customWidth="1"/>
    <col min="13102" max="13312" width="7.875" style="3576"/>
    <col min="13313" max="13313" width="20.625" style="3576" customWidth="1"/>
    <col min="13314" max="13314" width="11.125" style="3576" customWidth="1"/>
    <col min="13315" max="13339" width="0" style="3576" hidden="1" customWidth="1"/>
    <col min="13340" max="13340" width="10.75" style="3576" customWidth="1"/>
    <col min="13341" max="13341" width="11.375" style="3576" customWidth="1"/>
    <col min="13342" max="13343" width="9.75" style="3576" customWidth="1"/>
    <col min="13344" max="13344" width="10.75" style="3576" customWidth="1"/>
    <col min="13345" max="13345" width="11.25" style="3576" customWidth="1"/>
    <col min="13346" max="13346" width="10.625" style="3576" customWidth="1"/>
    <col min="13347" max="13347" width="10.875" style="3576" customWidth="1"/>
    <col min="13348" max="13348" width="10.625" style="3576" customWidth="1"/>
    <col min="13349" max="13349" width="10.875" style="3576" customWidth="1"/>
    <col min="13350" max="13350" width="10.375" style="3576" customWidth="1"/>
    <col min="13351" max="13355" width="10.5" style="3576" customWidth="1"/>
    <col min="13356" max="13356" width="15.125" style="3576" customWidth="1"/>
    <col min="13357" max="13357" width="15.75" style="3576" bestFit="1" customWidth="1"/>
    <col min="13358" max="13568" width="7.875" style="3576"/>
    <col min="13569" max="13569" width="20.625" style="3576" customWidth="1"/>
    <col min="13570" max="13570" width="11.125" style="3576" customWidth="1"/>
    <col min="13571" max="13595" width="0" style="3576" hidden="1" customWidth="1"/>
    <col min="13596" max="13596" width="10.75" style="3576" customWidth="1"/>
    <col min="13597" max="13597" width="11.375" style="3576" customWidth="1"/>
    <col min="13598" max="13599" width="9.75" style="3576" customWidth="1"/>
    <col min="13600" max="13600" width="10.75" style="3576" customWidth="1"/>
    <col min="13601" max="13601" width="11.25" style="3576" customWidth="1"/>
    <col min="13602" max="13602" width="10.625" style="3576" customWidth="1"/>
    <col min="13603" max="13603" width="10.875" style="3576" customWidth="1"/>
    <col min="13604" max="13604" width="10.625" style="3576" customWidth="1"/>
    <col min="13605" max="13605" width="10.875" style="3576" customWidth="1"/>
    <col min="13606" max="13606" width="10.375" style="3576" customWidth="1"/>
    <col min="13607" max="13611" width="10.5" style="3576" customWidth="1"/>
    <col min="13612" max="13612" width="15.125" style="3576" customWidth="1"/>
    <col min="13613" max="13613" width="15.75" style="3576" bestFit="1" customWidth="1"/>
    <col min="13614" max="13824" width="7.875" style="3576"/>
    <col min="13825" max="13825" width="20.625" style="3576" customWidth="1"/>
    <col min="13826" max="13826" width="11.125" style="3576" customWidth="1"/>
    <col min="13827" max="13851" width="0" style="3576" hidden="1" customWidth="1"/>
    <col min="13852" max="13852" width="10.75" style="3576" customWidth="1"/>
    <col min="13853" max="13853" width="11.375" style="3576" customWidth="1"/>
    <col min="13854" max="13855" width="9.75" style="3576" customWidth="1"/>
    <col min="13856" max="13856" width="10.75" style="3576" customWidth="1"/>
    <col min="13857" max="13857" width="11.25" style="3576" customWidth="1"/>
    <col min="13858" max="13858" width="10.625" style="3576" customWidth="1"/>
    <col min="13859" max="13859" width="10.875" style="3576" customWidth="1"/>
    <col min="13860" max="13860" width="10.625" style="3576" customWidth="1"/>
    <col min="13861" max="13861" width="10.875" style="3576" customWidth="1"/>
    <col min="13862" max="13862" width="10.375" style="3576" customWidth="1"/>
    <col min="13863" max="13867" width="10.5" style="3576" customWidth="1"/>
    <col min="13868" max="13868" width="15.125" style="3576" customWidth="1"/>
    <col min="13869" max="13869" width="15.75" style="3576" bestFit="1" customWidth="1"/>
    <col min="13870" max="14080" width="7.875" style="3576"/>
    <col min="14081" max="14081" width="20.625" style="3576" customWidth="1"/>
    <col min="14082" max="14082" width="11.125" style="3576" customWidth="1"/>
    <col min="14083" max="14107" width="0" style="3576" hidden="1" customWidth="1"/>
    <col min="14108" max="14108" width="10.75" style="3576" customWidth="1"/>
    <col min="14109" max="14109" width="11.375" style="3576" customWidth="1"/>
    <col min="14110" max="14111" width="9.75" style="3576" customWidth="1"/>
    <col min="14112" max="14112" width="10.75" style="3576" customWidth="1"/>
    <col min="14113" max="14113" width="11.25" style="3576" customWidth="1"/>
    <col min="14114" max="14114" width="10.625" style="3576" customWidth="1"/>
    <col min="14115" max="14115" width="10.875" style="3576" customWidth="1"/>
    <col min="14116" max="14116" width="10.625" style="3576" customWidth="1"/>
    <col min="14117" max="14117" width="10.875" style="3576" customWidth="1"/>
    <col min="14118" max="14118" width="10.375" style="3576" customWidth="1"/>
    <col min="14119" max="14123" width="10.5" style="3576" customWidth="1"/>
    <col min="14124" max="14124" width="15.125" style="3576" customWidth="1"/>
    <col min="14125" max="14125" width="15.75" style="3576" bestFit="1" customWidth="1"/>
    <col min="14126" max="14336" width="7.875" style="3576"/>
    <col min="14337" max="14337" width="20.625" style="3576" customWidth="1"/>
    <col min="14338" max="14338" width="11.125" style="3576" customWidth="1"/>
    <col min="14339" max="14363" width="0" style="3576" hidden="1" customWidth="1"/>
    <col min="14364" max="14364" width="10.75" style="3576" customWidth="1"/>
    <col min="14365" max="14365" width="11.375" style="3576" customWidth="1"/>
    <col min="14366" max="14367" width="9.75" style="3576" customWidth="1"/>
    <col min="14368" max="14368" width="10.75" style="3576" customWidth="1"/>
    <col min="14369" max="14369" width="11.25" style="3576" customWidth="1"/>
    <col min="14370" max="14370" width="10.625" style="3576" customWidth="1"/>
    <col min="14371" max="14371" width="10.875" style="3576" customWidth="1"/>
    <col min="14372" max="14372" width="10.625" style="3576" customWidth="1"/>
    <col min="14373" max="14373" width="10.875" style="3576" customWidth="1"/>
    <col min="14374" max="14374" width="10.375" style="3576" customWidth="1"/>
    <col min="14375" max="14379" width="10.5" style="3576" customWidth="1"/>
    <col min="14380" max="14380" width="15.125" style="3576" customWidth="1"/>
    <col min="14381" max="14381" width="15.75" style="3576" bestFit="1" customWidth="1"/>
    <col min="14382" max="14592" width="7.875" style="3576"/>
    <col min="14593" max="14593" width="20.625" style="3576" customWidth="1"/>
    <col min="14594" max="14594" width="11.125" style="3576" customWidth="1"/>
    <col min="14595" max="14619" width="0" style="3576" hidden="1" customWidth="1"/>
    <col min="14620" max="14620" width="10.75" style="3576" customWidth="1"/>
    <col min="14621" max="14621" width="11.375" style="3576" customWidth="1"/>
    <col min="14622" max="14623" width="9.75" style="3576" customWidth="1"/>
    <col min="14624" max="14624" width="10.75" style="3576" customWidth="1"/>
    <col min="14625" max="14625" width="11.25" style="3576" customWidth="1"/>
    <col min="14626" max="14626" width="10.625" style="3576" customWidth="1"/>
    <col min="14627" max="14627" width="10.875" style="3576" customWidth="1"/>
    <col min="14628" max="14628" width="10.625" style="3576" customWidth="1"/>
    <col min="14629" max="14629" width="10.875" style="3576" customWidth="1"/>
    <col min="14630" max="14630" width="10.375" style="3576" customWidth="1"/>
    <col min="14631" max="14635" width="10.5" style="3576" customWidth="1"/>
    <col min="14636" max="14636" width="15.125" style="3576" customWidth="1"/>
    <col min="14637" max="14637" width="15.75" style="3576" bestFit="1" customWidth="1"/>
    <col min="14638" max="14848" width="7.875" style="3576"/>
    <col min="14849" max="14849" width="20.625" style="3576" customWidth="1"/>
    <col min="14850" max="14850" width="11.125" style="3576" customWidth="1"/>
    <col min="14851" max="14875" width="0" style="3576" hidden="1" customWidth="1"/>
    <col min="14876" max="14876" width="10.75" style="3576" customWidth="1"/>
    <col min="14877" max="14877" width="11.375" style="3576" customWidth="1"/>
    <col min="14878" max="14879" width="9.75" style="3576" customWidth="1"/>
    <col min="14880" max="14880" width="10.75" style="3576" customWidth="1"/>
    <col min="14881" max="14881" width="11.25" style="3576" customWidth="1"/>
    <col min="14882" max="14882" width="10.625" style="3576" customWidth="1"/>
    <col min="14883" max="14883" width="10.875" style="3576" customWidth="1"/>
    <col min="14884" max="14884" width="10.625" style="3576" customWidth="1"/>
    <col min="14885" max="14885" width="10.875" style="3576" customWidth="1"/>
    <col min="14886" max="14886" width="10.375" style="3576" customWidth="1"/>
    <col min="14887" max="14891" width="10.5" style="3576" customWidth="1"/>
    <col min="14892" max="14892" width="15.125" style="3576" customWidth="1"/>
    <col min="14893" max="14893" width="15.75" style="3576" bestFit="1" customWidth="1"/>
    <col min="14894" max="15104" width="7.875" style="3576"/>
    <col min="15105" max="15105" width="20.625" style="3576" customWidth="1"/>
    <col min="15106" max="15106" width="11.125" style="3576" customWidth="1"/>
    <col min="15107" max="15131" width="0" style="3576" hidden="1" customWidth="1"/>
    <col min="15132" max="15132" width="10.75" style="3576" customWidth="1"/>
    <col min="15133" max="15133" width="11.375" style="3576" customWidth="1"/>
    <col min="15134" max="15135" width="9.75" style="3576" customWidth="1"/>
    <col min="15136" max="15136" width="10.75" style="3576" customWidth="1"/>
    <col min="15137" max="15137" width="11.25" style="3576" customWidth="1"/>
    <col min="15138" max="15138" width="10.625" style="3576" customWidth="1"/>
    <col min="15139" max="15139" width="10.875" style="3576" customWidth="1"/>
    <col min="15140" max="15140" width="10.625" style="3576" customWidth="1"/>
    <col min="15141" max="15141" width="10.875" style="3576" customWidth="1"/>
    <col min="15142" max="15142" width="10.375" style="3576" customWidth="1"/>
    <col min="15143" max="15147" width="10.5" style="3576" customWidth="1"/>
    <col min="15148" max="15148" width="15.125" style="3576" customWidth="1"/>
    <col min="15149" max="15149" width="15.75" style="3576" bestFit="1" customWidth="1"/>
    <col min="15150" max="15360" width="7.875" style="3576"/>
    <col min="15361" max="15361" width="20.625" style="3576" customWidth="1"/>
    <col min="15362" max="15362" width="11.125" style="3576" customWidth="1"/>
    <col min="15363" max="15387" width="0" style="3576" hidden="1" customWidth="1"/>
    <col min="15388" max="15388" width="10.75" style="3576" customWidth="1"/>
    <col min="15389" max="15389" width="11.375" style="3576" customWidth="1"/>
    <col min="15390" max="15391" width="9.75" style="3576" customWidth="1"/>
    <col min="15392" max="15392" width="10.75" style="3576" customWidth="1"/>
    <col min="15393" max="15393" width="11.25" style="3576" customWidth="1"/>
    <col min="15394" max="15394" width="10.625" style="3576" customWidth="1"/>
    <col min="15395" max="15395" width="10.875" style="3576" customWidth="1"/>
    <col min="15396" max="15396" width="10.625" style="3576" customWidth="1"/>
    <col min="15397" max="15397" width="10.875" style="3576" customWidth="1"/>
    <col min="15398" max="15398" width="10.375" style="3576" customWidth="1"/>
    <col min="15399" max="15403" width="10.5" style="3576" customWidth="1"/>
    <col min="15404" max="15404" width="15.125" style="3576" customWidth="1"/>
    <col min="15405" max="15405" width="15.75" style="3576" bestFit="1" customWidth="1"/>
    <col min="15406" max="15616" width="7.875" style="3576"/>
    <col min="15617" max="15617" width="20.625" style="3576" customWidth="1"/>
    <col min="15618" max="15618" width="11.125" style="3576" customWidth="1"/>
    <col min="15619" max="15643" width="0" style="3576" hidden="1" customWidth="1"/>
    <col min="15644" max="15644" width="10.75" style="3576" customWidth="1"/>
    <col min="15645" max="15645" width="11.375" style="3576" customWidth="1"/>
    <col min="15646" max="15647" width="9.75" style="3576" customWidth="1"/>
    <col min="15648" max="15648" width="10.75" style="3576" customWidth="1"/>
    <col min="15649" max="15649" width="11.25" style="3576" customWidth="1"/>
    <col min="15650" max="15650" width="10.625" style="3576" customWidth="1"/>
    <col min="15651" max="15651" width="10.875" style="3576" customWidth="1"/>
    <col min="15652" max="15652" width="10.625" style="3576" customWidth="1"/>
    <col min="15653" max="15653" width="10.875" style="3576" customWidth="1"/>
    <col min="15654" max="15654" width="10.375" style="3576" customWidth="1"/>
    <col min="15655" max="15659" width="10.5" style="3576" customWidth="1"/>
    <col min="15660" max="15660" width="15.125" style="3576" customWidth="1"/>
    <col min="15661" max="15661" width="15.75" style="3576" bestFit="1" customWidth="1"/>
    <col min="15662" max="15872" width="7.875" style="3576"/>
    <col min="15873" max="15873" width="20.625" style="3576" customWidth="1"/>
    <col min="15874" max="15874" width="11.125" style="3576" customWidth="1"/>
    <col min="15875" max="15899" width="0" style="3576" hidden="1" customWidth="1"/>
    <col min="15900" max="15900" width="10.75" style="3576" customWidth="1"/>
    <col min="15901" max="15901" width="11.375" style="3576" customWidth="1"/>
    <col min="15902" max="15903" width="9.75" style="3576" customWidth="1"/>
    <col min="15904" max="15904" width="10.75" style="3576" customWidth="1"/>
    <col min="15905" max="15905" width="11.25" style="3576" customWidth="1"/>
    <col min="15906" max="15906" width="10.625" style="3576" customWidth="1"/>
    <col min="15907" max="15907" width="10.875" style="3576" customWidth="1"/>
    <col min="15908" max="15908" width="10.625" style="3576" customWidth="1"/>
    <col min="15909" max="15909" width="10.875" style="3576" customWidth="1"/>
    <col min="15910" max="15910" width="10.375" style="3576" customWidth="1"/>
    <col min="15911" max="15915" width="10.5" style="3576" customWidth="1"/>
    <col min="15916" max="15916" width="15.125" style="3576" customWidth="1"/>
    <col min="15917" max="15917" width="15.75" style="3576" bestFit="1" customWidth="1"/>
    <col min="15918" max="16128" width="7.875" style="3576"/>
    <col min="16129" max="16129" width="20.625" style="3576" customWidth="1"/>
    <col min="16130" max="16130" width="11.125" style="3576" customWidth="1"/>
    <col min="16131" max="16155" width="0" style="3576" hidden="1" customWidth="1"/>
    <col min="16156" max="16156" width="10.75" style="3576" customWidth="1"/>
    <col min="16157" max="16157" width="11.375" style="3576" customWidth="1"/>
    <col min="16158" max="16159" width="9.75" style="3576" customWidth="1"/>
    <col min="16160" max="16160" width="10.75" style="3576" customWidth="1"/>
    <col min="16161" max="16161" width="11.25" style="3576" customWidth="1"/>
    <col min="16162" max="16162" width="10.625" style="3576" customWidth="1"/>
    <col min="16163" max="16163" width="10.875" style="3576" customWidth="1"/>
    <col min="16164" max="16164" width="10.625" style="3576" customWidth="1"/>
    <col min="16165" max="16165" width="10.875" style="3576" customWidth="1"/>
    <col min="16166" max="16166" width="10.375" style="3576" customWidth="1"/>
    <col min="16167" max="16171" width="10.5" style="3576" customWidth="1"/>
    <col min="16172" max="16172" width="15.125" style="3576" customWidth="1"/>
    <col min="16173" max="16173" width="15.75" style="3576" bestFit="1" customWidth="1"/>
    <col min="16174" max="16384" width="7.875" style="3576"/>
  </cols>
  <sheetData>
    <row r="1" spans="1:45" s="3478" customFormat="1">
      <c r="A1" s="3922" t="s">
        <v>3708</v>
      </c>
      <c r="B1" s="3922"/>
    </row>
    <row r="2" spans="1:45" s="3478" customFormat="1"/>
    <row r="3" spans="1:45" s="3478" customFormat="1">
      <c r="C3" s="3479"/>
      <c r="Q3" s="3479"/>
    </row>
    <row r="4" spans="1:45" s="3478" customFormat="1" hidden="1">
      <c r="A4" s="3923"/>
      <c r="B4" s="3923"/>
      <c r="C4" s="3923"/>
      <c r="D4" s="3923"/>
      <c r="E4" s="3923"/>
      <c r="F4" s="3923"/>
      <c r="G4" s="3923"/>
      <c r="H4" s="3923"/>
      <c r="I4" s="3923"/>
      <c r="J4" s="3923"/>
      <c r="K4" s="3923"/>
      <c r="L4" s="3923"/>
      <c r="M4" s="3923"/>
      <c r="N4" s="3923"/>
      <c r="O4" s="3480"/>
      <c r="P4" s="3480"/>
      <c r="Q4" s="3480"/>
      <c r="R4" s="3480"/>
      <c r="S4" s="3480"/>
      <c r="T4" s="3480"/>
      <c r="U4" s="3480"/>
      <c r="V4" s="3480"/>
      <c r="W4" s="3480"/>
      <c r="X4" s="3480"/>
      <c r="Y4" s="3480"/>
      <c r="Z4" s="3480"/>
      <c r="AA4" s="3481"/>
      <c r="AB4" s="3481" t="s">
        <v>3709</v>
      </c>
      <c r="AC4" s="3481" t="s">
        <v>3710</v>
      </c>
      <c r="AD4" s="3481" t="s">
        <v>3711</v>
      </c>
      <c r="AE4" s="3481" t="s">
        <v>3712</v>
      </c>
      <c r="AF4" s="3481" t="s">
        <v>3713</v>
      </c>
      <c r="AG4" s="3481" t="s">
        <v>3714</v>
      </c>
      <c r="AH4" s="3481" t="s">
        <v>3715</v>
      </c>
      <c r="AI4" s="3481" t="s">
        <v>3716</v>
      </c>
      <c r="AJ4" s="3481" t="s">
        <v>3717</v>
      </c>
      <c r="AK4" s="3481" t="s">
        <v>3718</v>
      </c>
      <c r="AL4" s="3481" t="s">
        <v>3719</v>
      </c>
      <c r="AM4" s="3481" t="s">
        <v>3720</v>
      </c>
      <c r="AN4" s="3481" t="s">
        <v>3721</v>
      </c>
      <c r="AO4" s="3481" t="s">
        <v>3722</v>
      </c>
      <c r="AP4" s="3481" t="s">
        <v>3723</v>
      </c>
      <c r="AQ4" s="3481" t="s">
        <v>3724</v>
      </c>
      <c r="AR4" s="3482" t="s">
        <v>3725</v>
      </c>
    </row>
    <row r="5" spans="1:45" s="3486" customFormat="1" hidden="1">
      <c r="A5" s="3483" t="s">
        <v>3726</v>
      </c>
      <c r="B5" s="3484" t="s">
        <v>3727</v>
      </c>
      <c r="C5" s="3924" t="s">
        <v>3728</v>
      </c>
      <c r="D5" s="3924"/>
      <c r="E5" s="3924"/>
      <c r="F5" s="3924"/>
      <c r="G5" s="3924"/>
      <c r="H5" s="3924"/>
      <c r="I5" s="3924"/>
      <c r="J5" s="3924"/>
      <c r="K5" s="3924"/>
      <c r="L5" s="3924"/>
      <c r="M5" s="3924"/>
      <c r="N5" s="3924"/>
      <c r="O5" s="3924" t="s">
        <v>3729</v>
      </c>
      <c r="P5" s="3924"/>
      <c r="Q5" s="3924"/>
      <c r="R5" s="3924"/>
      <c r="S5" s="3924"/>
      <c r="T5" s="3924"/>
      <c r="U5" s="3924"/>
      <c r="V5" s="3924"/>
      <c r="W5" s="3924"/>
      <c r="X5" s="3924"/>
      <c r="Y5" s="3924"/>
      <c r="Z5" s="3924"/>
      <c r="AA5" s="3485" t="s">
        <v>3730</v>
      </c>
      <c r="AB5" s="3485" t="s">
        <v>3731</v>
      </c>
      <c r="AC5" s="3485" t="s">
        <v>3732</v>
      </c>
      <c r="AD5" s="3485" t="s">
        <v>3733</v>
      </c>
      <c r="AE5" s="3485" t="s">
        <v>3734</v>
      </c>
      <c r="AF5" s="3485" t="s">
        <v>3735</v>
      </c>
      <c r="AG5" s="3485" t="s">
        <v>3736</v>
      </c>
      <c r="AH5" s="3485" t="s">
        <v>3737</v>
      </c>
      <c r="AI5" s="3485" t="s">
        <v>3738</v>
      </c>
      <c r="AJ5" s="3485" t="s">
        <v>3739</v>
      </c>
      <c r="AK5" s="3485" t="s">
        <v>3740</v>
      </c>
      <c r="AL5" s="3485" t="s">
        <v>3741</v>
      </c>
      <c r="AM5" s="3485" t="s">
        <v>3742</v>
      </c>
      <c r="AN5" s="3485" t="s">
        <v>3743</v>
      </c>
      <c r="AO5" s="3485" t="s">
        <v>3744</v>
      </c>
      <c r="AP5" s="3485" t="s">
        <v>3745</v>
      </c>
      <c r="AQ5" s="3485" t="s">
        <v>3746</v>
      </c>
    </row>
    <row r="6" spans="1:45" s="3486" customFormat="1" ht="12.75" hidden="1" customHeight="1">
      <c r="A6" s="3925" t="s">
        <v>3747</v>
      </c>
      <c r="B6" s="3927" t="s">
        <v>3748</v>
      </c>
      <c r="C6" s="3928" t="s">
        <v>3749</v>
      </c>
      <c r="D6" s="3928" t="s">
        <v>3750</v>
      </c>
      <c r="E6" s="3928" t="s">
        <v>3751</v>
      </c>
      <c r="F6" s="3928" t="s">
        <v>3752</v>
      </c>
      <c r="G6" s="3928" t="s">
        <v>3753</v>
      </c>
      <c r="H6" s="3928" t="s">
        <v>3754</v>
      </c>
      <c r="I6" s="3928" t="s">
        <v>3755</v>
      </c>
      <c r="J6" s="3928" t="s">
        <v>3756</v>
      </c>
      <c r="K6" s="3928" t="s">
        <v>3757</v>
      </c>
      <c r="L6" s="3928" t="s">
        <v>3758</v>
      </c>
      <c r="M6" s="3928" t="s">
        <v>3759</v>
      </c>
      <c r="N6" s="3928" t="s">
        <v>3760</v>
      </c>
      <c r="O6" s="3928" t="s">
        <v>3761</v>
      </c>
      <c r="P6" s="3928" t="s">
        <v>3762</v>
      </c>
      <c r="Q6" s="3928" t="s">
        <v>3763</v>
      </c>
      <c r="R6" s="3928" t="s">
        <v>3764</v>
      </c>
      <c r="S6" s="3928" t="s">
        <v>3765</v>
      </c>
      <c r="T6" s="3928" t="s">
        <v>3766</v>
      </c>
      <c r="U6" s="3928" t="s">
        <v>3767</v>
      </c>
      <c r="V6" s="3928" t="s">
        <v>3768</v>
      </c>
      <c r="W6" s="3928" t="s">
        <v>3769</v>
      </c>
      <c r="X6" s="3928" t="s">
        <v>3770</v>
      </c>
      <c r="Y6" s="3928" t="s">
        <v>3771</v>
      </c>
      <c r="Z6" s="3928" t="s">
        <v>3772</v>
      </c>
      <c r="AA6" s="3487"/>
      <c r="AB6" s="3487"/>
      <c r="AC6" s="3483"/>
      <c r="AD6" s="3483"/>
      <c r="AE6" s="3483"/>
      <c r="AF6" s="3483"/>
      <c r="AG6" s="3483"/>
      <c r="AH6" s="3483"/>
      <c r="AI6" s="3483"/>
      <c r="AJ6" s="3483"/>
      <c r="AK6" s="3483"/>
      <c r="AL6" s="3483"/>
      <c r="AM6" s="3483"/>
      <c r="AN6" s="3483"/>
      <c r="AO6" s="3483"/>
      <c r="AP6" s="3483"/>
      <c r="AQ6" s="3483"/>
    </row>
    <row r="7" spans="1:45" s="3486" customFormat="1" hidden="1">
      <c r="A7" s="3926"/>
      <c r="B7" s="3927"/>
      <c r="C7" s="3928"/>
      <c r="D7" s="3928"/>
      <c r="E7" s="3928"/>
      <c r="F7" s="3928"/>
      <c r="G7" s="3928"/>
      <c r="H7" s="3928"/>
      <c r="I7" s="3928"/>
      <c r="J7" s="3928"/>
      <c r="K7" s="3928"/>
      <c r="L7" s="3928"/>
      <c r="M7" s="3928"/>
      <c r="N7" s="3928"/>
      <c r="O7" s="3928"/>
      <c r="P7" s="3928"/>
      <c r="Q7" s="3928"/>
      <c r="R7" s="3928"/>
      <c r="S7" s="3928"/>
      <c r="T7" s="3928"/>
      <c r="U7" s="3928"/>
      <c r="V7" s="3928"/>
      <c r="W7" s="3928"/>
      <c r="X7" s="3928"/>
      <c r="Y7" s="3928"/>
      <c r="Z7" s="3928"/>
      <c r="AA7" s="3488"/>
      <c r="AB7" s="3488"/>
      <c r="AC7" s="3488"/>
      <c r="AD7" s="3488"/>
      <c r="AE7" s="3488"/>
      <c r="AF7" s="3488"/>
      <c r="AG7" s="3488"/>
      <c r="AH7" s="3488"/>
      <c r="AI7" s="3488"/>
      <c r="AJ7" s="3488"/>
      <c r="AK7" s="3488"/>
      <c r="AL7" s="3488"/>
      <c r="AM7" s="3488"/>
      <c r="AN7" s="3488"/>
      <c r="AO7" s="3488"/>
      <c r="AP7" s="3488"/>
      <c r="AQ7" s="3488"/>
    </row>
    <row r="8" spans="1:45" s="3486" customFormat="1" hidden="1">
      <c r="A8" s="3489" t="s">
        <v>3773</v>
      </c>
      <c r="B8" s="3484"/>
      <c r="C8" s="3483"/>
      <c r="D8" s="3483"/>
      <c r="E8" s="3483"/>
      <c r="F8" s="3483"/>
      <c r="G8" s="3483"/>
      <c r="H8" s="3483"/>
      <c r="I8" s="3483"/>
      <c r="J8" s="3483"/>
      <c r="K8" s="3483"/>
      <c r="L8" s="3483"/>
      <c r="M8" s="3483"/>
      <c r="N8" s="3483"/>
      <c r="O8" s="3483"/>
      <c r="P8" s="3483"/>
      <c r="Q8" s="3483"/>
      <c r="R8" s="3483"/>
      <c r="S8" s="3483"/>
      <c r="T8" s="3483"/>
      <c r="U8" s="3483"/>
      <c r="V8" s="3483"/>
      <c r="W8" s="3483"/>
      <c r="X8" s="3483"/>
      <c r="Y8" s="3483"/>
      <c r="Z8" s="3483"/>
      <c r="AA8" s="3483"/>
      <c r="AB8" s="3483"/>
      <c r="AC8" s="3483"/>
      <c r="AD8" s="3483"/>
      <c r="AE8" s="3483"/>
      <c r="AF8" s="3483"/>
      <c r="AG8" s="3483"/>
      <c r="AH8" s="3483"/>
      <c r="AI8" s="3483"/>
      <c r="AJ8" s="3483"/>
      <c r="AK8" s="3483"/>
      <c r="AL8" s="3483"/>
      <c r="AM8" s="3483"/>
      <c r="AN8" s="3483"/>
      <c r="AO8" s="3483"/>
      <c r="AP8" s="3483"/>
      <c r="AQ8" s="3483"/>
      <c r="AR8" s="3486" t="s">
        <v>3774</v>
      </c>
      <c r="AS8" s="3486" t="s">
        <v>3775</v>
      </c>
    </row>
    <row r="9" spans="1:45" s="3495" customFormat="1" hidden="1">
      <c r="A9" s="3490" t="s">
        <v>3776</v>
      </c>
      <c r="B9" s="3491"/>
      <c r="C9" s="3492"/>
      <c r="D9" s="3492"/>
      <c r="E9" s="3492"/>
      <c r="F9" s="3492"/>
      <c r="G9" s="3492"/>
      <c r="H9" s="3492"/>
      <c r="I9" s="3492"/>
      <c r="J9" s="3492"/>
      <c r="K9" s="3492"/>
      <c r="L9" s="3492"/>
      <c r="M9" s="3492"/>
      <c r="N9" s="3492"/>
      <c r="O9" s="3492"/>
      <c r="P9" s="3492"/>
      <c r="Q9" s="3492"/>
      <c r="R9" s="3492"/>
      <c r="S9" s="3492"/>
      <c r="T9" s="3492"/>
      <c r="U9" s="3492"/>
      <c r="V9" s="3492"/>
      <c r="W9" s="3492"/>
      <c r="X9" s="3492"/>
      <c r="Y9" s="3492"/>
      <c r="Z9" s="3492"/>
      <c r="AA9" s="3492"/>
      <c r="AB9" s="3492">
        <f>SUM(AB10:AB14)</f>
        <v>95360603</v>
      </c>
      <c r="AC9" s="3492">
        <f t="shared" ref="AC9:AP9" si="0">SUM(AC10:AC14)</f>
        <v>114270232</v>
      </c>
      <c r="AD9" s="3492">
        <f t="shared" si="0"/>
        <v>127885424</v>
      </c>
      <c r="AE9" s="3492">
        <f t="shared" si="0"/>
        <v>139883421</v>
      </c>
      <c r="AF9" s="3492">
        <f t="shared" si="0"/>
        <v>152065538</v>
      </c>
      <c r="AG9" s="3492">
        <f t="shared" si="0"/>
        <v>157168424</v>
      </c>
      <c r="AH9" s="3492">
        <f t="shared" si="0"/>
        <v>161651928</v>
      </c>
      <c r="AI9" s="3492">
        <f t="shared" si="0"/>
        <v>166486524</v>
      </c>
      <c r="AJ9" s="3492">
        <f t="shared" si="0"/>
        <v>169916747</v>
      </c>
      <c r="AK9" s="3492">
        <f t="shared" si="0"/>
        <v>173346969</v>
      </c>
      <c r="AL9" s="3492">
        <f t="shared" si="0"/>
        <v>176783944</v>
      </c>
      <c r="AM9" s="3492">
        <f t="shared" si="0"/>
        <v>180220919</v>
      </c>
      <c r="AN9" s="3492">
        <f t="shared" si="0"/>
        <v>183657893</v>
      </c>
      <c r="AO9" s="3492">
        <f t="shared" si="0"/>
        <v>187445960</v>
      </c>
      <c r="AP9" s="3492">
        <f t="shared" si="0"/>
        <v>191234028</v>
      </c>
      <c r="AQ9" s="3492">
        <f>SUM(AQ10:AQ14)</f>
        <v>195047904</v>
      </c>
      <c r="AR9" s="3493">
        <f>SUM(AB9:AP9)</f>
        <v>2377378554</v>
      </c>
      <c r="AS9" s="3494">
        <f>SUM(AA9:AJ9)+AK9/2</f>
        <v>1371362325.5</v>
      </c>
    </row>
    <row r="10" spans="1:45" s="3500" customFormat="1" hidden="1">
      <c r="A10" s="3496" t="s">
        <v>3777</v>
      </c>
      <c r="B10" s="3497">
        <v>0.09</v>
      </c>
      <c r="C10" s="3498"/>
      <c r="D10" s="3498"/>
      <c r="E10" s="3498"/>
      <c r="F10" s="3498"/>
      <c r="G10" s="3498"/>
      <c r="H10" s="3498"/>
      <c r="I10" s="3498"/>
      <c r="J10" s="3498"/>
      <c r="K10" s="3498"/>
      <c r="L10" s="3498"/>
      <c r="M10" s="3498"/>
      <c r="N10" s="3498"/>
      <c r="O10" s="3498"/>
      <c r="P10" s="3498"/>
      <c r="Q10" s="3498"/>
      <c r="R10" s="3498"/>
      <c r="S10" s="3498"/>
      <c r="T10" s="3498"/>
      <c r="U10" s="3498"/>
      <c r="V10" s="3498"/>
      <c r="W10" s="3498"/>
      <c r="X10" s="3498"/>
      <c r="Y10" s="3498"/>
      <c r="Z10" s="3498"/>
      <c r="AA10" s="3498"/>
      <c r="AB10" s="3498">
        <f>ROUND(AB71*(1-AB74)*$B$59*365-AB11,0)</f>
        <v>87958177</v>
      </c>
      <c r="AC10" s="3498">
        <f t="shared" ref="AC10:AO10" si="1">ROUND(AC71*(1-AC74)*$B$59*365-AC11,0)</f>
        <v>105549812</v>
      </c>
      <c r="AD10" s="3498">
        <f t="shared" si="1"/>
        <v>117801130</v>
      </c>
      <c r="AE10" s="3498">
        <f t="shared" si="1"/>
        <v>128389373</v>
      </c>
      <c r="AF10" s="3498">
        <f t="shared" si="1"/>
        <v>139735238</v>
      </c>
      <c r="AG10" s="3498">
        <f t="shared" si="1"/>
        <v>143948361</v>
      </c>
      <c r="AH10" s="3498">
        <f t="shared" si="1"/>
        <v>148161484</v>
      </c>
      <c r="AI10" s="3498">
        <f t="shared" si="1"/>
        <v>152725700</v>
      </c>
      <c r="AJ10" s="3498">
        <f t="shared" si="1"/>
        <v>155885542</v>
      </c>
      <c r="AK10" s="3498">
        <f t="shared" si="1"/>
        <v>159045384</v>
      </c>
      <c r="AL10" s="3498">
        <f t="shared" si="1"/>
        <v>162205227</v>
      </c>
      <c r="AM10" s="3498">
        <f t="shared" si="1"/>
        <v>165365069</v>
      </c>
      <c r="AN10" s="3498">
        <f t="shared" si="1"/>
        <v>168524911</v>
      </c>
      <c r="AO10" s="3498">
        <f t="shared" si="1"/>
        <v>172035846</v>
      </c>
      <c r="AP10" s="3498">
        <f>ROUND(AP71*(1-AP74)*$B$59*365-AP11,0)</f>
        <v>175546782</v>
      </c>
      <c r="AQ10" s="3498">
        <f>ROUND(AQ71*(1-AQ74)*$B$59*365-AQ11,0)</f>
        <v>179057718</v>
      </c>
      <c r="AR10" s="3499">
        <f>SUM(AA10:AQ10)</f>
        <v>2361935754</v>
      </c>
    </row>
    <row r="11" spans="1:45" s="3500" customFormat="1" hidden="1">
      <c r="A11" s="3496" t="s">
        <v>3778</v>
      </c>
      <c r="B11" s="3497">
        <f>[5]公寓部分现金流!C8</f>
        <v>0.06</v>
      </c>
      <c r="C11" s="3498"/>
      <c r="D11" s="3498"/>
      <c r="E11" s="3498"/>
      <c r="F11" s="3498"/>
      <c r="G11" s="3498"/>
      <c r="H11" s="3498"/>
      <c r="I11" s="3498"/>
      <c r="J11" s="3498"/>
      <c r="K11" s="3498"/>
      <c r="L11" s="3498"/>
      <c r="M11" s="3498"/>
      <c r="N11" s="3498"/>
      <c r="O11" s="3498"/>
      <c r="P11" s="3498"/>
      <c r="Q11" s="3498"/>
      <c r="R11" s="3498"/>
      <c r="S11" s="3498"/>
      <c r="T11" s="3498"/>
      <c r="U11" s="3498"/>
      <c r="V11" s="3498"/>
      <c r="W11" s="3498"/>
      <c r="X11" s="3498"/>
      <c r="Y11" s="3498"/>
      <c r="Z11" s="3498"/>
      <c r="AA11" s="3498"/>
      <c r="AB11" s="3498">
        <f>SUM(O11:Z11)</f>
        <v>0</v>
      </c>
      <c r="AC11" s="3498">
        <f t="shared" ref="AC11:AQ11" si="2">ROUNDUP(AB11*(1-AC74),0)</f>
        <v>0</v>
      </c>
      <c r="AD11" s="3498">
        <f t="shared" si="2"/>
        <v>0</v>
      </c>
      <c r="AE11" s="3498">
        <f t="shared" si="2"/>
        <v>0</v>
      </c>
      <c r="AF11" s="3498">
        <f t="shared" si="2"/>
        <v>0</v>
      </c>
      <c r="AG11" s="3498">
        <f t="shared" si="2"/>
        <v>0</v>
      </c>
      <c r="AH11" s="3498">
        <f t="shared" si="2"/>
        <v>0</v>
      </c>
      <c r="AI11" s="3498">
        <f t="shared" si="2"/>
        <v>0</v>
      </c>
      <c r="AJ11" s="3498">
        <f t="shared" si="2"/>
        <v>0</v>
      </c>
      <c r="AK11" s="3498">
        <f t="shared" si="2"/>
        <v>0</v>
      </c>
      <c r="AL11" s="3498">
        <f t="shared" si="2"/>
        <v>0</v>
      </c>
      <c r="AM11" s="3498">
        <f t="shared" si="2"/>
        <v>0</v>
      </c>
      <c r="AN11" s="3498">
        <f t="shared" si="2"/>
        <v>0</v>
      </c>
      <c r="AO11" s="3498">
        <f t="shared" si="2"/>
        <v>0</v>
      </c>
      <c r="AP11" s="3498">
        <f t="shared" si="2"/>
        <v>0</v>
      </c>
      <c r="AQ11" s="3498">
        <f t="shared" si="2"/>
        <v>0</v>
      </c>
      <c r="AR11" s="3499">
        <f>SUM(AA11:AQ11)</f>
        <v>0</v>
      </c>
    </row>
    <row r="12" spans="1:45" s="3500" customFormat="1" hidden="1">
      <c r="A12" s="3496" t="s">
        <v>3779</v>
      </c>
      <c r="B12" s="3497">
        <v>0.09</v>
      </c>
      <c r="C12" s="3498"/>
      <c r="D12" s="3498"/>
      <c r="E12" s="3498"/>
      <c r="F12" s="3498"/>
      <c r="G12" s="3498"/>
      <c r="H12" s="3498"/>
      <c r="I12" s="3498"/>
      <c r="J12" s="3498"/>
      <c r="K12" s="3498"/>
      <c r="L12" s="3498"/>
      <c r="M12" s="3498"/>
      <c r="N12" s="3498"/>
      <c r="O12" s="3498"/>
      <c r="P12" s="3498"/>
      <c r="Q12" s="3498"/>
      <c r="R12" s="3498"/>
      <c r="S12" s="3498"/>
      <c r="T12" s="3498"/>
      <c r="U12" s="3498"/>
      <c r="V12" s="3498"/>
      <c r="W12" s="3498"/>
      <c r="X12" s="3498"/>
      <c r="Y12" s="3498"/>
      <c r="Z12" s="3498"/>
      <c r="AA12" s="3498"/>
      <c r="AB12" s="3498">
        <f>ROUND(AB77*(1-AB79)*$B$60*365,0)</f>
        <v>5735026</v>
      </c>
      <c r="AC12" s="3498">
        <f t="shared" ref="AC12:AP12" si="3">ROUND(AC77*(1-AC79)*$B$60*365,0)</f>
        <v>7019672</v>
      </c>
      <c r="AD12" s="3498">
        <f t="shared" si="3"/>
        <v>8350198</v>
      </c>
      <c r="AE12" s="3498">
        <f t="shared" si="3"/>
        <v>9726604</v>
      </c>
      <c r="AF12" s="3498">
        <f t="shared" si="3"/>
        <v>10529508</v>
      </c>
      <c r="AG12" s="3498">
        <f t="shared" si="3"/>
        <v>11381159</v>
      </c>
      <c r="AH12" s="3498">
        <f t="shared" si="3"/>
        <v>11613428</v>
      </c>
      <c r="AI12" s="3498">
        <f t="shared" si="3"/>
        <v>11845696</v>
      </c>
      <c r="AJ12" s="3498">
        <f t="shared" si="3"/>
        <v>12077965</v>
      </c>
      <c r="AK12" s="3498">
        <f t="shared" si="3"/>
        <v>12310233</v>
      </c>
      <c r="AL12" s="3498">
        <f t="shared" si="3"/>
        <v>12568309</v>
      </c>
      <c r="AM12" s="3498">
        <f t="shared" si="3"/>
        <v>12826386</v>
      </c>
      <c r="AN12" s="3498">
        <f t="shared" si="3"/>
        <v>13084462</v>
      </c>
      <c r="AO12" s="3498">
        <f t="shared" si="3"/>
        <v>13342538</v>
      </c>
      <c r="AP12" s="3498">
        <f t="shared" si="3"/>
        <v>13600614</v>
      </c>
      <c r="AQ12" s="3498">
        <f>ROUND(AQ77*(1-AQ79)*$B$60*365,0)</f>
        <v>13884498</v>
      </c>
      <c r="AR12" s="3499">
        <f>SUM(AA12:AQ12)</f>
        <v>179896296</v>
      </c>
      <c r="AS12" s="3501">
        <f>AR12/AR9</f>
        <v>7.5670025582303624E-2</v>
      </c>
    </row>
    <row r="13" spans="1:45" s="3500" customFormat="1" hidden="1">
      <c r="A13" s="3496" t="s">
        <v>3780</v>
      </c>
      <c r="B13" s="3497">
        <v>0.09</v>
      </c>
      <c r="C13" s="3498"/>
      <c r="D13" s="3498"/>
      <c r="E13" s="3498"/>
      <c r="F13" s="3498"/>
      <c r="G13" s="3498"/>
      <c r="H13" s="3498"/>
      <c r="I13" s="3498"/>
      <c r="J13" s="3498"/>
      <c r="K13" s="3498"/>
      <c r="L13" s="3498"/>
      <c r="M13" s="3498"/>
      <c r="N13" s="3498"/>
      <c r="O13" s="3498"/>
      <c r="P13" s="3498"/>
      <c r="Q13" s="3498"/>
      <c r="R13" s="3498"/>
      <c r="S13" s="3498"/>
      <c r="T13" s="3498"/>
      <c r="U13" s="3498"/>
      <c r="V13" s="3498"/>
      <c r="W13" s="3498"/>
      <c r="X13" s="3498"/>
      <c r="Y13" s="3498"/>
      <c r="Z13" s="3498"/>
      <c r="AA13" s="3498"/>
      <c r="AB13" s="3498">
        <f>ROUND(AB80*(1-AB82)*$C$61*12,0)</f>
        <v>1667400</v>
      </c>
      <c r="AC13" s="3498">
        <f t="shared" ref="AC13:AP13" si="4">ROUND(AC80*(1-AC82)*$C$61*12,0)</f>
        <v>1700748</v>
      </c>
      <c r="AD13" s="3498">
        <f t="shared" si="4"/>
        <v>1734096</v>
      </c>
      <c r="AE13" s="3498">
        <f t="shared" si="4"/>
        <v>1767444</v>
      </c>
      <c r="AF13" s="3498">
        <f t="shared" si="4"/>
        <v>1800792</v>
      </c>
      <c r="AG13" s="3498">
        <f t="shared" si="4"/>
        <v>1838904</v>
      </c>
      <c r="AH13" s="3498">
        <f t="shared" si="4"/>
        <v>1877016</v>
      </c>
      <c r="AI13" s="3498">
        <f t="shared" si="4"/>
        <v>1915128</v>
      </c>
      <c r="AJ13" s="3498">
        <f t="shared" si="4"/>
        <v>1953240</v>
      </c>
      <c r="AK13" s="3498">
        <f t="shared" si="4"/>
        <v>1991352</v>
      </c>
      <c r="AL13" s="3498">
        <f t="shared" si="4"/>
        <v>2010408</v>
      </c>
      <c r="AM13" s="3498">
        <f t="shared" si="4"/>
        <v>2029464</v>
      </c>
      <c r="AN13" s="3498">
        <f t="shared" si="4"/>
        <v>2048520</v>
      </c>
      <c r="AO13" s="3498">
        <f t="shared" si="4"/>
        <v>2067576</v>
      </c>
      <c r="AP13" s="3498">
        <f t="shared" si="4"/>
        <v>2086632</v>
      </c>
      <c r="AQ13" s="3498">
        <f>ROUND(AQ80*(1-AQ82)*$C$61*12,0)</f>
        <v>2105688</v>
      </c>
      <c r="AR13" s="3499">
        <f>SUM(AA13:AQ13)</f>
        <v>30594408</v>
      </c>
      <c r="AS13" s="3501">
        <f>AR13/AR9</f>
        <v>1.2868967774830865E-2</v>
      </c>
    </row>
    <row r="14" spans="1:45" s="3500" customFormat="1" hidden="1">
      <c r="A14" s="3496"/>
      <c r="B14" s="3497"/>
      <c r="C14" s="3498"/>
      <c r="D14" s="3498"/>
      <c r="E14" s="3498"/>
      <c r="F14" s="3498"/>
      <c r="G14" s="3498"/>
      <c r="H14" s="3498"/>
      <c r="I14" s="3498"/>
      <c r="J14" s="3498"/>
      <c r="K14" s="3498"/>
      <c r="L14" s="3498"/>
      <c r="M14" s="3498"/>
      <c r="N14" s="3498"/>
      <c r="O14" s="3498"/>
      <c r="P14" s="3498"/>
      <c r="Q14" s="3498"/>
      <c r="R14" s="3498"/>
      <c r="S14" s="3498"/>
      <c r="T14" s="3498"/>
      <c r="U14" s="3498"/>
      <c r="V14" s="3498"/>
      <c r="W14" s="3498"/>
      <c r="X14" s="3498"/>
      <c r="Y14" s="3498"/>
      <c r="Z14" s="3498"/>
      <c r="AA14" s="3498"/>
      <c r="AB14" s="3498"/>
      <c r="AC14" s="3498"/>
      <c r="AD14" s="3498"/>
      <c r="AE14" s="3498"/>
      <c r="AF14" s="3498"/>
      <c r="AG14" s="3498"/>
      <c r="AH14" s="3498"/>
      <c r="AI14" s="3498"/>
      <c r="AJ14" s="3498"/>
      <c r="AK14" s="3498"/>
      <c r="AL14" s="3498"/>
      <c r="AM14" s="3498"/>
      <c r="AN14" s="3498"/>
      <c r="AO14" s="3498"/>
      <c r="AP14" s="3498"/>
      <c r="AQ14" s="3498"/>
      <c r="AR14" s="3499">
        <f>SUM(AA14:AQ14)</f>
        <v>0</v>
      </c>
    </row>
    <row r="15" spans="1:45" s="3495" customFormat="1" hidden="1">
      <c r="A15" s="3490" t="s">
        <v>3781</v>
      </c>
      <c r="B15" s="3491"/>
      <c r="C15" s="3492"/>
      <c r="D15" s="3492"/>
      <c r="E15" s="3492"/>
      <c r="F15" s="3492"/>
      <c r="G15" s="3492"/>
      <c r="H15" s="3492"/>
      <c r="I15" s="3492"/>
      <c r="J15" s="3492"/>
      <c r="K15" s="3492"/>
      <c r="L15" s="3492"/>
      <c r="M15" s="3492"/>
      <c r="N15" s="3492"/>
      <c r="O15" s="3492"/>
      <c r="P15" s="3492"/>
      <c r="Q15" s="3492"/>
      <c r="R15" s="3492"/>
      <c r="S15" s="3492"/>
      <c r="T15" s="3492"/>
      <c r="U15" s="3492"/>
      <c r="V15" s="3492"/>
      <c r="W15" s="3492"/>
      <c r="X15" s="3492"/>
      <c r="Y15" s="3492"/>
      <c r="Z15" s="3492"/>
      <c r="AA15" s="3492"/>
      <c r="AB15" s="3492">
        <f>AB16+AB27</f>
        <v>22006842</v>
      </c>
      <c r="AC15" s="3492">
        <f>AC16+AC27</f>
        <v>25756244</v>
      </c>
      <c r="AD15" s="3492">
        <f t="shared" ref="AD15:AP15" si="5">AD16+AD27</f>
        <v>28642134</v>
      </c>
      <c r="AE15" s="3492">
        <f t="shared" si="5"/>
        <v>31006933</v>
      </c>
      <c r="AF15" s="3492">
        <f>AF16+AF27</f>
        <v>33364343</v>
      </c>
      <c r="AG15" s="3492">
        <f t="shared" si="5"/>
        <v>34391418</v>
      </c>
      <c r="AH15" s="3492">
        <f t="shared" si="5"/>
        <v>35256294</v>
      </c>
      <c r="AI15" s="3492">
        <f t="shared" si="5"/>
        <v>36187342</v>
      </c>
      <c r="AJ15" s="3492">
        <f t="shared" si="5"/>
        <v>36853700</v>
      </c>
      <c r="AK15" s="3492">
        <f t="shared" si="5"/>
        <v>37520057</v>
      </c>
      <c r="AL15" s="3492">
        <f t="shared" si="5"/>
        <v>38188183</v>
      </c>
      <c r="AM15" s="3492">
        <f t="shared" si="5"/>
        <v>38856311</v>
      </c>
      <c r="AN15" s="3492">
        <f t="shared" si="5"/>
        <v>39524437</v>
      </c>
      <c r="AO15" s="3492">
        <f t="shared" si="5"/>
        <v>40258735</v>
      </c>
      <c r="AP15" s="3492">
        <f t="shared" si="5"/>
        <v>40993036</v>
      </c>
      <c r="AQ15" s="3492">
        <f>AQ16+AQ27</f>
        <v>41734093</v>
      </c>
      <c r="AR15" s="3493">
        <f>SUM(AB15:AP15)</f>
        <v>518806009</v>
      </c>
      <c r="AS15" s="3502">
        <f>AR15/AR9</f>
        <v>0.21822608272758903</v>
      </c>
    </row>
    <row r="16" spans="1:45" s="3507" customFormat="1" hidden="1">
      <c r="A16" s="3503" t="s">
        <v>3782</v>
      </c>
      <c r="B16" s="3504">
        <v>1</v>
      </c>
      <c r="C16" s="3505"/>
      <c r="D16" s="3505"/>
      <c r="E16" s="3505"/>
      <c r="F16" s="3505"/>
      <c r="G16" s="3505"/>
      <c r="H16" s="3505"/>
      <c r="I16" s="3505"/>
      <c r="J16" s="3505"/>
      <c r="K16" s="3505"/>
      <c r="L16" s="3505"/>
      <c r="M16" s="3505"/>
      <c r="N16" s="3505"/>
      <c r="O16" s="3505"/>
      <c r="P16" s="3505"/>
      <c r="Q16" s="3505"/>
      <c r="R16" s="3505"/>
      <c r="S16" s="3505"/>
      <c r="T16" s="3505"/>
      <c r="U16" s="3505"/>
      <c r="V16" s="3505"/>
      <c r="W16" s="3505"/>
      <c r="X16" s="3505"/>
      <c r="Y16" s="3505"/>
      <c r="Z16" s="3505"/>
      <c r="AA16" s="3505"/>
      <c r="AB16" s="3505">
        <f>ROUND(AB17*$B$16,0)</f>
        <v>9858362</v>
      </c>
      <c r="AC16" s="3505">
        <f t="shared" ref="AC16:AO16" si="6">ROUND(AC17*$B$16,0)</f>
        <v>11182036</v>
      </c>
      <c r="AD16" s="3505">
        <f t="shared" si="6"/>
        <v>12301263</v>
      </c>
      <c r="AE16" s="3505">
        <f t="shared" si="6"/>
        <v>13081132</v>
      </c>
      <c r="AF16" s="3505">
        <f t="shared" si="6"/>
        <v>13872970</v>
      </c>
      <c r="AG16" s="3505">
        <f t="shared" si="6"/>
        <v>14204658</v>
      </c>
      <c r="AH16" s="3505">
        <f t="shared" si="6"/>
        <v>14496085</v>
      </c>
      <c r="AI16" s="3505">
        <f t="shared" si="6"/>
        <v>14810334</v>
      </c>
      <c r="AJ16" s="3505">
        <f t="shared" si="6"/>
        <v>15033299</v>
      </c>
      <c r="AK16" s="3505">
        <f t="shared" si="6"/>
        <v>15256263</v>
      </c>
      <c r="AL16" s="3505">
        <f t="shared" si="6"/>
        <v>15479666</v>
      </c>
      <c r="AM16" s="3505">
        <f t="shared" si="6"/>
        <v>15703070</v>
      </c>
      <c r="AN16" s="3505">
        <f t="shared" si="6"/>
        <v>15926473</v>
      </c>
      <c r="AO16" s="3505">
        <f t="shared" si="6"/>
        <v>16172697</v>
      </c>
      <c r="AP16" s="3505">
        <f>ROUND(AP17*$B$16,0)</f>
        <v>16418922</v>
      </c>
      <c r="AQ16" s="3505">
        <f>ROUND(AQ17*$B$16,0)</f>
        <v>16666824</v>
      </c>
      <c r="AR16" s="3493">
        <f>SUM(AB16:AP16)</f>
        <v>213797230</v>
      </c>
      <c r="AS16" s="3506"/>
    </row>
    <row r="17" spans="1:45" s="3486" customFormat="1" hidden="1">
      <c r="A17" s="3496" t="s">
        <v>3783</v>
      </c>
      <c r="B17" s="3508"/>
      <c r="C17" s="3509"/>
      <c r="D17" s="3509"/>
      <c r="E17" s="3509"/>
      <c r="F17" s="3509"/>
      <c r="G17" s="3509"/>
      <c r="H17" s="3509"/>
      <c r="I17" s="3509"/>
      <c r="J17" s="3509"/>
      <c r="K17" s="3509"/>
      <c r="L17" s="3509"/>
      <c r="M17" s="3509"/>
      <c r="N17" s="3509"/>
      <c r="O17" s="3509"/>
      <c r="P17" s="3509"/>
      <c r="Q17" s="3509"/>
      <c r="R17" s="3509"/>
      <c r="S17" s="3509"/>
      <c r="T17" s="3509"/>
      <c r="U17" s="3509"/>
      <c r="V17" s="3509"/>
      <c r="W17" s="3509"/>
      <c r="X17" s="3509"/>
      <c r="Y17" s="3509"/>
      <c r="Z17" s="3509"/>
      <c r="AA17" s="3509"/>
      <c r="AB17" s="3509">
        <f>SUM(AB18:AB23)</f>
        <v>9858362.2100000009</v>
      </c>
      <c r="AC17" s="3509">
        <f t="shared" ref="AC17:AP17" si="7">SUM(AC18:AC23)</f>
        <v>11182036.24</v>
      </c>
      <c r="AD17" s="3509">
        <f t="shared" si="7"/>
        <v>12301262.560000001</v>
      </c>
      <c r="AE17" s="3509">
        <f t="shared" si="7"/>
        <v>13081132.365</v>
      </c>
      <c r="AF17" s="3509">
        <f t="shared" si="7"/>
        <v>13872969.970000001</v>
      </c>
      <c r="AG17" s="3509">
        <f t="shared" si="7"/>
        <v>14204657.560000001</v>
      </c>
      <c r="AH17" s="3509">
        <f t="shared" si="7"/>
        <v>14496085.32</v>
      </c>
      <c r="AI17" s="3509">
        <f t="shared" si="7"/>
        <v>14810334.060000001</v>
      </c>
      <c r="AJ17" s="3509">
        <f t="shared" si="7"/>
        <v>15033298.555</v>
      </c>
      <c r="AK17" s="3509">
        <f t="shared" si="7"/>
        <v>15256262.984999999</v>
      </c>
      <c r="AL17" s="3509">
        <f t="shared" si="7"/>
        <v>15479666.359999999</v>
      </c>
      <c r="AM17" s="3509">
        <f t="shared" si="7"/>
        <v>15703069.734999999</v>
      </c>
      <c r="AN17" s="3509">
        <f t="shared" si="7"/>
        <v>15926473.045</v>
      </c>
      <c r="AO17" s="3509">
        <f t="shared" si="7"/>
        <v>16172697.4</v>
      </c>
      <c r="AP17" s="3509">
        <f t="shared" si="7"/>
        <v>16418921.82</v>
      </c>
      <c r="AQ17" s="3509">
        <f>SUM(AQ18:AQ23)</f>
        <v>16666823.760000002</v>
      </c>
      <c r="AR17" s="3493"/>
      <c r="AS17" s="3502">
        <f>AR17/AR9</f>
        <v>0</v>
      </c>
    </row>
    <row r="18" spans="1:45" s="3500" customFormat="1" hidden="1">
      <c r="A18" s="3510" t="s">
        <v>3784</v>
      </c>
      <c r="B18" s="3497">
        <v>2.5000000000000001E-2</v>
      </c>
      <c r="C18" s="3498"/>
      <c r="D18" s="3498"/>
      <c r="E18" s="3498"/>
      <c r="F18" s="3498"/>
      <c r="G18" s="3498"/>
      <c r="H18" s="3498"/>
      <c r="I18" s="3498"/>
      <c r="J18" s="3498"/>
      <c r="K18" s="3498"/>
      <c r="L18" s="3498"/>
      <c r="M18" s="3498"/>
      <c r="N18" s="3498"/>
      <c r="O18" s="3498"/>
      <c r="P18" s="3498"/>
      <c r="Q18" s="3498"/>
      <c r="R18" s="3498"/>
      <c r="S18" s="3498"/>
      <c r="T18" s="3498"/>
      <c r="U18" s="3498"/>
      <c r="V18" s="3498"/>
      <c r="W18" s="3498"/>
      <c r="X18" s="3498"/>
      <c r="Y18" s="3498"/>
      <c r="Z18" s="3498"/>
      <c r="AA18" s="3498"/>
      <c r="AB18" s="3498">
        <f>AB9*$B$18</f>
        <v>2384015.0750000002</v>
      </c>
      <c r="AC18" s="3498">
        <f t="shared" ref="AC18:AP18" si="8">AC9*$B$18</f>
        <v>2856755.8000000003</v>
      </c>
      <c r="AD18" s="3498">
        <f t="shared" si="8"/>
        <v>3197135.6</v>
      </c>
      <c r="AE18" s="3498">
        <f t="shared" si="8"/>
        <v>3497085.5250000004</v>
      </c>
      <c r="AF18" s="3498">
        <f t="shared" si="8"/>
        <v>3801638.45</v>
      </c>
      <c r="AG18" s="3498">
        <f t="shared" si="8"/>
        <v>3929210.6</v>
      </c>
      <c r="AH18" s="3498">
        <f t="shared" si="8"/>
        <v>4041298.2</v>
      </c>
      <c r="AI18" s="3498">
        <f t="shared" si="8"/>
        <v>4162163.1</v>
      </c>
      <c r="AJ18" s="3498">
        <f t="shared" si="8"/>
        <v>4247918.6749999998</v>
      </c>
      <c r="AK18" s="3498">
        <f t="shared" si="8"/>
        <v>4333674.2250000006</v>
      </c>
      <c r="AL18" s="3498">
        <f t="shared" si="8"/>
        <v>4419598.6000000006</v>
      </c>
      <c r="AM18" s="3498">
        <f t="shared" si="8"/>
        <v>4505522.9750000006</v>
      </c>
      <c r="AN18" s="3498">
        <f t="shared" si="8"/>
        <v>4591447.3250000002</v>
      </c>
      <c r="AO18" s="3498">
        <f t="shared" si="8"/>
        <v>4686149</v>
      </c>
      <c r="AP18" s="3498">
        <f t="shared" si="8"/>
        <v>4780850.7</v>
      </c>
      <c r="AQ18" s="3498">
        <f>AQ9*$B$18</f>
        <v>4876197.6000000006</v>
      </c>
    </row>
    <row r="19" spans="1:45" s="3500" customFormat="1" hidden="1">
      <c r="A19" s="3510" t="s">
        <v>3785</v>
      </c>
      <c r="B19" s="3511">
        <v>0.04</v>
      </c>
      <c r="C19" s="3498"/>
      <c r="D19" s="3498"/>
      <c r="E19" s="3498"/>
      <c r="F19" s="3498"/>
      <c r="G19" s="3498"/>
      <c r="H19" s="3498"/>
      <c r="I19" s="3498"/>
      <c r="J19" s="3498"/>
      <c r="K19" s="3498"/>
      <c r="L19" s="3498"/>
      <c r="M19" s="3498"/>
      <c r="N19" s="3498"/>
      <c r="O19" s="3512"/>
      <c r="P19" s="3512"/>
      <c r="Q19" s="3512"/>
      <c r="R19" s="3512"/>
      <c r="S19" s="3512"/>
      <c r="T19" s="3512"/>
      <c r="U19" s="3512"/>
      <c r="V19" s="3512"/>
      <c r="W19" s="3512"/>
      <c r="X19" s="3512"/>
      <c r="Y19" s="3512"/>
      <c r="Z19" s="3512"/>
      <c r="AA19" s="3512"/>
      <c r="AB19" s="3512">
        <f>AB9*4.5%</f>
        <v>4291227.1349999998</v>
      </c>
      <c r="AC19" s="3512">
        <f>AC9*4.5%</f>
        <v>5142160.4399999995</v>
      </c>
      <c r="AD19" s="3498">
        <f>AD9*$B$19</f>
        <v>5115416.96</v>
      </c>
      <c r="AE19" s="3498">
        <f>AE9*$B$19</f>
        <v>5595336.8399999999</v>
      </c>
      <c r="AF19" s="3498">
        <f t="shared" ref="AF19:AP19" si="9">AF9*$B$19</f>
        <v>6082621.5200000005</v>
      </c>
      <c r="AG19" s="3498">
        <f t="shared" si="9"/>
        <v>6286736.96</v>
      </c>
      <c r="AH19" s="3498">
        <f t="shared" si="9"/>
        <v>6466077.1200000001</v>
      </c>
      <c r="AI19" s="3498">
        <f t="shared" si="9"/>
        <v>6659460.96</v>
      </c>
      <c r="AJ19" s="3498">
        <f t="shared" si="9"/>
        <v>6796669.8799999999</v>
      </c>
      <c r="AK19" s="3498">
        <f t="shared" si="9"/>
        <v>6933878.7599999998</v>
      </c>
      <c r="AL19" s="3498">
        <f t="shared" si="9"/>
        <v>7071357.7599999998</v>
      </c>
      <c r="AM19" s="3498">
        <f t="shared" si="9"/>
        <v>7208836.7599999998</v>
      </c>
      <c r="AN19" s="3498">
        <f t="shared" si="9"/>
        <v>7346315.7199999997</v>
      </c>
      <c r="AO19" s="3498">
        <f t="shared" si="9"/>
        <v>7497838.4000000004</v>
      </c>
      <c r="AP19" s="3498">
        <f t="shared" si="9"/>
        <v>7649361.1200000001</v>
      </c>
      <c r="AQ19" s="3498">
        <f>AQ9*$B$19</f>
        <v>7801916.1600000001</v>
      </c>
    </row>
    <row r="20" spans="1:45" s="3500" customFormat="1" hidden="1">
      <c r="A20" s="3510" t="s">
        <v>3786</v>
      </c>
      <c r="B20" s="3497">
        <v>1.5E-3</v>
      </c>
      <c r="C20" s="3498"/>
      <c r="D20" s="3498"/>
      <c r="E20" s="3498"/>
      <c r="F20" s="3498"/>
      <c r="G20" s="3498"/>
      <c r="H20" s="3498"/>
      <c r="I20" s="3498"/>
      <c r="J20" s="3498"/>
      <c r="K20" s="3498"/>
      <c r="L20" s="3498"/>
      <c r="M20" s="3498"/>
      <c r="N20" s="3498"/>
      <c r="O20" s="3498"/>
      <c r="P20" s="3498"/>
      <c r="Q20" s="3498"/>
      <c r="R20" s="3498"/>
      <c r="S20" s="3498"/>
      <c r="T20" s="3498"/>
      <c r="U20" s="3498"/>
      <c r="V20" s="3498"/>
      <c r="W20" s="3498"/>
      <c r="X20" s="3498"/>
      <c r="Y20" s="3498"/>
      <c r="Z20" s="3498"/>
      <c r="AA20" s="3498"/>
      <c r="AB20" s="3498">
        <f t="shared" ref="AB20:AQ20" si="10">$B$65*$B$20*10000</f>
        <v>1571940.0000000002</v>
      </c>
      <c r="AC20" s="3498">
        <f t="shared" si="10"/>
        <v>1571940.0000000002</v>
      </c>
      <c r="AD20" s="3498">
        <f t="shared" si="10"/>
        <v>1571940.0000000002</v>
      </c>
      <c r="AE20" s="3498">
        <f t="shared" si="10"/>
        <v>1571940.0000000002</v>
      </c>
      <c r="AF20" s="3498">
        <f t="shared" si="10"/>
        <v>1571940.0000000002</v>
      </c>
      <c r="AG20" s="3498">
        <f t="shared" si="10"/>
        <v>1571940.0000000002</v>
      </c>
      <c r="AH20" s="3498">
        <f t="shared" si="10"/>
        <v>1571940.0000000002</v>
      </c>
      <c r="AI20" s="3498">
        <f t="shared" si="10"/>
        <v>1571940.0000000002</v>
      </c>
      <c r="AJ20" s="3498">
        <f t="shared" si="10"/>
        <v>1571940.0000000002</v>
      </c>
      <c r="AK20" s="3498">
        <f t="shared" si="10"/>
        <v>1571940.0000000002</v>
      </c>
      <c r="AL20" s="3498">
        <f t="shared" si="10"/>
        <v>1571940.0000000002</v>
      </c>
      <c r="AM20" s="3498">
        <f t="shared" si="10"/>
        <v>1571940.0000000002</v>
      </c>
      <c r="AN20" s="3498">
        <f t="shared" si="10"/>
        <v>1571940.0000000002</v>
      </c>
      <c r="AO20" s="3498">
        <f t="shared" si="10"/>
        <v>1571940.0000000002</v>
      </c>
      <c r="AP20" s="3498">
        <f t="shared" si="10"/>
        <v>1571940.0000000002</v>
      </c>
      <c r="AQ20" s="3498">
        <f t="shared" si="10"/>
        <v>1571940.0000000002</v>
      </c>
    </row>
    <row r="21" spans="1:45" s="3486" customFormat="1" hidden="1">
      <c r="A21" s="3510" t="s">
        <v>3787</v>
      </c>
      <c r="B21" s="3508"/>
      <c r="C21" s="3509"/>
      <c r="D21" s="3509"/>
      <c r="E21" s="3509"/>
      <c r="F21" s="3509"/>
      <c r="G21" s="3509"/>
      <c r="H21" s="3509"/>
      <c r="I21" s="3509"/>
      <c r="J21" s="3509"/>
      <c r="K21" s="3509"/>
      <c r="L21" s="3509"/>
      <c r="M21" s="3509"/>
      <c r="N21" s="3509"/>
      <c r="O21" s="3498"/>
      <c r="P21" s="3509"/>
      <c r="Q21" s="3509"/>
      <c r="R21" s="3509"/>
      <c r="S21" s="3509"/>
      <c r="T21" s="3509"/>
      <c r="U21" s="3509"/>
      <c r="V21" s="3509"/>
      <c r="W21" s="3509"/>
      <c r="X21" s="3509"/>
      <c r="Y21" s="3509"/>
      <c r="Z21" s="3509"/>
      <c r="AA21" s="3509"/>
      <c r="AB21" s="3509"/>
      <c r="AC21" s="3509"/>
      <c r="AD21" s="3509"/>
      <c r="AE21" s="3509"/>
      <c r="AF21" s="3509"/>
      <c r="AG21" s="3509"/>
      <c r="AH21" s="3509"/>
      <c r="AI21" s="3509"/>
      <c r="AJ21" s="3509"/>
      <c r="AK21" s="3509"/>
      <c r="AL21" s="3509"/>
      <c r="AM21" s="3509"/>
      <c r="AN21" s="3509"/>
      <c r="AO21" s="3509"/>
      <c r="AP21" s="3509"/>
      <c r="AQ21" s="3509"/>
    </row>
    <row r="22" spans="1:45" s="3500" customFormat="1" ht="16.5" hidden="1" customHeight="1">
      <c r="A22" s="3510" t="s">
        <v>3788</v>
      </c>
      <c r="B22" s="3497">
        <v>0</v>
      </c>
      <c r="C22" s="3498"/>
      <c r="D22" s="3498"/>
      <c r="E22" s="3498"/>
      <c r="F22" s="3498"/>
      <c r="G22" s="3498"/>
      <c r="H22" s="3498"/>
      <c r="I22" s="3498"/>
      <c r="J22" s="3498"/>
      <c r="K22" s="3498"/>
      <c r="L22" s="3498"/>
      <c r="M22" s="3498"/>
      <c r="N22" s="3498"/>
      <c r="O22" s="3498"/>
      <c r="P22" s="3498"/>
      <c r="Q22" s="3498"/>
      <c r="R22" s="3498"/>
      <c r="S22" s="3498"/>
      <c r="T22" s="3498"/>
      <c r="U22" s="3498"/>
      <c r="V22" s="3498"/>
      <c r="W22" s="3498"/>
      <c r="X22" s="3498"/>
      <c r="Y22" s="3498"/>
      <c r="Z22" s="3498"/>
      <c r="AA22" s="3498"/>
      <c r="AB22" s="3498">
        <f>AB9*$B$22</f>
        <v>0</v>
      </c>
      <c r="AC22" s="3498">
        <f t="shared" ref="AC22:AP22" si="11">AC9*$B$22</f>
        <v>0</v>
      </c>
      <c r="AD22" s="3498">
        <f t="shared" si="11"/>
        <v>0</v>
      </c>
      <c r="AE22" s="3498">
        <f t="shared" si="11"/>
        <v>0</v>
      </c>
      <c r="AF22" s="3498">
        <f t="shared" si="11"/>
        <v>0</v>
      </c>
      <c r="AG22" s="3498">
        <f t="shared" si="11"/>
        <v>0</v>
      </c>
      <c r="AH22" s="3498">
        <f t="shared" si="11"/>
        <v>0</v>
      </c>
      <c r="AI22" s="3498">
        <f t="shared" si="11"/>
        <v>0</v>
      </c>
      <c r="AJ22" s="3498">
        <f t="shared" si="11"/>
        <v>0</v>
      </c>
      <c r="AK22" s="3498">
        <f t="shared" si="11"/>
        <v>0</v>
      </c>
      <c r="AL22" s="3498">
        <f t="shared" si="11"/>
        <v>0</v>
      </c>
      <c r="AM22" s="3498">
        <f t="shared" si="11"/>
        <v>0</v>
      </c>
      <c r="AN22" s="3498">
        <f t="shared" si="11"/>
        <v>0</v>
      </c>
      <c r="AO22" s="3498">
        <f t="shared" si="11"/>
        <v>0</v>
      </c>
      <c r="AP22" s="3498">
        <f t="shared" si="11"/>
        <v>0</v>
      </c>
      <c r="AQ22" s="3498">
        <f>AQ9*$B$22</f>
        <v>0</v>
      </c>
    </row>
    <row r="23" spans="1:45" s="3500" customFormat="1" ht="16.5" hidden="1" customHeight="1">
      <c r="A23" s="3513" t="s">
        <v>3789</v>
      </c>
      <c r="B23" s="3497">
        <v>3.0000000000000001E-3</v>
      </c>
      <c r="C23" s="3498"/>
      <c r="D23" s="3498"/>
      <c r="E23" s="3498"/>
      <c r="F23" s="3498"/>
      <c r="G23" s="3498"/>
      <c r="H23" s="3498"/>
      <c r="I23" s="3498"/>
      <c r="J23" s="3498"/>
      <c r="K23" s="3498"/>
      <c r="L23" s="3498"/>
      <c r="M23" s="3498"/>
      <c r="N23" s="3498"/>
      <c r="O23" s="3512"/>
      <c r="P23" s="3512"/>
      <c r="Q23" s="3512"/>
      <c r="R23" s="3512"/>
      <c r="S23" s="3512"/>
      <c r="T23" s="3512"/>
      <c r="U23" s="3512"/>
      <c r="V23" s="3512"/>
      <c r="W23" s="3512"/>
      <c r="X23" s="3512"/>
      <c r="Y23" s="3512"/>
      <c r="Z23" s="3512"/>
      <c r="AA23" s="3498"/>
      <c r="AB23" s="3498">
        <f>$B$64*0.002*10000</f>
        <v>1611180</v>
      </c>
      <c r="AC23" s="3498">
        <f>$B$64*0.002*10000</f>
        <v>1611180</v>
      </c>
      <c r="AD23" s="3498">
        <f>$B$64*B23*10000</f>
        <v>2416770</v>
      </c>
      <c r="AE23" s="3498">
        <f>AD23</f>
        <v>2416770</v>
      </c>
      <c r="AF23" s="3498">
        <f>AE23</f>
        <v>2416770</v>
      </c>
      <c r="AG23" s="3498">
        <f t="shared" ref="AG23:AO23" si="12">AF23</f>
        <v>2416770</v>
      </c>
      <c r="AH23" s="3498">
        <f t="shared" si="12"/>
        <v>2416770</v>
      </c>
      <c r="AI23" s="3498">
        <f t="shared" si="12"/>
        <v>2416770</v>
      </c>
      <c r="AJ23" s="3498">
        <f t="shared" si="12"/>
        <v>2416770</v>
      </c>
      <c r="AK23" s="3498">
        <f t="shared" si="12"/>
        <v>2416770</v>
      </c>
      <c r="AL23" s="3498">
        <f t="shared" si="12"/>
        <v>2416770</v>
      </c>
      <c r="AM23" s="3498">
        <f t="shared" si="12"/>
        <v>2416770</v>
      </c>
      <c r="AN23" s="3498">
        <f t="shared" si="12"/>
        <v>2416770</v>
      </c>
      <c r="AO23" s="3498">
        <f t="shared" si="12"/>
        <v>2416770</v>
      </c>
      <c r="AP23" s="3498">
        <f>AO23</f>
        <v>2416770</v>
      </c>
      <c r="AQ23" s="3498">
        <f>AP23</f>
        <v>2416770</v>
      </c>
    </row>
    <row r="24" spans="1:45" s="3500" customFormat="1" ht="16.5" hidden="1" customHeight="1">
      <c r="A24" s="3510" t="s">
        <v>3790</v>
      </c>
      <c r="B24" s="3497"/>
      <c r="C24" s="3498"/>
      <c r="D24" s="3498"/>
      <c r="E24" s="3498"/>
      <c r="F24" s="3498"/>
      <c r="G24" s="3498"/>
      <c r="H24" s="3498"/>
      <c r="I24" s="3498"/>
      <c r="J24" s="3498"/>
      <c r="K24" s="3498"/>
      <c r="L24" s="3498"/>
      <c r="M24" s="3498"/>
      <c r="N24" s="3498"/>
      <c r="O24" s="3498"/>
      <c r="P24" s="3498"/>
      <c r="Q24" s="3498"/>
      <c r="R24" s="3498"/>
      <c r="S24" s="3498"/>
      <c r="T24" s="3498"/>
      <c r="U24" s="3498"/>
      <c r="V24" s="3498"/>
      <c r="W24" s="3498"/>
      <c r="X24" s="3498"/>
      <c r="Y24" s="3498"/>
      <c r="Z24" s="3498"/>
      <c r="AA24" s="3498"/>
      <c r="AB24" s="3498">
        <f t="shared" ref="AB24:AP24" si="13">AB9*$B$24</f>
        <v>0</v>
      </c>
      <c r="AC24" s="3498">
        <f t="shared" si="13"/>
        <v>0</v>
      </c>
      <c r="AD24" s="3498">
        <f t="shared" si="13"/>
        <v>0</v>
      </c>
      <c r="AE24" s="3498">
        <f t="shared" si="13"/>
        <v>0</v>
      </c>
      <c r="AF24" s="3498">
        <f t="shared" si="13"/>
        <v>0</v>
      </c>
      <c r="AG24" s="3498">
        <f t="shared" si="13"/>
        <v>0</v>
      </c>
      <c r="AH24" s="3498">
        <f t="shared" si="13"/>
        <v>0</v>
      </c>
      <c r="AI24" s="3498">
        <f t="shared" si="13"/>
        <v>0</v>
      </c>
      <c r="AJ24" s="3498">
        <f t="shared" si="13"/>
        <v>0</v>
      </c>
      <c r="AK24" s="3498">
        <f t="shared" si="13"/>
        <v>0</v>
      </c>
      <c r="AL24" s="3498">
        <f t="shared" si="13"/>
        <v>0</v>
      </c>
      <c r="AM24" s="3498">
        <f t="shared" si="13"/>
        <v>0</v>
      </c>
      <c r="AN24" s="3498">
        <f t="shared" si="13"/>
        <v>0</v>
      </c>
      <c r="AO24" s="3498">
        <f t="shared" si="13"/>
        <v>0</v>
      </c>
      <c r="AP24" s="3498">
        <f t="shared" si="13"/>
        <v>0</v>
      </c>
      <c r="AQ24" s="3498">
        <f>AQ9*$B$24</f>
        <v>0</v>
      </c>
    </row>
    <row r="25" spans="1:45" s="3500" customFormat="1" ht="16.5" hidden="1" customHeight="1">
      <c r="A25" s="3510" t="s">
        <v>3791</v>
      </c>
      <c r="B25" s="3497">
        <v>0.06</v>
      </c>
      <c r="C25" s="3498"/>
      <c r="D25" s="3498"/>
      <c r="E25" s="3498"/>
      <c r="F25" s="3498"/>
      <c r="G25" s="3498"/>
      <c r="H25" s="3498"/>
      <c r="I25" s="3498"/>
      <c r="J25" s="3498"/>
      <c r="K25" s="3498"/>
      <c r="L25" s="3498"/>
      <c r="M25" s="3498"/>
      <c r="N25" s="3498"/>
      <c r="O25" s="3498"/>
      <c r="P25" s="3498"/>
      <c r="Q25" s="3498"/>
      <c r="R25" s="3498"/>
      <c r="S25" s="3498"/>
      <c r="T25" s="3498"/>
      <c r="U25" s="3498"/>
      <c r="V25" s="3498"/>
      <c r="W25" s="3498"/>
      <c r="X25" s="3498"/>
      <c r="Y25" s="3498"/>
      <c r="Z25" s="3498"/>
      <c r="AA25" s="3498"/>
      <c r="AB25" s="3498"/>
      <c r="AC25" s="3498"/>
      <c r="AD25" s="3498"/>
      <c r="AE25" s="3498"/>
      <c r="AF25" s="3498"/>
      <c r="AG25" s="3498"/>
      <c r="AH25" s="3498"/>
      <c r="AI25" s="3498"/>
      <c r="AJ25" s="3498"/>
      <c r="AK25" s="3498"/>
      <c r="AL25" s="3498"/>
      <c r="AM25" s="3498"/>
      <c r="AN25" s="3498"/>
      <c r="AO25" s="3498"/>
      <c r="AP25" s="3498"/>
      <c r="AQ25" s="3498"/>
    </row>
    <row r="26" spans="1:45" s="3500" customFormat="1" ht="16.5" hidden="1" customHeight="1">
      <c r="A26" s="3510" t="s">
        <v>3792</v>
      </c>
      <c r="B26" s="3497">
        <v>0.06</v>
      </c>
      <c r="C26" s="3498"/>
      <c r="D26" s="3498"/>
      <c r="E26" s="3498"/>
      <c r="F26" s="3498"/>
      <c r="G26" s="3498"/>
      <c r="H26" s="3498"/>
      <c r="I26" s="3498"/>
      <c r="J26" s="3498"/>
      <c r="K26" s="3498"/>
      <c r="L26" s="3498"/>
      <c r="M26" s="3498"/>
      <c r="N26" s="3498"/>
      <c r="O26" s="3498"/>
      <c r="P26" s="3498"/>
      <c r="Q26" s="3498"/>
      <c r="R26" s="3498"/>
      <c r="S26" s="3498"/>
      <c r="T26" s="3498"/>
      <c r="U26" s="3498"/>
      <c r="V26" s="3498"/>
      <c r="W26" s="3498"/>
      <c r="X26" s="3498"/>
      <c r="Y26" s="3498"/>
      <c r="Z26" s="3498"/>
      <c r="AA26" s="3498"/>
      <c r="AB26" s="3498"/>
      <c r="AC26" s="3498"/>
      <c r="AD26" s="3498"/>
      <c r="AE26" s="3498"/>
      <c r="AF26" s="3498"/>
      <c r="AG26" s="3498"/>
      <c r="AH26" s="3498"/>
      <c r="AI26" s="3498"/>
      <c r="AJ26" s="3498"/>
      <c r="AK26" s="3498"/>
      <c r="AL26" s="3498"/>
      <c r="AM26" s="3498"/>
      <c r="AN26" s="3498"/>
      <c r="AO26" s="3498"/>
      <c r="AP26" s="3498"/>
      <c r="AQ26" s="3498"/>
    </row>
    <row r="27" spans="1:45" s="3515" customFormat="1" ht="12.75" hidden="1" customHeight="1">
      <c r="A27" s="3503" t="s">
        <v>3793</v>
      </c>
      <c r="B27" s="3504">
        <f>B16</f>
        <v>1</v>
      </c>
      <c r="C27" s="3514"/>
      <c r="D27" s="3514"/>
      <c r="E27" s="3514"/>
      <c r="F27" s="3514"/>
      <c r="G27" s="3514"/>
      <c r="H27" s="3514"/>
      <c r="I27" s="3514"/>
      <c r="J27" s="3514"/>
      <c r="K27" s="3514"/>
      <c r="L27" s="3514"/>
      <c r="M27" s="3514"/>
      <c r="N27" s="3514"/>
      <c r="O27" s="3505"/>
      <c r="P27" s="3505"/>
      <c r="Q27" s="3505"/>
      <c r="R27" s="3505"/>
      <c r="S27" s="3505"/>
      <c r="T27" s="3505"/>
      <c r="U27" s="3505"/>
      <c r="V27" s="3505"/>
      <c r="W27" s="3505"/>
      <c r="X27" s="3505"/>
      <c r="Y27" s="3505"/>
      <c r="Z27" s="3505"/>
      <c r="AA27" s="3505"/>
      <c r="AB27" s="3505">
        <f t="shared" ref="AB27:AQ27" si="14">ROUND(AB28*$B$27,0)</f>
        <v>12148480</v>
      </c>
      <c r="AC27" s="3505">
        <f t="shared" si="14"/>
        <v>14574208</v>
      </c>
      <c r="AD27" s="3505">
        <f t="shared" si="14"/>
        <v>16340871</v>
      </c>
      <c r="AE27" s="3505">
        <f t="shared" si="14"/>
        <v>17925801</v>
      </c>
      <c r="AF27" s="3505">
        <f t="shared" si="14"/>
        <v>19491373</v>
      </c>
      <c r="AG27" s="3505">
        <f t="shared" si="14"/>
        <v>20186760</v>
      </c>
      <c r="AH27" s="3505">
        <f t="shared" si="14"/>
        <v>20760209</v>
      </c>
      <c r="AI27" s="3505">
        <f t="shared" si="14"/>
        <v>21377008</v>
      </c>
      <c r="AJ27" s="3505">
        <f t="shared" si="14"/>
        <v>21820401</v>
      </c>
      <c r="AK27" s="3505">
        <f t="shared" si="14"/>
        <v>22263794</v>
      </c>
      <c r="AL27" s="3505">
        <f t="shared" si="14"/>
        <v>22708517</v>
      </c>
      <c r="AM27" s="3505">
        <f t="shared" si="14"/>
        <v>23153241</v>
      </c>
      <c r="AN27" s="3505">
        <f t="shared" si="14"/>
        <v>23597964</v>
      </c>
      <c r="AO27" s="3505">
        <f t="shared" si="14"/>
        <v>24086038</v>
      </c>
      <c r="AP27" s="3505">
        <f t="shared" si="14"/>
        <v>24574114</v>
      </c>
      <c r="AQ27" s="3505">
        <f t="shared" si="14"/>
        <v>25067269</v>
      </c>
      <c r="AR27" s="3493">
        <f>SUM(AB27:AP27)</f>
        <v>305008779</v>
      </c>
    </row>
    <row r="28" spans="1:45" s="3518" customFormat="1" hidden="1">
      <c r="A28" s="3510" t="s">
        <v>3794</v>
      </c>
      <c r="B28" s="3516"/>
      <c r="C28" s="3517"/>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f t="shared" ref="AB28:AP28" si="15">SUM(AB36:AB38)+AB42</f>
        <v>12148480.102301888</v>
      </c>
      <c r="AC28" s="3517">
        <f t="shared" si="15"/>
        <v>14574208.262698114</v>
      </c>
      <c r="AD28" s="3517">
        <f t="shared" si="15"/>
        <v>16340870.586169811</v>
      </c>
      <c r="AE28" s="3517">
        <f t="shared" si="15"/>
        <v>17925800.654915094</v>
      </c>
      <c r="AF28" s="3517">
        <f t="shared" si="15"/>
        <v>19491372.858754717</v>
      </c>
      <c r="AG28" s="3517">
        <f t="shared" si="15"/>
        <v>20186759.512584906</v>
      </c>
      <c r="AH28" s="3517">
        <f t="shared" si="15"/>
        <v>20760208.810547169</v>
      </c>
      <c r="AI28" s="3517">
        <f t="shared" si="15"/>
        <v>21377008.079566039</v>
      </c>
      <c r="AJ28" s="3517">
        <f t="shared" si="15"/>
        <v>21820401.284594342</v>
      </c>
      <c r="AK28" s="3517">
        <f t="shared" si="15"/>
        <v>22263794.493669812</v>
      </c>
      <c r="AL28" s="3517">
        <f t="shared" si="15"/>
        <v>22708517.172207549</v>
      </c>
      <c r="AM28" s="3517">
        <f t="shared" si="15"/>
        <v>23153240.850745283</v>
      </c>
      <c r="AN28" s="3517">
        <f t="shared" si="15"/>
        <v>23597963.533330187</v>
      </c>
      <c r="AO28" s="3517">
        <f t="shared" si="15"/>
        <v>24086038.182924531</v>
      </c>
      <c r="AP28" s="3517">
        <f t="shared" si="15"/>
        <v>24574113.928471699</v>
      </c>
      <c r="AQ28" s="3517">
        <f>SUM(AQ36:AQ38)+AQ42</f>
        <v>25067269.224660378</v>
      </c>
      <c r="AR28" s="3493">
        <f>SUM(AA28:AO28)+AP28/4*3</f>
        <v>298865249.8313632</v>
      </c>
    </row>
    <row r="29" spans="1:45" s="3500" customFormat="1" hidden="1">
      <c r="A29" s="3510" t="s">
        <v>3795</v>
      </c>
      <c r="B29" s="3497">
        <v>0.09</v>
      </c>
      <c r="C29" s="3498"/>
      <c r="D29" s="3498"/>
      <c r="E29" s="3498"/>
      <c r="F29" s="3498"/>
      <c r="G29" s="3498"/>
      <c r="H29" s="3498"/>
      <c r="I29" s="3498"/>
      <c r="J29" s="3498"/>
      <c r="K29" s="3498"/>
      <c r="L29" s="3498"/>
      <c r="M29" s="3498"/>
      <c r="N29" s="3498"/>
      <c r="O29" s="3498"/>
      <c r="P29" s="3498"/>
      <c r="Q29" s="3498"/>
      <c r="R29" s="3498"/>
      <c r="S29" s="3498"/>
      <c r="T29" s="3498"/>
      <c r="U29" s="3498"/>
      <c r="V29" s="3498"/>
      <c r="W29" s="3498"/>
      <c r="X29" s="3498"/>
      <c r="Y29" s="3498"/>
      <c r="Z29" s="3498"/>
      <c r="AA29" s="3498"/>
      <c r="AB29" s="3498">
        <f t="shared" ref="AB29:AP29" si="16">ROUND(SUMIF($B$10:$B$14,$B$29,AB10:AB14)/(1+$B$29)*$B$29,0)</f>
        <v>7873811</v>
      </c>
      <c r="AC29" s="3498">
        <f t="shared" si="16"/>
        <v>9435157</v>
      </c>
      <c r="AD29" s="3498">
        <f t="shared" si="16"/>
        <v>10559347</v>
      </c>
      <c r="AE29" s="3498">
        <f t="shared" si="16"/>
        <v>11550007</v>
      </c>
      <c r="AF29" s="3498">
        <f t="shared" si="16"/>
        <v>12555870</v>
      </c>
      <c r="AG29" s="3498">
        <f t="shared" si="16"/>
        <v>12977209</v>
      </c>
      <c r="AH29" s="3498">
        <f t="shared" si="16"/>
        <v>13347407</v>
      </c>
      <c r="AI29" s="3498">
        <f t="shared" si="16"/>
        <v>13746594</v>
      </c>
      <c r="AJ29" s="3498">
        <f t="shared" si="16"/>
        <v>14029823</v>
      </c>
      <c r="AK29" s="3498">
        <f t="shared" si="16"/>
        <v>14313052</v>
      </c>
      <c r="AL29" s="3498">
        <f t="shared" si="16"/>
        <v>14596839</v>
      </c>
      <c r="AM29" s="3498">
        <f t="shared" si="16"/>
        <v>14880626</v>
      </c>
      <c r="AN29" s="3498">
        <f t="shared" si="16"/>
        <v>15164413</v>
      </c>
      <c r="AO29" s="3498">
        <f t="shared" si="16"/>
        <v>15477189</v>
      </c>
      <c r="AP29" s="3498">
        <f t="shared" si="16"/>
        <v>15789966</v>
      </c>
      <c r="AQ29" s="3498">
        <f>ROUND(SUMIF($B$10:$B$14,$B$29,AQ10:AQ14)/(1+$B$29)*$B$29,0)</f>
        <v>16104873</v>
      </c>
    </row>
    <row r="30" spans="1:45" s="3500" customFormat="1" hidden="1">
      <c r="A30" s="3510" t="s">
        <v>3796</v>
      </c>
      <c r="B30" s="3497">
        <v>0.06</v>
      </c>
      <c r="C30" s="3498"/>
      <c r="D30" s="3498"/>
      <c r="E30" s="3498"/>
      <c r="F30" s="3498"/>
      <c r="G30" s="3498"/>
      <c r="H30" s="3498"/>
      <c r="I30" s="3498"/>
      <c r="J30" s="3498"/>
      <c r="K30" s="3498"/>
      <c r="L30" s="3498"/>
      <c r="M30" s="3498"/>
      <c r="N30" s="3498"/>
      <c r="O30" s="3498"/>
      <c r="P30" s="3498"/>
      <c r="Q30" s="3498"/>
      <c r="R30" s="3498"/>
      <c r="S30" s="3498"/>
      <c r="T30" s="3498"/>
      <c r="U30" s="3498"/>
      <c r="V30" s="3498"/>
      <c r="W30" s="3498"/>
      <c r="X30" s="3498"/>
      <c r="Y30" s="3498"/>
      <c r="Z30" s="3498"/>
      <c r="AA30" s="3498"/>
      <c r="AB30" s="3498">
        <f t="shared" ref="AB30:AQ30" si="17">ROUND(SUMIF($B$10:$B$14,$B$30,AA10:AA14)/(1+$B$30)*$B$30,0)</f>
        <v>0</v>
      </c>
      <c r="AC30" s="3498">
        <f t="shared" si="17"/>
        <v>0</v>
      </c>
      <c r="AD30" s="3498">
        <f t="shared" si="17"/>
        <v>0</v>
      </c>
      <c r="AE30" s="3498">
        <f t="shared" si="17"/>
        <v>0</v>
      </c>
      <c r="AF30" s="3498">
        <f t="shared" si="17"/>
        <v>0</v>
      </c>
      <c r="AG30" s="3498">
        <f t="shared" si="17"/>
        <v>0</v>
      </c>
      <c r="AH30" s="3498">
        <f t="shared" si="17"/>
        <v>0</v>
      </c>
      <c r="AI30" s="3498">
        <f t="shared" si="17"/>
        <v>0</v>
      </c>
      <c r="AJ30" s="3498">
        <f t="shared" si="17"/>
        <v>0</v>
      </c>
      <c r="AK30" s="3498">
        <f t="shared" si="17"/>
        <v>0</v>
      </c>
      <c r="AL30" s="3498">
        <f t="shared" si="17"/>
        <v>0</v>
      </c>
      <c r="AM30" s="3498">
        <f t="shared" si="17"/>
        <v>0</v>
      </c>
      <c r="AN30" s="3498">
        <f t="shared" si="17"/>
        <v>0</v>
      </c>
      <c r="AO30" s="3498">
        <f t="shared" si="17"/>
        <v>0</v>
      </c>
      <c r="AP30" s="3498">
        <f t="shared" si="17"/>
        <v>0</v>
      </c>
      <c r="AQ30" s="3498">
        <f t="shared" si="17"/>
        <v>0</v>
      </c>
    </row>
    <row r="31" spans="1:45" s="3500" customFormat="1" hidden="1">
      <c r="A31" s="3510" t="s">
        <v>3797</v>
      </c>
      <c r="B31" s="3498">
        <v>27037211</v>
      </c>
      <c r="C31" s="3498"/>
      <c r="D31" s="3498"/>
      <c r="E31" s="3498"/>
      <c r="F31" s="3498"/>
      <c r="G31" s="3498"/>
      <c r="H31" s="3498"/>
      <c r="I31" s="3498"/>
      <c r="J31" s="3498"/>
      <c r="K31" s="3498"/>
      <c r="L31" s="3498"/>
      <c r="M31" s="3498"/>
      <c r="N31" s="3498"/>
      <c r="O31" s="3498"/>
      <c r="P31" s="3498"/>
      <c r="Q31" s="3498"/>
      <c r="R31" s="3498"/>
      <c r="S31" s="3498"/>
      <c r="T31" s="3498"/>
      <c r="U31" s="3498"/>
      <c r="V31" s="3498"/>
      <c r="W31" s="3498"/>
      <c r="X31" s="3498"/>
      <c r="Y31" s="3498"/>
      <c r="Z31" s="3498"/>
      <c r="AA31" s="3498"/>
      <c r="AB31" s="3498"/>
      <c r="AC31" s="3498"/>
      <c r="AD31" s="3498"/>
      <c r="AE31" s="3498"/>
      <c r="AF31" s="3498"/>
      <c r="AG31" s="3498"/>
      <c r="AH31" s="3498"/>
      <c r="AI31" s="3498"/>
      <c r="AJ31" s="3498"/>
      <c r="AK31" s="3498"/>
      <c r="AL31" s="3498"/>
      <c r="AM31" s="3498"/>
      <c r="AN31" s="3498"/>
      <c r="AO31" s="3498"/>
      <c r="AP31" s="3498"/>
      <c r="AQ31" s="3498"/>
    </row>
    <row r="32" spans="1:45" s="3500" customFormat="1" hidden="1">
      <c r="A32" s="3510" t="s">
        <v>3798</v>
      </c>
      <c r="B32" s="3519"/>
      <c r="C32" s="3492"/>
      <c r="D32" s="3492"/>
      <c r="E32" s="3492"/>
      <c r="F32" s="3492"/>
      <c r="G32" s="3492"/>
      <c r="H32" s="3492"/>
      <c r="I32" s="3492"/>
      <c r="J32" s="3492"/>
      <c r="K32" s="3492"/>
      <c r="L32" s="3492"/>
      <c r="M32" s="3492"/>
      <c r="N32" s="3492"/>
      <c r="O32" s="3492"/>
      <c r="P32" s="3492"/>
      <c r="Q32" s="3492"/>
      <c r="R32" s="3492"/>
      <c r="S32" s="3492"/>
      <c r="T32" s="3492"/>
      <c r="U32" s="3492"/>
      <c r="V32" s="3492"/>
      <c r="W32" s="3492"/>
      <c r="X32" s="3492"/>
      <c r="Y32" s="3492"/>
      <c r="Z32" s="3492"/>
      <c r="AA32" s="3492"/>
      <c r="AB32" s="3492">
        <f>SUM(AB29:AB31)</f>
        <v>7873811</v>
      </c>
      <c r="AC32" s="3492">
        <f t="shared" ref="AC32:AP32" si="18">SUM(AC29:AC31)</f>
        <v>9435157</v>
      </c>
      <c r="AD32" s="3492">
        <f t="shared" si="18"/>
        <v>10559347</v>
      </c>
      <c r="AE32" s="3492">
        <f t="shared" si="18"/>
        <v>11550007</v>
      </c>
      <c r="AF32" s="3492">
        <f t="shared" si="18"/>
        <v>12555870</v>
      </c>
      <c r="AG32" s="3492">
        <f t="shared" si="18"/>
        <v>12977209</v>
      </c>
      <c r="AH32" s="3492">
        <f t="shared" si="18"/>
        <v>13347407</v>
      </c>
      <c r="AI32" s="3492">
        <f t="shared" si="18"/>
        <v>13746594</v>
      </c>
      <c r="AJ32" s="3492">
        <f t="shared" si="18"/>
        <v>14029823</v>
      </c>
      <c r="AK32" s="3492">
        <f t="shared" si="18"/>
        <v>14313052</v>
      </c>
      <c r="AL32" s="3492">
        <f t="shared" si="18"/>
        <v>14596839</v>
      </c>
      <c r="AM32" s="3492">
        <f t="shared" si="18"/>
        <v>14880626</v>
      </c>
      <c r="AN32" s="3492">
        <f t="shared" si="18"/>
        <v>15164413</v>
      </c>
      <c r="AO32" s="3492">
        <f t="shared" si="18"/>
        <v>15477189</v>
      </c>
      <c r="AP32" s="3492">
        <f t="shared" si="18"/>
        <v>15789966</v>
      </c>
      <c r="AQ32" s="3492">
        <f>SUM(AQ29:AQ31)</f>
        <v>16104873</v>
      </c>
      <c r="AR32" s="3520"/>
    </row>
    <row r="33" spans="1:45" s="3500" customFormat="1" hidden="1">
      <c r="A33" s="3510" t="s">
        <v>3799</v>
      </c>
      <c r="B33" s="3497">
        <v>0.06</v>
      </c>
      <c r="C33" s="3498"/>
      <c r="D33" s="3498"/>
      <c r="E33" s="3498"/>
      <c r="F33" s="3498"/>
      <c r="G33" s="3498"/>
      <c r="H33" s="3498"/>
      <c r="I33" s="3498"/>
      <c r="J33" s="3498"/>
      <c r="K33" s="3498"/>
      <c r="L33" s="3498"/>
      <c r="M33" s="3498"/>
      <c r="N33" s="3498"/>
      <c r="O33" s="3498"/>
      <c r="P33" s="3498"/>
      <c r="Q33" s="3498"/>
      <c r="R33" s="3498"/>
      <c r="S33" s="3498"/>
      <c r="T33" s="3498"/>
      <c r="U33" s="3498"/>
      <c r="V33" s="3498"/>
      <c r="W33" s="3498"/>
      <c r="X33" s="3498"/>
      <c r="Y33" s="3498"/>
      <c r="Z33" s="3498"/>
      <c r="AA33" s="3498"/>
      <c r="AB33" s="3498">
        <f t="shared" ref="AB33:AP33" si="19">(AB18+AB19+AB20+AB22+AB23+AB25+AB26)/(1+$B$33)*$B$33</f>
        <v>558020.5024528302</v>
      </c>
      <c r="AC33" s="3498">
        <f t="shared" si="19"/>
        <v>632945.44754716975</v>
      </c>
      <c r="AD33" s="3498">
        <f t="shared" si="19"/>
        <v>696297.88075471704</v>
      </c>
      <c r="AE33" s="3498">
        <f t="shared" si="19"/>
        <v>740441.45462264144</v>
      </c>
      <c r="AF33" s="3498">
        <f>(AF18+AF19+AF20+AF22+AF23+AF25+AF26)/(1+$B$33)*$B$33</f>
        <v>785262.45113207551</v>
      </c>
      <c r="AG33" s="3498">
        <f t="shared" si="19"/>
        <v>804037.22037735838</v>
      </c>
      <c r="AH33" s="3498">
        <f t="shared" si="19"/>
        <v>820533.13132075465</v>
      </c>
      <c r="AI33" s="3498">
        <f t="shared" si="19"/>
        <v>838320.79584905657</v>
      </c>
      <c r="AJ33" s="3498">
        <f t="shared" si="19"/>
        <v>850941.42764150933</v>
      </c>
      <c r="AK33" s="3498">
        <f t="shared" si="19"/>
        <v>863562.05575471686</v>
      </c>
      <c r="AL33" s="3498">
        <f t="shared" si="19"/>
        <v>876207.52981132071</v>
      </c>
      <c r="AM33" s="3498">
        <f t="shared" si="19"/>
        <v>888853.00386792433</v>
      </c>
      <c r="AN33" s="3498">
        <f t="shared" si="19"/>
        <v>901498.47424528294</v>
      </c>
      <c r="AO33" s="3498">
        <f t="shared" si="19"/>
        <v>915435.70188679232</v>
      </c>
      <c r="AP33" s="3498">
        <f t="shared" si="19"/>
        <v>929372.93320754718</v>
      </c>
      <c r="AQ33" s="3498">
        <f>(AQ18+AQ19+AQ20+AQ22+AQ23+AQ25+AQ26)/(1+$B$33)*$B$33</f>
        <v>943405.11849056603</v>
      </c>
      <c r="AR33" s="3520"/>
    </row>
    <row r="34" spans="1:45" s="3500" customFormat="1" hidden="1">
      <c r="A34" s="3510"/>
      <c r="B34" s="3497"/>
      <c r="C34" s="3498"/>
      <c r="D34" s="3498"/>
      <c r="E34" s="3498"/>
      <c r="F34" s="3498"/>
      <c r="G34" s="3498"/>
      <c r="H34" s="3498"/>
      <c r="I34" s="3498"/>
      <c r="J34" s="3498"/>
      <c r="K34" s="3498"/>
      <c r="L34" s="3498"/>
      <c r="M34" s="3498"/>
      <c r="N34" s="3498"/>
      <c r="O34" s="3498"/>
      <c r="P34" s="3498"/>
      <c r="Q34" s="3498"/>
      <c r="R34" s="3498"/>
      <c r="S34" s="3498"/>
      <c r="T34" s="3498"/>
      <c r="U34" s="3498"/>
      <c r="V34" s="3498"/>
      <c r="W34" s="3498"/>
      <c r="X34" s="3498"/>
      <c r="Y34" s="3498"/>
      <c r="Z34" s="3498"/>
      <c r="AA34" s="3498"/>
      <c r="AB34" s="3498"/>
      <c r="AC34" s="3498"/>
      <c r="AD34" s="3498"/>
      <c r="AE34" s="3498"/>
      <c r="AF34" s="3498"/>
      <c r="AG34" s="3498"/>
      <c r="AH34" s="3498"/>
      <c r="AI34" s="3498"/>
      <c r="AJ34" s="3498"/>
      <c r="AK34" s="3498"/>
      <c r="AL34" s="3498"/>
      <c r="AM34" s="3498"/>
      <c r="AN34" s="3498"/>
      <c r="AO34" s="3498"/>
      <c r="AP34" s="3498"/>
      <c r="AQ34" s="3498"/>
    </row>
    <row r="35" spans="1:45" s="3500" customFormat="1" hidden="1">
      <c r="A35" s="3510" t="s">
        <v>3800</v>
      </c>
      <c r="B35" s="3519"/>
      <c r="C35" s="3492"/>
      <c r="D35" s="3492"/>
      <c r="E35" s="3492"/>
      <c r="F35" s="3492"/>
      <c r="G35" s="3492"/>
      <c r="H35" s="3492"/>
      <c r="I35" s="3492"/>
      <c r="J35" s="3492"/>
      <c r="K35" s="3492"/>
      <c r="L35" s="3492"/>
      <c r="M35" s="3492"/>
      <c r="N35" s="3492"/>
      <c r="O35" s="3492"/>
      <c r="P35" s="3492"/>
      <c r="Q35" s="3492"/>
      <c r="R35" s="3492"/>
      <c r="S35" s="3492"/>
      <c r="T35" s="3492"/>
      <c r="U35" s="3492"/>
      <c r="V35" s="3492"/>
      <c r="W35" s="3492"/>
      <c r="X35" s="3492"/>
      <c r="Y35" s="3492"/>
      <c r="Z35" s="3492"/>
      <c r="AA35" s="3492"/>
      <c r="AB35" s="3492">
        <f>SUM(AB33:AB34)</f>
        <v>558020.5024528302</v>
      </c>
      <c r="AC35" s="3492">
        <f t="shared" ref="AC35:AP35" si="20">SUM(AC33:AC34)</f>
        <v>632945.44754716975</v>
      </c>
      <c r="AD35" s="3492">
        <f t="shared" si="20"/>
        <v>696297.88075471704</v>
      </c>
      <c r="AE35" s="3492">
        <f t="shared" si="20"/>
        <v>740441.45462264144</v>
      </c>
      <c r="AF35" s="3492">
        <f t="shared" si="20"/>
        <v>785262.45113207551</v>
      </c>
      <c r="AG35" s="3492">
        <f>SUM(AG33:AG34)</f>
        <v>804037.22037735838</v>
      </c>
      <c r="AH35" s="3492">
        <f t="shared" si="20"/>
        <v>820533.13132075465</v>
      </c>
      <c r="AI35" s="3492">
        <f t="shared" si="20"/>
        <v>838320.79584905657</v>
      </c>
      <c r="AJ35" s="3492">
        <f t="shared" si="20"/>
        <v>850941.42764150933</v>
      </c>
      <c r="AK35" s="3492">
        <f t="shared" si="20"/>
        <v>863562.05575471686</v>
      </c>
      <c r="AL35" s="3492">
        <f t="shared" si="20"/>
        <v>876207.52981132071</v>
      </c>
      <c r="AM35" s="3492">
        <f t="shared" si="20"/>
        <v>888853.00386792433</v>
      </c>
      <c r="AN35" s="3492">
        <f t="shared" si="20"/>
        <v>901498.47424528294</v>
      </c>
      <c r="AO35" s="3492">
        <f t="shared" si="20"/>
        <v>915435.70188679232</v>
      </c>
      <c r="AP35" s="3492">
        <f t="shared" si="20"/>
        <v>929372.93320754718</v>
      </c>
      <c r="AQ35" s="3492">
        <f>SUM(AQ33:AQ34)</f>
        <v>943405.11849056603</v>
      </c>
    </row>
    <row r="36" spans="1:45" s="3500" customFormat="1" hidden="1">
      <c r="A36" s="3510" t="s">
        <v>3801</v>
      </c>
      <c r="B36" s="3497"/>
      <c r="C36" s="3498"/>
      <c r="D36" s="3498"/>
      <c r="E36" s="3498"/>
      <c r="F36" s="3498"/>
      <c r="G36" s="3498"/>
      <c r="H36" s="3498"/>
      <c r="I36" s="3498"/>
      <c r="J36" s="3512"/>
      <c r="K36" s="3498"/>
      <c r="L36" s="3498"/>
      <c r="M36" s="3498"/>
      <c r="N36" s="3498"/>
      <c r="O36" s="3512"/>
      <c r="P36" s="3498"/>
      <c r="Q36" s="3498"/>
      <c r="R36" s="3498"/>
      <c r="S36" s="3498"/>
      <c r="T36" s="3498"/>
      <c r="U36" s="3498"/>
      <c r="V36" s="3498"/>
      <c r="W36" s="3498"/>
      <c r="X36" s="3498"/>
      <c r="Y36" s="3498"/>
      <c r="Z36" s="3498"/>
      <c r="AA36" s="3498"/>
      <c r="AB36" s="3498">
        <f>IF(AB32-AB35&lt;0,0,AB32-AB35)</f>
        <v>7315790.4975471701</v>
      </c>
      <c r="AC36" s="3498">
        <f t="shared" ref="AC36:AP36" si="21">IF(AC32-AC35&lt;0,0,AC32-AC35)</f>
        <v>8802211.5524528306</v>
      </c>
      <c r="AD36" s="3498">
        <f t="shared" si="21"/>
        <v>9863049.1192452833</v>
      </c>
      <c r="AE36" s="3498">
        <f t="shared" si="21"/>
        <v>10809565.545377359</v>
      </c>
      <c r="AF36" s="3498">
        <f t="shared" si="21"/>
        <v>11770607.548867924</v>
      </c>
      <c r="AG36" s="3498">
        <f t="shared" si="21"/>
        <v>12173171.779622642</v>
      </c>
      <c r="AH36" s="3498">
        <f t="shared" si="21"/>
        <v>12526873.868679246</v>
      </c>
      <c r="AI36" s="3498">
        <f t="shared" si="21"/>
        <v>12908273.204150943</v>
      </c>
      <c r="AJ36" s="3498">
        <f t="shared" si="21"/>
        <v>13178881.572358491</v>
      </c>
      <c r="AK36" s="3498">
        <f t="shared" si="21"/>
        <v>13449489.944245283</v>
      </c>
      <c r="AL36" s="3498">
        <f t="shared" si="21"/>
        <v>13720631.470188679</v>
      </c>
      <c r="AM36" s="3498">
        <f t="shared" si="21"/>
        <v>13991772.996132076</v>
      </c>
      <c r="AN36" s="3498">
        <f t="shared" si="21"/>
        <v>14262914.525754716</v>
      </c>
      <c r="AO36" s="3498">
        <f t="shared" si="21"/>
        <v>14561753.298113208</v>
      </c>
      <c r="AP36" s="3498">
        <f t="shared" si="21"/>
        <v>14860593.066792453</v>
      </c>
      <c r="AQ36" s="3498">
        <f>IF(AQ32-AQ35&lt;0,0,AQ32-AQ35)</f>
        <v>15161467.881509434</v>
      </c>
    </row>
    <row r="37" spans="1:45" s="3500" customFormat="1" hidden="1">
      <c r="A37" s="3510" t="s">
        <v>3802</v>
      </c>
      <c r="B37" s="3497">
        <v>0.1</v>
      </c>
      <c r="C37" s="3498"/>
      <c r="D37" s="3498"/>
      <c r="E37" s="3498"/>
      <c r="F37" s="3498"/>
      <c r="G37" s="3498"/>
      <c r="H37" s="3498"/>
      <c r="I37" s="3498"/>
      <c r="J37" s="3512"/>
      <c r="K37" s="3498"/>
      <c r="L37" s="3498"/>
      <c r="M37" s="3498"/>
      <c r="N37" s="3498"/>
      <c r="O37" s="3498"/>
      <c r="P37" s="3498"/>
      <c r="Q37" s="3498"/>
      <c r="R37" s="3498"/>
      <c r="S37" s="3498"/>
      <c r="T37" s="3498"/>
      <c r="U37" s="3498"/>
      <c r="V37" s="3498"/>
      <c r="W37" s="3498"/>
      <c r="X37" s="3498"/>
      <c r="Y37" s="3498"/>
      <c r="Z37" s="3498"/>
      <c r="AA37" s="3498"/>
      <c r="AB37" s="3498">
        <f>AB36*$B$37</f>
        <v>731579.04975471704</v>
      </c>
      <c r="AC37" s="3498">
        <f t="shared" ref="AC37:AP37" si="22">AC36*$B$37</f>
        <v>880221.15524528315</v>
      </c>
      <c r="AD37" s="3498">
        <f t="shared" si="22"/>
        <v>986304.91192452842</v>
      </c>
      <c r="AE37" s="3498">
        <f t="shared" si="22"/>
        <v>1080956.5545377359</v>
      </c>
      <c r="AF37" s="3498">
        <f t="shared" si="22"/>
        <v>1177060.7548867925</v>
      </c>
      <c r="AG37" s="3498">
        <f t="shared" si="22"/>
        <v>1217317.1779622643</v>
      </c>
      <c r="AH37" s="3498">
        <f t="shared" si="22"/>
        <v>1252687.3868679246</v>
      </c>
      <c r="AI37" s="3498">
        <f t="shared" si="22"/>
        <v>1290827.3204150945</v>
      </c>
      <c r="AJ37" s="3498">
        <f t="shared" si="22"/>
        <v>1317888.1572358492</v>
      </c>
      <c r="AK37" s="3498">
        <f t="shared" si="22"/>
        <v>1344948.9944245284</v>
      </c>
      <c r="AL37" s="3498">
        <f t="shared" si="22"/>
        <v>1372063.147018868</v>
      </c>
      <c r="AM37" s="3498">
        <f t="shared" si="22"/>
        <v>1399177.2996132076</v>
      </c>
      <c r="AN37" s="3498">
        <f t="shared" si="22"/>
        <v>1426291.4525754717</v>
      </c>
      <c r="AO37" s="3498">
        <f t="shared" si="22"/>
        <v>1456175.3298113209</v>
      </c>
      <c r="AP37" s="3498">
        <f t="shared" si="22"/>
        <v>1486059.3066792453</v>
      </c>
      <c r="AQ37" s="3498">
        <f>AQ36*$B$37</f>
        <v>1516146.7881509436</v>
      </c>
    </row>
    <row r="38" spans="1:45" s="3495" customFormat="1" hidden="1">
      <c r="A38" s="3510" t="s">
        <v>3803</v>
      </c>
      <c r="B38" s="3519"/>
      <c r="C38" s="3492"/>
      <c r="D38" s="3492"/>
      <c r="E38" s="3492"/>
      <c r="F38" s="3492"/>
      <c r="G38" s="3492"/>
      <c r="H38" s="3492"/>
      <c r="I38" s="3492"/>
      <c r="J38" s="3492"/>
      <c r="K38" s="3492"/>
      <c r="L38" s="3492"/>
      <c r="M38" s="3492"/>
      <c r="N38" s="3492"/>
      <c r="O38" s="3492"/>
      <c r="P38" s="3492"/>
      <c r="Q38" s="3492"/>
      <c r="R38" s="3492"/>
      <c r="S38" s="3492"/>
      <c r="T38" s="3492"/>
      <c r="U38" s="3492"/>
      <c r="V38" s="3492"/>
      <c r="W38" s="3492"/>
      <c r="X38" s="3492"/>
      <c r="Y38" s="3492"/>
      <c r="Z38" s="3492"/>
      <c r="AA38" s="3492"/>
      <c r="AB38" s="3492">
        <f t="shared" ref="AB38:AP38" si="23">SUM(AB39:AB41)</f>
        <v>4042769</v>
      </c>
      <c r="AC38" s="3492">
        <f t="shared" si="23"/>
        <v>4833434</v>
      </c>
      <c r="AD38" s="3492">
        <f t="shared" si="23"/>
        <v>5433175</v>
      </c>
      <c r="AE38" s="3492">
        <f t="shared" si="23"/>
        <v>5976937</v>
      </c>
      <c r="AF38" s="3492">
        <f t="shared" si="23"/>
        <v>6485363</v>
      </c>
      <c r="AG38" s="3492">
        <f t="shared" si="23"/>
        <v>6737929</v>
      </c>
      <c r="AH38" s="3492">
        <f t="shared" si="23"/>
        <v>6922306</v>
      </c>
      <c r="AI38" s="3492">
        <f t="shared" si="23"/>
        <v>7119566</v>
      </c>
      <c r="AJ38" s="3492">
        <f t="shared" si="23"/>
        <v>7265290</v>
      </c>
      <c r="AK38" s="3492">
        <f t="shared" si="23"/>
        <v>7411014</v>
      </c>
      <c r="AL38" s="3492">
        <f t="shared" si="23"/>
        <v>7557481</v>
      </c>
      <c r="AM38" s="3492">
        <f t="shared" si="23"/>
        <v>7703949</v>
      </c>
      <c r="AN38" s="3492">
        <f t="shared" si="23"/>
        <v>7850416</v>
      </c>
      <c r="AO38" s="3492">
        <f t="shared" si="23"/>
        <v>8009768</v>
      </c>
      <c r="AP38" s="3492">
        <f t="shared" si="23"/>
        <v>8169120</v>
      </c>
      <c r="AQ38" s="3492">
        <f>SUM(AQ39:AQ41)</f>
        <v>8331313</v>
      </c>
      <c r="AR38" s="3493">
        <f>SUM(AB38:AP38)</f>
        <v>101518517</v>
      </c>
    </row>
    <row r="39" spans="1:45" s="3500" customFormat="1" hidden="1">
      <c r="A39" s="3521" t="s">
        <v>3804</v>
      </c>
      <c r="B39" s="3497">
        <v>0.04</v>
      </c>
      <c r="C39" s="3498"/>
      <c r="D39" s="3498"/>
      <c r="E39" s="3498"/>
      <c r="F39" s="3498"/>
      <c r="G39" s="3498"/>
      <c r="H39" s="3498"/>
      <c r="I39" s="3498"/>
      <c r="J39" s="3498"/>
      <c r="K39" s="3498"/>
      <c r="L39" s="3498"/>
      <c r="M39" s="3498"/>
      <c r="N39" s="3498"/>
      <c r="O39" s="3498"/>
      <c r="P39" s="3498"/>
      <c r="Q39" s="3498"/>
      <c r="R39" s="3498"/>
      <c r="S39" s="3498"/>
      <c r="T39" s="3498"/>
      <c r="U39" s="3498"/>
      <c r="V39" s="3498"/>
      <c r="W39" s="3498"/>
      <c r="X39" s="3498"/>
      <c r="Y39" s="3498"/>
      <c r="Z39" s="3498"/>
      <c r="AA39" s="3498"/>
      <c r="AB39" s="3498">
        <f t="shared" ref="AB39:AP39" si="24">ROUND(AB10*$B$39/1.09,0)</f>
        <v>3227823</v>
      </c>
      <c r="AC39" s="3498">
        <f t="shared" si="24"/>
        <v>3873388</v>
      </c>
      <c r="AD39" s="3498">
        <f t="shared" si="24"/>
        <v>4322977</v>
      </c>
      <c r="AE39" s="3498">
        <f t="shared" si="24"/>
        <v>4711537</v>
      </c>
      <c r="AF39" s="3498">
        <f t="shared" si="24"/>
        <v>5127899</v>
      </c>
      <c r="AG39" s="3498">
        <f t="shared" si="24"/>
        <v>5282509</v>
      </c>
      <c r="AH39" s="3498">
        <f t="shared" si="24"/>
        <v>5437119</v>
      </c>
      <c r="AI39" s="3498">
        <f t="shared" si="24"/>
        <v>5604613</v>
      </c>
      <c r="AJ39" s="3498">
        <f t="shared" si="24"/>
        <v>5720570</v>
      </c>
      <c r="AK39" s="3498">
        <f t="shared" si="24"/>
        <v>5836528</v>
      </c>
      <c r="AL39" s="3498">
        <f t="shared" si="24"/>
        <v>5952485</v>
      </c>
      <c r="AM39" s="3498">
        <f t="shared" si="24"/>
        <v>6068443</v>
      </c>
      <c r="AN39" s="3498">
        <f t="shared" si="24"/>
        <v>6184400</v>
      </c>
      <c r="AO39" s="3498">
        <f t="shared" si="24"/>
        <v>6313242</v>
      </c>
      <c r="AP39" s="3498">
        <f t="shared" si="24"/>
        <v>6442084</v>
      </c>
      <c r="AQ39" s="3498">
        <f>ROUND(AQ10*$B$39/1.09,0)</f>
        <v>6570925</v>
      </c>
    </row>
    <row r="40" spans="1:45" s="3500" customFormat="1" hidden="1">
      <c r="A40" s="3521" t="s">
        <v>3805</v>
      </c>
      <c r="B40" s="3497">
        <v>0.12</v>
      </c>
      <c r="C40" s="3498"/>
      <c r="D40" s="3498"/>
      <c r="E40" s="3498"/>
      <c r="F40" s="3498"/>
      <c r="G40" s="3498"/>
      <c r="H40" s="3498"/>
      <c r="I40" s="3498"/>
      <c r="J40" s="3498"/>
      <c r="K40" s="3498"/>
      <c r="L40" s="3498"/>
      <c r="M40" s="3498"/>
      <c r="N40" s="3498"/>
      <c r="O40" s="3498"/>
      <c r="P40" s="3498"/>
      <c r="Q40" s="3498"/>
      <c r="R40" s="3498"/>
      <c r="S40" s="3498"/>
      <c r="T40" s="3498"/>
      <c r="U40" s="3498"/>
      <c r="V40" s="3498"/>
      <c r="W40" s="3498"/>
      <c r="X40" s="3498"/>
      <c r="Y40" s="3498"/>
      <c r="Z40" s="3498"/>
      <c r="AA40" s="3498"/>
      <c r="AB40" s="3498">
        <f>ROUND(AB12*$B$40/1.09,0)</f>
        <v>631379</v>
      </c>
      <c r="AC40" s="3498">
        <f t="shared" ref="AC40:AP40" si="25">ROUND(AC12*$B$40/1.09,0)</f>
        <v>772808</v>
      </c>
      <c r="AD40" s="3498">
        <f t="shared" si="25"/>
        <v>919288</v>
      </c>
      <c r="AE40" s="3498">
        <f t="shared" si="25"/>
        <v>1070819</v>
      </c>
      <c r="AF40" s="3498">
        <f t="shared" si="25"/>
        <v>1159212</v>
      </c>
      <c r="AG40" s="3498">
        <f t="shared" si="25"/>
        <v>1252972</v>
      </c>
      <c r="AH40" s="3498">
        <f t="shared" si="25"/>
        <v>1278543</v>
      </c>
      <c r="AI40" s="3498">
        <f t="shared" si="25"/>
        <v>1304113</v>
      </c>
      <c r="AJ40" s="3498">
        <f t="shared" si="25"/>
        <v>1329684</v>
      </c>
      <c r="AK40" s="3498">
        <f t="shared" si="25"/>
        <v>1355255</v>
      </c>
      <c r="AL40" s="3498">
        <f t="shared" si="25"/>
        <v>1383667</v>
      </c>
      <c r="AM40" s="3498">
        <f t="shared" si="25"/>
        <v>1412079</v>
      </c>
      <c r="AN40" s="3498">
        <f t="shared" si="25"/>
        <v>1440491</v>
      </c>
      <c r="AO40" s="3498">
        <f t="shared" si="25"/>
        <v>1468903</v>
      </c>
      <c r="AP40" s="3498">
        <f t="shared" si="25"/>
        <v>1497315</v>
      </c>
      <c r="AQ40" s="3498">
        <f>ROUND(AQ12*$B$40/1.09,0)</f>
        <v>1528569</v>
      </c>
    </row>
    <row r="41" spans="1:45" s="3500" customFormat="1" hidden="1">
      <c r="A41" s="3521" t="s">
        <v>3806</v>
      </c>
      <c r="B41" s="3497">
        <v>0.12</v>
      </c>
      <c r="C41" s="3498"/>
      <c r="D41" s="3498"/>
      <c r="E41" s="3498"/>
      <c r="F41" s="3498"/>
      <c r="G41" s="3498"/>
      <c r="H41" s="3498"/>
      <c r="I41" s="3498"/>
      <c r="J41" s="3498"/>
      <c r="K41" s="3498"/>
      <c r="L41" s="3498"/>
      <c r="M41" s="3498"/>
      <c r="N41" s="3498"/>
      <c r="O41" s="3498"/>
      <c r="P41" s="3498"/>
      <c r="Q41" s="3498"/>
      <c r="R41" s="3498"/>
      <c r="S41" s="3498"/>
      <c r="T41" s="3498"/>
      <c r="U41" s="3498"/>
      <c r="V41" s="3498"/>
      <c r="W41" s="3498"/>
      <c r="X41" s="3498"/>
      <c r="Y41" s="3498"/>
      <c r="Z41" s="3498"/>
      <c r="AA41" s="3498"/>
      <c r="AB41" s="3498">
        <f>ROUND(AB13*$B$41/1.09,0)</f>
        <v>183567</v>
      </c>
      <c r="AC41" s="3498">
        <f>ROUND(AC13*$B$41/1.09,0)</f>
        <v>187238</v>
      </c>
      <c r="AD41" s="3498">
        <f t="shared" ref="AD41:AP41" si="26">ROUND(AD13*$B$41/1.09,0)</f>
        <v>190910</v>
      </c>
      <c r="AE41" s="3498">
        <f t="shared" si="26"/>
        <v>194581</v>
      </c>
      <c r="AF41" s="3498">
        <f t="shared" si="26"/>
        <v>198252</v>
      </c>
      <c r="AG41" s="3498">
        <f t="shared" si="26"/>
        <v>202448</v>
      </c>
      <c r="AH41" s="3498">
        <f t="shared" si="26"/>
        <v>206644</v>
      </c>
      <c r="AI41" s="3498">
        <f t="shared" si="26"/>
        <v>210840</v>
      </c>
      <c r="AJ41" s="3498">
        <f t="shared" si="26"/>
        <v>215036</v>
      </c>
      <c r="AK41" s="3498">
        <f t="shared" si="26"/>
        <v>219231</v>
      </c>
      <c r="AL41" s="3498">
        <f t="shared" si="26"/>
        <v>221329</v>
      </c>
      <c r="AM41" s="3498">
        <f t="shared" si="26"/>
        <v>223427</v>
      </c>
      <c r="AN41" s="3498">
        <f t="shared" si="26"/>
        <v>225525</v>
      </c>
      <c r="AO41" s="3498">
        <f t="shared" si="26"/>
        <v>227623</v>
      </c>
      <c r="AP41" s="3498">
        <f t="shared" si="26"/>
        <v>229721</v>
      </c>
      <c r="AQ41" s="3498">
        <f>ROUND(AQ13*$B$41/1.09,0)</f>
        <v>231819</v>
      </c>
      <c r="AR41" s="3520"/>
    </row>
    <row r="42" spans="1:45" s="3500" customFormat="1" hidden="1">
      <c r="A42" s="3510" t="s">
        <v>3807</v>
      </c>
      <c r="B42" s="3522">
        <v>1.5</v>
      </c>
      <c r="C42" s="3498"/>
      <c r="D42" s="3498"/>
      <c r="E42" s="3498"/>
      <c r="F42" s="3498"/>
      <c r="G42" s="3498"/>
      <c r="H42" s="3498"/>
      <c r="I42" s="3498"/>
      <c r="J42" s="3512"/>
      <c r="K42" s="3512"/>
      <c r="L42" s="3512"/>
      <c r="M42" s="3512"/>
      <c r="N42" s="3512"/>
      <c r="O42" s="3498"/>
      <c r="P42" s="3498"/>
      <c r="Q42" s="3498"/>
      <c r="R42" s="3498"/>
      <c r="S42" s="3498"/>
      <c r="T42" s="3498"/>
      <c r="U42" s="3498"/>
      <c r="V42" s="3498"/>
      <c r="W42" s="3498"/>
      <c r="X42" s="3498"/>
      <c r="Y42" s="3498"/>
      <c r="Z42" s="3498"/>
      <c r="AA42" s="3498"/>
      <c r="AB42" s="3498">
        <f>$B$66*$B$42</f>
        <v>58341.555000000008</v>
      </c>
      <c r="AC42" s="3498">
        <f>AB42</f>
        <v>58341.555000000008</v>
      </c>
      <c r="AD42" s="3498">
        <f t="shared" ref="AD42:AQ42" si="27">AC42</f>
        <v>58341.555000000008</v>
      </c>
      <c r="AE42" s="3498">
        <f t="shared" si="27"/>
        <v>58341.555000000008</v>
      </c>
      <c r="AF42" s="3498">
        <f t="shared" si="27"/>
        <v>58341.555000000008</v>
      </c>
      <c r="AG42" s="3498">
        <f t="shared" si="27"/>
        <v>58341.555000000008</v>
      </c>
      <c r="AH42" s="3498">
        <f t="shared" si="27"/>
        <v>58341.555000000008</v>
      </c>
      <c r="AI42" s="3498">
        <f t="shared" si="27"/>
        <v>58341.555000000008</v>
      </c>
      <c r="AJ42" s="3498">
        <f t="shared" si="27"/>
        <v>58341.555000000008</v>
      </c>
      <c r="AK42" s="3498">
        <f t="shared" si="27"/>
        <v>58341.555000000008</v>
      </c>
      <c r="AL42" s="3498">
        <f t="shared" si="27"/>
        <v>58341.555000000008</v>
      </c>
      <c r="AM42" s="3498">
        <f t="shared" si="27"/>
        <v>58341.555000000008</v>
      </c>
      <c r="AN42" s="3498">
        <f t="shared" si="27"/>
        <v>58341.555000000008</v>
      </c>
      <c r="AO42" s="3498">
        <f t="shared" si="27"/>
        <v>58341.555000000008</v>
      </c>
      <c r="AP42" s="3498">
        <f t="shared" si="27"/>
        <v>58341.555000000008</v>
      </c>
      <c r="AQ42" s="3498">
        <f t="shared" si="27"/>
        <v>58341.555000000008</v>
      </c>
    </row>
    <row r="43" spans="1:45" s="3500" customFormat="1" hidden="1">
      <c r="A43" s="3510" t="s">
        <v>3808</v>
      </c>
      <c r="B43" s="3497"/>
      <c r="C43" s="3498"/>
      <c r="D43" s="3498"/>
      <c r="E43" s="3498"/>
      <c r="F43" s="3498"/>
      <c r="G43" s="3498"/>
      <c r="H43" s="3523"/>
      <c r="I43" s="3498"/>
      <c r="J43" s="3498"/>
      <c r="K43" s="3498"/>
      <c r="L43" s="3498"/>
      <c r="M43" s="3498"/>
      <c r="N43" s="3498"/>
      <c r="O43" s="3498"/>
      <c r="P43" s="3498"/>
      <c r="Q43" s="3498"/>
      <c r="R43" s="3498"/>
      <c r="S43" s="3498"/>
      <c r="T43" s="3498"/>
      <c r="U43" s="3498"/>
      <c r="V43" s="3498"/>
      <c r="W43" s="3498"/>
      <c r="X43" s="3498"/>
      <c r="Y43" s="3498"/>
      <c r="Z43" s="3498"/>
      <c r="AA43" s="3498"/>
      <c r="AB43" s="3498"/>
      <c r="AC43" s="3498"/>
      <c r="AD43" s="3498"/>
      <c r="AE43" s="3498"/>
      <c r="AF43" s="3498"/>
      <c r="AG43" s="3498"/>
      <c r="AH43" s="3498"/>
      <c r="AI43" s="3498"/>
      <c r="AJ43" s="3498"/>
      <c r="AK43" s="3498"/>
      <c r="AL43" s="3498"/>
      <c r="AM43" s="3498"/>
      <c r="AN43" s="3498"/>
      <c r="AO43" s="3498"/>
      <c r="AP43" s="3498"/>
      <c r="AQ43" s="3498"/>
    </row>
    <row r="44" spans="1:45" s="3500" customFormat="1" hidden="1">
      <c r="A44" s="3510" t="s">
        <v>3809</v>
      </c>
      <c r="B44" s="3497"/>
      <c r="C44" s="3498"/>
      <c r="D44" s="3498"/>
      <c r="E44" s="3498"/>
      <c r="F44" s="3498"/>
      <c r="G44" s="3498"/>
      <c r="H44" s="3498"/>
      <c r="I44" s="3498"/>
      <c r="J44" s="3498"/>
      <c r="K44" s="3498"/>
      <c r="L44" s="3498"/>
      <c r="M44" s="3498"/>
      <c r="N44" s="3498"/>
      <c r="O44" s="3498"/>
      <c r="P44" s="3498"/>
      <c r="Q44" s="3498"/>
      <c r="R44" s="3498"/>
      <c r="S44" s="3498"/>
      <c r="T44" s="3498"/>
      <c r="U44" s="3498"/>
      <c r="V44" s="3498"/>
      <c r="W44" s="3498"/>
      <c r="X44" s="3498"/>
      <c r="Y44" s="3498"/>
      <c r="Z44" s="3498"/>
      <c r="AA44" s="3498"/>
      <c r="AB44" s="3498">
        <f t="shared" ref="AB44:AQ44" si="28">AA44*(1+AB76)</f>
        <v>0</v>
      </c>
      <c r="AC44" s="3498">
        <f t="shared" si="28"/>
        <v>0</v>
      </c>
      <c r="AD44" s="3498">
        <f t="shared" si="28"/>
        <v>0</v>
      </c>
      <c r="AE44" s="3498">
        <f t="shared" si="28"/>
        <v>0</v>
      </c>
      <c r="AF44" s="3498">
        <f t="shared" si="28"/>
        <v>0</v>
      </c>
      <c r="AG44" s="3498">
        <f t="shared" si="28"/>
        <v>0</v>
      </c>
      <c r="AH44" s="3498">
        <f t="shared" si="28"/>
        <v>0</v>
      </c>
      <c r="AI44" s="3498">
        <f t="shared" si="28"/>
        <v>0</v>
      </c>
      <c r="AJ44" s="3498">
        <f t="shared" si="28"/>
        <v>0</v>
      </c>
      <c r="AK44" s="3498">
        <f t="shared" si="28"/>
        <v>0</v>
      </c>
      <c r="AL44" s="3498">
        <f t="shared" si="28"/>
        <v>0</v>
      </c>
      <c r="AM44" s="3498">
        <f t="shared" si="28"/>
        <v>0</v>
      </c>
      <c r="AN44" s="3498">
        <f t="shared" si="28"/>
        <v>0</v>
      </c>
      <c r="AO44" s="3498">
        <f t="shared" si="28"/>
        <v>0</v>
      </c>
      <c r="AP44" s="3498">
        <f t="shared" si="28"/>
        <v>0</v>
      </c>
      <c r="AQ44" s="3498">
        <f t="shared" si="28"/>
        <v>0</v>
      </c>
    </row>
    <row r="45" spans="1:45" s="3500" customFormat="1" hidden="1">
      <c r="A45" s="3510" t="s">
        <v>3810</v>
      </c>
      <c r="B45" s="3524"/>
      <c r="C45" s="3498"/>
      <c r="D45" s="3498"/>
      <c r="E45" s="3498"/>
      <c r="F45" s="3498"/>
      <c r="G45" s="3498"/>
      <c r="H45" s="3498"/>
      <c r="I45" s="3498"/>
      <c r="J45" s="3498"/>
      <c r="K45" s="3498"/>
      <c r="L45" s="3498"/>
      <c r="M45" s="3498"/>
      <c r="N45" s="3498"/>
      <c r="O45" s="3498"/>
      <c r="P45" s="3498"/>
      <c r="Q45" s="3498"/>
      <c r="R45" s="3498"/>
      <c r="S45" s="3498"/>
      <c r="T45" s="3498"/>
      <c r="U45" s="3498"/>
      <c r="V45" s="3498"/>
      <c r="W45" s="3498"/>
      <c r="X45" s="3498"/>
      <c r="Y45" s="3498"/>
      <c r="Z45" s="3498"/>
      <c r="AA45" s="3498"/>
      <c r="AB45" s="3498">
        <f t="shared" ref="AB45:AQ45" si="29">AA45*(1+AB76)</f>
        <v>0</v>
      </c>
      <c r="AC45" s="3498">
        <f t="shared" si="29"/>
        <v>0</v>
      </c>
      <c r="AD45" s="3498">
        <f t="shared" si="29"/>
        <v>0</v>
      </c>
      <c r="AE45" s="3498">
        <f t="shared" si="29"/>
        <v>0</v>
      </c>
      <c r="AF45" s="3498">
        <f t="shared" si="29"/>
        <v>0</v>
      </c>
      <c r="AG45" s="3498">
        <f t="shared" si="29"/>
        <v>0</v>
      </c>
      <c r="AH45" s="3498">
        <f t="shared" si="29"/>
        <v>0</v>
      </c>
      <c r="AI45" s="3498">
        <f t="shared" si="29"/>
        <v>0</v>
      </c>
      <c r="AJ45" s="3498">
        <f t="shared" si="29"/>
        <v>0</v>
      </c>
      <c r="AK45" s="3498">
        <f t="shared" si="29"/>
        <v>0</v>
      </c>
      <c r="AL45" s="3498">
        <f t="shared" si="29"/>
        <v>0</v>
      </c>
      <c r="AM45" s="3498">
        <f t="shared" si="29"/>
        <v>0</v>
      </c>
      <c r="AN45" s="3498">
        <f t="shared" si="29"/>
        <v>0</v>
      </c>
      <c r="AO45" s="3498">
        <f t="shared" si="29"/>
        <v>0</v>
      </c>
      <c r="AP45" s="3498">
        <f t="shared" si="29"/>
        <v>0</v>
      </c>
      <c r="AQ45" s="3498">
        <f t="shared" si="29"/>
        <v>0</v>
      </c>
    </row>
    <row r="46" spans="1:45" s="3500" customFormat="1" hidden="1">
      <c r="A46" s="3510" t="s">
        <v>3811</v>
      </c>
      <c r="B46" s="3524"/>
      <c r="C46" s="3492"/>
      <c r="D46" s="3492"/>
      <c r="E46" s="3492"/>
      <c r="F46" s="3492"/>
      <c r="G46" s="3492"/>
      <c r="H46" s="3492"/>
      <c r="I46" s="3492"/>
      <c r="J46" s="3492"/>
      <c r="K46" s="3492"/>
      <c r="L46" s="3492"/>
      <c r="M46" s="3492"/>
      <c r="N46" s="3492"/>
      <c r="O46" s="3492"/>
      <c r="P46" s="3492"/>
      <c r="Q46" s="3492"/>
      <c r="R46" s="3492"/>
      <c r="S46" s="3492"/>
      <c r="T46" s="3492"/>
      <c r="U46" s="3492"/>
      <c r="V46" s="3492"/>
      <c r="W46" s="3492"/>
      <c r="X46" s="3492"/>
      <c r="Y46" s="3492"/>
      <c r="Z46" s="3492"/>
      <c r="AA46" s="3492"/>
      <c r="AB46" s="3492">
        <f t="shared" ref="AB46:AO46" si="30">AB9-AB15</f>
        <v>73353761</v>
      </c>
      <c r="AC46" s="3492">
        <f t="shared" si="30"/>
        <v>88513988</v>
      </c>
      <c r="AD46" s="3492">
        <f t="shared" si="30"/>
        <v>99243290</v>
      </c>
      <c r="AE46" s="3492">
        <f t="shared" si="30"/>
        <v>108876488</v>
      </c>
      <c r="AF46" s="3492">
        <f t="shared" si="30"/>
        <v>118701195</v>
      </c>
      <c r="AG46" s="3492">
        <f t="shared" si="30"/>
        <v>122777006</v>
      </c>
      <c r="AH46" s="3492">
        <f t="shared" si="30"/>
        <v>126395634</v>
      </c>
      <c r="AI46" s="3492">
        <f t="shared" si="30"/>
        <v>130299182</v>
      </c>
      <c r="AJ46" s="3492">
        <f t="shared" si="30"/>
        <v>133063047</v>
      </c>
      <c r="AK46" s="3492">
        <f t="shared" si="30"/>
        <v>135826912</v>
      </c>
      <c r="AL46" s="3492">
        <f t="shared" si="30"/>
        <v>138595761</v>
      </c>
      <c r="AM46" s="3492">
        <f t="shared" si="30"/>
        <v>141364608</v>
      </c>
      <c r="AN46" s="3492">
        <f t="shared" si="30"/>
        <v>144133456</v>
      </c>
      <c r="AO46" s="3492">
        <f t="shared" si="30"/>
        <v>147187225</v>
      </c>
      <c r="AP46" s="3492">
        <f>AP9-AP15</f>
        <v>150240992</v>
      </c>
      <c r="AQ46" s="3492">
        <f>AQ9-AQ15</f>
        <v>153313811</v>
      </c>
      <c r="AR46" s="3493">
        <f>SUM(AB46:AP46)</f>
        <v>1858572545</v>
      </c>
      <c r="AS46" s="3520">
        <f>AR46-AP46/2</f>
        <v>1783452049</v>
      </c>
    </row>
    <row r="47" spans="1:45" s="3528" customFormat="1" ht="13.5" hidden="1" thickBot="1">
      <c r="A47" s="3525" t="s">
        <v>3812</v>
      </c>
      <c r="B47" s="3526"/>
      <c r="C47" s="3527">
        <f>SUM(C46:N46)</f>
        <v>0</v>
      </c>
      <c r="D47" s="3527"/>
      <c r="E47" s="3527"/>
      <c r="F47" s="3527"/>
      <c r="G47" s="3527"/>
      <c r="H47" s="3527"/>
      <c r="I47" s="3527"/>
      <c r="J47" s="3527"/>
      <c r="K47" s="3527"/>
      <c r="L47" s="3527"/>
      <c r="M47" s="3527"/>
      <c r="N47" s="3527"/>
      <c r="O47" s="3527">
        <f>SUM(O46:Z46)</f>
        <v>0</v>
      </c>
      <c r="P47" s="3527"/>
      <c r="Q47" s="3527"/>
      <c r="R47" s="3527"/>
      <c r="S47" s="3527"/>
      <c r="T47" s="3527"/>
      <c r="U47" s="3527"/>
      <c r="V47" s="3527"/>
      <c r="W47" s="3527"/>
      <c r="X47" s="3527"/>
      <c r="Y47" s="3527"/>
      <c r="Z47" s="3527"/>
      <c r="AA47" s="3527"/>
      <c r="AB47" s="3527">
        <f>ROUND(AB46/10000,2)</f>
        <v>7335.38</v>
      </c>
      <c r="AC47" s="3527">
        <f t="shared" ref="AC47:AQ47" si="31">ROUND(AC46/10000,2)</f>
        <v>8851.4</v>
      </c>
      <c r="AD47" s="3527">
        <f t="shared" si="31"/>
        <v>9924.33</v>
      </c>
      <c r="AE47" s="3527">
        <f t="shared" si="31"/>
        <v>10887.65</v>
      </c>
      <c r="AF47" s="3527">
        <f t="shared" si="31"/>
        <v>11870.12</v>
      </c>
      <c r="AG47" s="3527">
        <f t="shared" si="31"/>
        <v>12277.7</v>
      </c>
      <c r="AH47" s="3527">
        <f t="shared" si="31"/>
        <v>12639.56</v>
      </c>
      <c r="AI47" s="3527">
        <f t="shared" si="31"/>
        <v>13029.92</v>
      </c>
      <c r="AJ47" s="3527">
        <f t="shared" si="31"/>
        <v>13306.3</v>
      </c>
      <c r="AK47" s="3527">
        <f t="shared" si="31"/>
        <v>13582.69</v>
      </c>
      <c r="AL47" s="3527">
        <f t="shared" si="31"/>
        <v>13859.58</v>
      </c>
      <c r="AM47" s="3527">
        <f t="shared" si="31"/>
        <v>14136.46</v>
      </c>
      <c r="AN47" s="3527">
        <f t="shared" si="31"/>
        <v>14413.35</v>
      </c>
      <c r="AO47" s="3527">
        <f t="shared" si="31"/>
        <v>14718.72</v>
      </c>
      <c r="AP47" s="3527">
        <f t="shared" si="31"/>
        <v>15024.1</v>
      </c>
      <c r="AQ47" s="3527">
        <f t="shared" si="31"/>
        <v>15331.38</v>
      </c>
    </row>
    <row r="48" spans="1:45" s="3528" customFormat="1" ht="15.75" hidden="1" thickBot="1">
      <c r="A48" s="3529" t="s">
        <v>3813</v>
      </c>
      <c r="B48" s="3530">
        <v>0.04</v>
      </c>
      <c r="C48" s="3529"/>
      <c r="D48" s="3529"/>
      <c r="E48" s="3529"/>
      <c r="F48" s="3529"/>
      <c r="G48" s="3529"/>
      <c r="H48" s="3529"/>
      <c r="I48" s="3529"/>
      <c r="J48" s="3529"/>
      <c r="K48" s="3529"/>
      <c r="L48" s="3529"/>
      <c r="M48" s="3529"/>
      <c r="N48" s="3529"/>
      <c r="O48" s="3529"/>
      <c r="P48" s="3529"/>
      <c r="Q48" s="3529"/>
      <c r="R48" s="3529"/>
      <c r="S48" s="3529"/>
      <c r="T48" s="3529"/>
      <c r="U48" s="3529"/>
      <c r="V48" s="3529"/>
      <c r="W48" s="3529"/>
      <c r="X48" s="3529"/>
      <c r="Y48" s="3529"/>
      <c r="Z48" s="3529"/>
      <c r="AA48" s="3529"/>
      <c r="AB48" s="3529"/>
      <c r="AC48" s="3529"/>
      <c r="AD48" s="3529"/>
      <c r="AE48" s="3529"/>
      <c r="AF48" s="3529"/>
      <c r="AG48" s="3529"/>
      <c r="AH48" s="3529"/>
      <c r="AI48" s="3529"/>
      <c r="AJ48" s="3529"/>
      <c r="AK48" s="3529"/>
      <c r="AL48" s="3529"/>
      <c r="AM48" s="3529"/>
      <c r="AN48" s="3529"/>
      <c r="AO48" s="3529"/>
      <c r="AP48" s="3529"/>
      <c r="AQ48" s="3529"/>
      <c r="AR48" s="3531"/>
    </row>
    <row r="49" spans="1:45" s="3528" customFormat="1" hidden="1">
      <c r="A49" s="3529" t="s">
        <v>3814</v>
      </c>
      <c r="B49" s="3532"/>
      <c r="C49" s="3529"/>
      <c r="D49" s="3529"/>
      <c r="E49" s="3529"/>
      <c r="F49" s="3529"/>
      <c r="G49" s="3529"/>
      <c r="H49" s="3529"/>
      <c r="I49" s="3529"/>
      <c r="J49" s="3529"/>
      <c r="K49" s="3529"/>
      <c r="L49" s="3529"/>
      <c r="M49" s="3529"/>
      <c r="N49" s="3529"/>
      <c r="O49" s="3529"/>
      <c r="P49" s="3529"/>
      <c r="Q49" s="3529"/>
      <c r="R49" s="3529"/>
      <c r="S49" s="3529"/>
      <c r="T49" s="3529"/>
      <c r="U49" s="3529"/>
      <c r="V49" s="3529"/>
      <c r="W49" s="3529"/>
      <c r="X49" s="3529"/>
      <c r="Y49" s="3529"/>
      <c r="Z49" s="3533"/>
      <c r="AA49" s="3533">
        <v>0.32</v>
      </c>
      <c r="AB49" s="3529">
        <v>1</v>
      </c>
      <c r="AC49" s="3529">
        <v>1</v>
      </c>
      <c r="AD49" s="3529">
        <v>1</v>
      </c>
      <c r="AE49" s="3529">
        <v>1</v>
      </c>
      <c r="AF49" s="3529">
        <v>1</v>
      </c>
      <c r="AG49" s="3529">
        <v>1</v>
      </c>
      <c r="AH49" s="3529">
        <v>1</v>
      </c>
      <c r="AI49" s="3529">
        <v>1</v>
      </c>
      <c r="AJ49" s="3529">
        <v>1</v>
      </c>
      <c r="AK49" s="3529">
        <v>1</v>
      </c>
      <c r="AL49" s="3529">
        <v>1</v>
      </c>
      <c r="AM49" s="3529">
        <v>1</v>
      </c>
      <c r="AN49" s="3529">
        <v>1</v>
      </c>
      <c r="AO49" s="3529">
        <v>1</v>
      </c>
      <c r="AP49" s="3529">
        <v>1</v>
      </c>
      <c r="AQ49" s="3534">
        <f>65.75-SUM(AA49:AP49)</f>
        <v>50.43</v>
      </c>
    </row>
    <row r="50" spans="1:45" s="3528" customFormat="1" hidden="1">
      <c r="A50" s="3529" t="s">
        <v>3815</v>
      </c>
      <c r="B50" s="3535"/>
      <c r="C50" s="3529"/>
      <c r="D50" s="3529"/>
      <c r="E50" s="3529"/>
      <c r="F50" s="3529"/>
      <c r="G50" s="3529"/>
      <c r="H50" s="3529"/>
      <c r="I50" s="3529"/>
      <c r="J50" s="3529"/>
      <c r="K50" s="3529"/>
      <c r="L50" s="3529"/>
      <c r="M50" s="3529"/>
      <c r="N50" s="3529"/>
      <c r="O50" s="3529"/>
      <c r="P50" s="3529"/>
      <c r="Q50" s="3529"/>
      <c r="R50" s="3529"/>
      <c r="S50" s="3529"/>
      <c r="T50" s="3529"/>
      <c r="U50" s="3529"/>
      <c r="V50" s="3529"/>
      <c r="W50" s="3529"/>
      <c r="X50" s="3529"/>
      <c r="Y50" s="3529"/>
      <c r="Z50" s="3529"/>
      <c r="AA50" s="3529">
        <f>ROUND(AA47/(1+$B$48)^(AA49),2)</f>
        <v>0</v>
      </c>
      <c r="AB50" s="3529">
        <f>ROUND(AB47/(1+$B$48)^(AB49/2+SUM($AA$49:AA49)),2)</f>
        <v>7103.22</v>
      </c>
      <c r="AC50" s="3529">
        <f>ROUND(AC47/(1+$B$48)^(AC49/2+SUM($AA$49:AB49)),2)</f>
        <v>8241.6</v>
      </c>
      <c r="AD50" s="3529">
        <f>ROUND(AD47/(1+$B$48)^(AD49/2+SUM($AA$49:AC49)),2)</f>
        <v>8885.2000000000007</v>
      </c>
      <c r="AE50" s="3529">
        <f>ROUND(AE47/(1+$B$48)^(AE49/2+SUM($AA$49:AD49)),2)</f>
        <v>9372.74</v>
      </c>
      <c r="AF50" s="3529">
        <f>ROUND(AF47/(1+$B$48)^(AF49/2+SUM($AA$49:AE49)),2)</f>
        <v>9825.49</v>
      </c>
      <c r="AG50" s="3529">
        <f>ROUND(AG47/(1+$B$48)^(AG49/2+SUM($AA$49:AF49)),2)</f>
        <v>9771.99</v>
      </c>
      <c r="AH50" s="3529">
        <f>ROUND(AH47/(1+$B$48)^(AH49/2+SUM($AA$49:AG49)),2)</f>
        <v>9673.08</v>
      </c>
      <c r="AI50" s="3529">
        <f>ROUND(AI47/(1+$B$48)^(AI49/2+SUM($AA$49:AH49)),2)</f>
        <v>9588.2900000000009</v>
      </c>
      <c r="AJ50" s="3529">
        <f>ROUND(AJ47/(1+$B$48)^(AJ49/2+SUM($AA$49:AI49)),2)</f>
        <v>9415.06</v>
      </c>
      <c r="AK50" s="3529">
        <f>ROUND(AK47/(1+$B$48)^(AK49/2+SUM($AA$49:AJ49)),2)</f>
        <v>9240.99</v>
      </c>
      <c r="AL50" s="3529">
        <f>ROUND(AL47/(1+$B$48)^(AL49/2+SUM($AA$49:AK49)),2)</f>
        <v>9066.7000000000007</v>
      </c>
      <c r="AM50" s="3529">
        <f>ROUND(AM47/(1+$B$48)^(AM49/2+SUM($AA$49:AL49)),2)</f>
        <v>8892.15</v>
      </c>
      <c r="AN50" s="3529">
        <f>ROUND(AN47/(1+$B$48)^(AN49/2+SUM($AA$49:AM49)),2)</f>
        <v>8717.61</v>
      </c>
      <c r="AO50" s="3529">
        <f>ROUND(AO47/(1+$B$48)^(AO49/2+SUM($AA$49:AN49)),2)</f>
        <v>8559.91</v>
      </c>
      <c r="AP50" s="3529">
        <f>ROUND(AP47/(1+$B$48)^(AP49/2+SUM($AA$49:AO49)),2)</f>
        <v>8401.4500000000007</v>
      </c>
      <c r="AQ50" s="3536">
        <f>ROUND(AQ47/($B$48-AQ73)*(1-((1+AQ73)/(1+$B$48))^AQ49)/(1+B48)^SUM(AA49:AP49),2)</f>
        <v>262463.88</v>
      </c>
      <c r="AR50" s="3537">
        <v>2002368813.25</v>
      </c>
    </row>
    <row r="51" spans="1:45" s="3478" customFormat="1" hidden="1">
      <c r="A51" s="3538"/>
      <c r="B51" s="3539"/>
      <c r="C51" s="3540"/>
      <c r="D51" s="3540"/>
      <c r="E51" s="3540"/>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1">
        <f>AR46-AR50</f>
        <v>-143796268.25</v>
      </c>
      <c r="AS51" s="3541"/>
    </row>
    <row r="52" spans="1:45" s="3478" customFormat="1" hidden="1">
      <c r="A52" s="3542" t="s">
        <v>3816</v>
      </c>
      <c r="B52" s="3543" t="s">
        <v>3817</v>
      </c>
      <c r="C52" s="3543" t="s">
        <v>3818</v>
      </c>
      <c r="D52" s="3480"/>
      <c r="E52" s="3480"/>
      <c r="F52" s="3480"/>
      <c r="G52" s="3480"/>
      <c r="H52" s="3480"/>
      <c r="I52" s="3480"/>
      <c r="J52" s="3480"/>
      <c r="K52" s="3480"/>
      <c r="L52" s="3480"/>
      <c r="M52" s="3480"/>
      <c r="N52" s="3480"/>
      <c r="O52" s="3480"/>
      <c r="P52" s="3480"/>
      <c r="Q52" s="3480"/>
      <c r="R52" s="3480"/>
      <c r="S52" s="3480"/>
      <c r="T52" s="3480"/>
      <c r="U52" s="3480"/>
      <c r="V52" s="3480"/>
      <c r="W52" s="3480"/>
      <c r="X52" s="3480"/>
      <c r="Y52" s="3480"/>
      <c r="Z52" s="3480"/>
      <c r="AB52" s="3480"/>
      <c r="AC52" s="3480"/>
      <c r="AD52" s="3480"/>
      <c r="AE52" s="3480"/>
      <c r="AF52" s="3480"/>
      <c r="AG52" s="3480"/>
      <c r="AH52" s="3480"/>
      <c r="AI52" s="3480"/>
      <c r="AJ52" s="3480"/>
      <c r="AK52" s="3480"/>
      <c r="AL52" s="3480"/>
      <c r="AM52" s="3480"/>
      <c r="AN52" s="3480"/>
      <c r="AO52" s="3480"/>
      <c r="AP52" s="3480"/>
      <c r="AQ52" s="3480"/>
    </row>
    <row r="53" spans="1:45" s="3478" customFormat="1" hidden="1">
      <c r="A53" s="3542">
        <f>SUM(AA50:AQ50)</f>
        <v>397219.36</v>
      </c>
      <c r="B53" s="3544">
        <f>A53</f>
        <v>397219.36</v>
      </c>
      <c r="C53" s="3544">
        <f>B53-A53</f>
        <v>0</v>
      </c>
      <c r="D53" s="3545"/>
      <c r="E53" s="3545"/>
      <c r="F53" s="3545"/>
      <c r="G53" s="3545"/>
      <c r="H53" s="3545"/>
      <c r="I53" s="3545"/>
      <c r="J53" s="3545"/>
      <c r="K53" s="3545"/>
      <c r="L53" s="3545"/>
      <c r="M53" s="3545"/>
      <c r="N53" s="3545"/>
      <c r="O53" s="3545"/>
      <c r="P53" s="3545"/>
      <c r="Q53" s="3545"/>
      <c r="R53" s="3545"/>
      <c r="S53" s="3545"/>
      <c r="T53" s="3545"/>
      <c r="U53" s="3545"/>
      <c r="V53" s="3545"/>
      <c r="W53" s="3545"/>
      <c r="X53" s="3545"/>
      <c r="Y53" s="3545"/>
      <c r="Z53" s="3545"/>
      <c r="AB53" s="3545"/>
      <c r="AC53" s="3545"/>
      <c r="AD53" s="3545"/>
      <c r="AE53" s="3545"/>
      <c r="AF53" s="3545"/>
      <c r="AG53" s="3545"/>
      <c r="AH53" s="3545"/>
      <c r="AI53" s="3545"/>
      <c r="AJ53" s="3545"/>
      <c r="AK53" s="3545"/>
      <c r="AL53" s="3545"/>
      <c r="AM53" s="3545"/>
      <c r="AN53" s="3545"/>
      <c r="AO53" s="3545"/>
      <c r="AP53" s="3545"/>
      <c r="AQ53" s="3545"/>
    </row>
    <row r="54" spans="1:45" s="3478" customFormat="1" hidden="1">
      <c r="AA54" s="3543"/>
    </row>
    <row r="55" spans="1:45" s="3478" customFormat="1" hidden="1"/>
    <row r="56" spans="1:45" s="3478" customFormat="1" hidden="1">
      <c r="Z56" s="3543" t="s">
        <v>3819</v>
      </c>
      <c r="AA56" s="3544"/>
      <c r="AB56" s="3544"/>
      <c r="AC56" s="3544"/>
      <c r="AD56" s="3544"/>
      <c r="AE56" s="3544"/>
      <c r="AF56" s="3544"/>
      <c r="AG56" s="3544"/>
      <c r="AH56" s="3544"/>
      <c r="AI56" s="3544"/>
      <c r="AJ56" s="3544"/>
      <c r="AK56" s="3544"/>
      <c r="AL56" s="3544"/>
      <c r="AM56" s="3544"/>
      <c r="AN56" s="3544"/>
      <c r="AO56" s="3544"/>
      <c r="AP56" s="3544"/>
      <c r="AQ56" s="3544"/>
    </row>
    <row r="57" spans="1:45" s="3478" customFormat="1" hidden="1">
      <c r="Z57" s="3543" t="s">
        <v>3818</v>
      </c>
      <c r="AA57" s="3544"/>
      <c r="AB57" s="3544"/>
      <c r="AC57" s="3544"/>
      <c r="AD57" s="3544"/>
      <c r="AE57" s="3544"/>
      <c r="AF57" s="3544"/>
      <c r="AG57" s="3544"/>
      <c r="AH57" s="3544"/>
      <c r="AI57" s="3544"/>
      <c r="AJ57" s="3544"/>
      <c r="AK57" s="3544"/>
      <c r="AL57" s="3544"/>
      <c r="AM57" s="3544"/>
      <c r="AN57" s="3544"/>
      <c r="AO57" s="3544"/>
      <c r="AP57" s="3544"/>
      <c r="AQ57" s="3544"/>
    </row>
    <row r="58" spans="1:45" s="3478" customFormat="1" ht="15" hidden="1">
      <c r="A58" s="3546" t="s">
        <v>3820</v>
      </c>
      <c r="B58" s="3547" t="s">
        <v>3821</v>
      </c>
      <c r="C58" s="3547" t="s">
        <v>3822</v>
      </c>
      <c r="D58" s="3548"/>
      <c r="F58" s="3549" t="s">
        <v>3820</v>
      </c>
      <c r="G58" s="3550" t="s">
        <v>3823</v>
      </c>
      <c r="H58" s="3550" t="s">
        <v>3824</v>
      </c>
      <c r="I58" s="3550" t="s">
        <v>3825</v>
      </c>
      <c r="J58" s="3548"/>
      <c r="K58" s="3548"/>
      <c r="L58" s="3548"/>
      <c r="M58" s="3548"/>
      <c r="N58" s="3548"/>
      <c r="O58" s="3548"/>
      <c r="P58" s="3548"/>
      <c r="Q58" s="3548"/>
      <c r="R58" s="3548"/>
      <c r="S58" s="3548"/>
      <c r="T58" s="3548"/>
      <c r="U58" s="3548"/>
      <c r="V58" s="3548"/>
      <c r="W58" s="3548"/>
      <c r="X58" s="3548"/>
      <c r="Y58" s="3548"/>
      <c r="Z58" s="3548"/>
      <c r="AA58" s="3548"/>
      <c r="AB58" s="3548"/>
      <c r="AC58" s="3548"/>
      <c r="AD58" s="3548"/>
      <c r="AE58" s="3551"/>
      <c r="AF58" s="3548"/>
      <c r="AG58" s="3548"/>
      <c r="AH58" s="3548"/>
      <c r="AI58" s="3548"/>
      <c r="AJ58" s="3548"/>
      <c r="AK58" s="3548"/>
      <c r="AL58" s="3548"/>
      <c r="AM58" s="3548"/>
      <c r="AN58" s="3548"/>
      <c r="AO58" s="3548"/>
      <c r="AP58" s="3548"/>
      <c r="AQ58" s="3548"/>
      <c r="AR58" s="3548"/>
      <c r="AS58" s="3548"/>
    </row>
    <row r="59" spans="1:45" s="3478" customFormat="1" ht="33.75" hidden="1">
      <c r="A59" s="3552" t="s">
        <v>3826</v>
      </c>
      <c r="B59" s="3553">
        <v>101252.65000000002</v>
      </c>
      <c r="C59" s="3553">
        <f>344+1011</f>
        <v>1355</v>
      </c>
      <c r="D59" s="3548"/>
      <c r="F59" s="3929" t="s">
        <v>3826</v>
      </c>
      <c r="G59" s="3554" t="s">
        <v>3827</v>
      </c>
      <c r="H59" s="3554" t="s">
        <v>3828</v>
      </c>
      <c r="I59" s="3554" t="s">
        <v>3829</v>
      </c>
      <c r="J59" s="3548"/>
      <c r="K59" s="3548"/>
      <c r="L59" s="3548"/>
      <c r="M59" s="3548"/>
      <c r="N59" s="3548"/>
      <c r="O59" s="3548"/>
      <c r="P59" s="3548"/>
      <c r="Q59" s="3548"/>
      <c r="R59" s="3548"/>
      <c r="S59" s="3548"/>
      <c r="T59" s="3548"/>
      <c r="U59" s="3548"/>
      <c r="V59" s="3548"/>
      <c r="W59" s="3548"/>
      <c r="X59" s="3548"/>
      <c r="Y59" s="3548"/>
      <c r="Z59" s="3548"/>
      <c r="AA59" s="3548"/>
      <c r="AB59" s="3548"/>
      <c r="AC59" s="3548"/>
      <c r="AD59" s="3548"/>
      <c r="AE59" s="3551"/>
      <c r="AF59" s="3548"/>
      <c r="AG59" s="3548"/>
      <c r="AH59" s="3548"/>
      <c r="AI59" s="3548"/>
      <c r="AJ59" s="3548"/>
      <c r="AK59" s="3548"/>
      <c r="AL59" s="3548"/>
      <c r="AM59" s="3548"/>
      <c r="AN59" s="3548"/>
      <c r="AO59" s="3548"/>
      <c r="AP59" s="3548"/>
      <c r="AQ59" s="3548"/>
      <c r="AR59" s="3548"/>
      <c r="AS59" s="3548"/>
    </row>
    <row r="60" spans="1:45" s="3478" customFormat="1" ht="21.75" hidden="1">
      <c r="A60" s="3552" t="s">
        <v>3830</v>
      </c>
      <c r="B60" s="3553">
        <v>7856.1999999999953</v>
      </c>
      <c r="C60" s="3553">
        <v>490</v>
      </c>
      <c r="D60" s="3548"/>
      <c r="F60" s="3930"/>
      <c r="G60" s="3554" t="s">
        <v>3831</v>
      </c>
      <c r="H60" s="3554" t="s">
        <v>3832</v>
      </c>
      <c r="I60" s="3554" t="s">
        <v>3833</v>
      </c>
      <c r="J60" s="3548"/>
      <c r="K60" s="3555"/>
      <c r="L60" s="3555"/>
      <c r="M60" s="3555"/>
      <c r="N60" s="3555"/>
      <c r="O60" s="3548"/>
      <c r="P60" s="3548"/>
      <c r="Q60" s="3548"/>
      <c r="R60" s="3548"/>
      <c r="S60" s="3548"/>
      <c r="T60" s="3548"/>
      <c r="U60" s="3548"/>
      <c r="V60" s="3548"/>
      <c r="W60" s="3548"/>
      <c r="X60" s="3548"/>
      <c r="Y60" s="3548"/>
      <c r="Z60" s="3548"/>
      <c r="AA60" s="3548"/>
      <c r="AB60" s="3548"/>
      <c r="AC60" s="3548"/>
      <c r="AD60" s="3548"/>
      <c r="AE60" s="3548"/>
      <c r="AF60" s="3548"/>
      <c r="AG60" s="3548"/>
      <c r="AH60" s="3548"/>
      <c r="AI60" s="3548"/>
      <c r="AJ60" s="3548"/>
      <c r="AK60" s="3548"/>
      <c r="AL60" s="3548"/>
      <c r="AM60" s="3548"/>
      <c r="AN60" s="3548"/>
      <c r="AO60" s="3548"/>
      <c r="AP60" s="3548"/>
      <c r="AQ60" s="3548"/>
      <c r="AR60" s="3548"/>
      <c r="AS60" s="3548"/>
    </row>
    <row r="61" spans="1:45" s="3478" customFormat="1" hidden="1">
      <c r="A61" s="3552" t="s">
        <v>3834</v>
      </c>
      <c r="B61" s="3553">
        <v>24817.329999999831</v>
      </c>
      <c r="C61" s="3553">
        <v>794</v>
      </c>
      <c r="D61" s="3548"/>
      <c r="F61" s="3930"/>
      <c r="G61" s="3554">
        <v>547</v>
      </c>
      <c r="H61" s="3554">
        <v>437</v>
      </c>
      <c r="I61" s="3554">
        <f>B63-H61-G61</f>
        <v>371</v>
      </c>
      <c r="J61" s="3548"/>
      <c r="K61" s="3555"/>
      <c r="L61" s="3555"/>
      <c r="M61" s="3555"/>
      <c r="N61" s="3555"/>
      <c r="O61" s="3548"/>
      <c r="P61" s="3548"/>
      <c r="Q61" s="3548"/>
      <c r="R61" s="3548"/>
      <c r="S61" s="3548"/>
      <c r="T61" s="3548"/>
      <c r="U61" s="3548"/>
      <c r="V61" s="3548"/>
      <c r="W61" s="3548"/>
      <c r="X61" s="3548"/>
      <c r="Y61" s="3548"/>
      <c r="Z61" s="3548"/>
      <c r="AA61" s="3548"/>
      <c r="AB61" s="3548"/>
      <c r="AC61" s="3548"/>
      <c r="AD61" s="3548"/>
      <c r="AE61" s="3551"/>
      <c r="AF61" s="3548"/>
      <c r="AG61" s="3548"/>
      <c r="AH61" s="3548"/>
      <c r="AI61" s="3548"/>
      <c r="AJ61" s="3548"/>
      <c r="AK61" s="3548"/>
      <c r="AL61" s="3548"/>
      <c r="AM61" s="3548"/>
      <c r="AN61" s="3548"/>
      <c r="AO61" s="3548"/>
      <c r="AP61" s="3548"/>
      <c r="AQ61" s="3548"/>
      <c r="AR61" s="3548"/>
      <c r="AS61" s="3548"/>
    </row>
    <row r="62" spans="1:45" s="3478" customFormat="1" hidden="1">
      <c r="A62" s="3552" t="s">
        <v>3725</v>
      </c>
      <c r="B62" s="3553">
        <f>SUM(B59:B61)</f>
        <v>133926.17999999985</v>
      </c>
      <c r="C62" s="3553">
        <f>SUM(C59:C61)</f>
        <v>2639</v>
      </c>
      <c r="D62" s="3548"/>
      <c r="F62" s="3931"/>
      <c r="G62" s="3554">
        <v>38885.430000000146</v>
      </c>
      <c r="H62" s="3554">
        <v>33269.46</v>
      </c>
      <c r="I62" s="3554">
        <f>B59-G62-H62</f>
        <v>29097.759999999878</v>
      </c>
      <c r="J62" s="3548"/>
      <c r="K62" s="3555"/>
      <c r="L62" s="3555"/>
      <c r="M62" s="3555"/>
      <c r="N62" s="3555"/>
      <c r="O62" s="3548"/>
      <c r="P62" s="3548"/>
      <c r="Q62" s="3548"/>
      <c r="R62" s="3548"/>
      <c r="S62" s="3548"/>
      <c r="T62" s="3548"/>
      <c r="U62" s="3548"/>
      <c r="V62" s="3548"/>
      <c r="W62" s="3548"/>
      <c r="X62" s="3548"/>
      <c r="Y62" s="3548"/>
      <c r="Z62" s="3548"/>
      <c r="AA62" s="3548"/>
      <c r="AB62" s="3548"/>
      <c r="AC62" s="3548"/>
      <c r="AD62" s="3548"/>
      <c r="AE62" s="3551"/>
      <c r="AF62" s="3548"/>
      <c r="AG62" s="3548"/>
      <c r="AH62" s="3548"/>
      <c r="AI62" s="3548"/>
      <c r="AJ62" s="3548"/>
      <c r="AK62" s="3548"/>
      <c r="AL62" s="3548"/>
      <c r="AM62" s="3548"/>
      <c r="AN62" s="3548"/>
      <c r="AO62" s="3548"/>
      <c r="AP62" s="3548"/>
      <c r="AQ62" s="3548"/>
      <c r="AR62" s="3548"/>
      <c r="AS62" s="3548"/>
    </row>
    <row r="63" spans="1:45" s="3478" customFormat="1" hidden="1">
      <c r="A63" s="3510" t="s">
        <v>3835</v>
      </c>
      <c r="B63" s="3553">
        <v>1355</v>
      </c>
      <c r="D63" s="3548"/>
      <c r="F63" s="3556" t="s">
        <v>3836</v>
      </c>
      <c r="G63" s="3557">
        <f>G61*(1-J74)</f>
        <v>547</v>
      </c>
      <c r="H63" s="3557">
        <f>(G61+H61)*(1-O74)</f>
        <v>984</v>
      </c>
      <c r="I63" s="3557">
        <f>(G61+H61+I61)*(1-P74)</f>
        <v>1355</v>
      </c>
      <c r="J63" s="3548"/>
      <c r="K63" s="3555"/>
      <c r="L63" s="3555"/>
      <c r="M63" s="3555"/>
      <c r="N63" s="3555"/>
      <c r="O63" s="3548"/>
      <c r="P63" s="3548"/>
      <c r="Q63" s="3548"/>
      <c r="R63" s="3548"/>
      <c r="S63" s="3548"/>
      <c r="T63" s="3548"/>
      <c r="U63" s="3548"/>
      <c r="V63" s="3548"/>
      <c r="W63" s="3548"/>
      <c r="X63" s="3548"/>
      <c r="Y63" s="3548"/>
      <c r="Z63" s="3548"/>
      <c r="AA63" s="3548"/>
      <c r="AB63" s="3543"/>
      <c r="AC63" s="3551"/>
      <c r="AD63" s="3551"/>
      <c r="AE63" s="3551"/>
      <c r="AF63" s="3551"/>
      <c r="AG63" s="3551"/>
      <c r="AH63" s="3551"/>
      <c r="AI63" s="3551"/>
      <c r="AJ63" s="3551"/>
      <c r="AK63" s="3551"/>
      <c r="AL63" s="3551"/>
      <c r="AM63" s="3551"/>
      <c r="AN63" s="3551"/>
      <c r="AO63" s="3551"/>
      <c r="AP63" s="3551"/>
      <c r="AQ63" s="3551"/>
      <c r="AR63" s="3551"/>
      <c r="AS63" s="3551"/>
    </row>
    <row r="64" spans="1:45" s="3478" customFormat="1" hidden="1">
      <c r="A64" s="3521" t="s">
        <v>3837</v>
      </c>
      <c r="B64" s="3553">
        <f>[6]成本法!$C$33</f>
        <v>80559</v>
      </c>
      <c r="D64" s="3548"/>
      <c r="F64" s="3558" t="s">
        <v>3830</v>
      </c>
      <c r="G64" s="3557">
        <f>O62*(1-J79)</f>
        <v>0</v>
      </c>
      <c r="H64" s="3557">
        <f>O62*(1-O79)</f>
        <v>0</v>
      </c>
      <c r="I64" s="3557">
        <f>O62*(1-P79)</f>
        <v>0</v>
      </c>
      <c r="J64" s="3548"/>
      <c r="K64" s="3548"/>
      <c r="L64" s="3548"/>
      <c r="M64" s="3548"/>
      <c r="N64" s="3548"/>
      <c r="O64" s="3548"/>
      <c r="P64" s="3548"/>
      <c r="Q64" s="3548"/>
      <c r="R64" s="3548"/>
      <c r="S64" s="3548"/>
      <c r="T64" s="3548"/>
      <c r="U64" s="3548"/>
      <c r="V64" s="3548"/>
      <c r="W64" s="3548"/>
      <c r="X64" s="3548"/>
      <c r="Y64" s="3548"/>
      <c r="Z64" s="3548"/>
      <c r="AA64" s="3548"/>
      <c r="AB64" s="3543"/>
      <c r="AC64" s="3551"/>
      <c r="AD64" s="3551"/>
      <c r="AE64" s="3551"/>
      <c r="AF64" s="3551"/>
      <c r="AG64" s="3551"/>
      <c r="AH64" s="3551"/>
      <c r="AI64" s="3551"/>
      <c r="AJ64" s="3551"/>
      <c r="AK64" s="3551"/>
      <c r="AL64" s="3551"/>
      <c r="AM64" s="3551"/>
      <c r="AN64" s="3551"/>
      <c r="AO64" s="3551"/>
      <c r="AP64" s="3551"/>
      <c r="AQ64" s="3551"/>
      <c r="AR64" s="3551"/>
      <c r="AS64" s="3551"/>
    </row>
    <row r="65" spans="1:66" s="3478" customFormat="1" hidden="1">
      <c r="A65" s="3521" t="s">
        <v>3838</v>
      </c>
      <c r="B65" s="3553">
        <f>[6]成本法!$C$51</f>
        <v>104796</v>
      </c>
      <c r="D65" s="3548"/>
      <c r="F65" s="3558"/>
      <c r="G65" s="3557"/>
      <c r="H65" s="3557"/>
      <c r="I65" s="3557"/>
      <c r="J65" s="3548"/>
      <c r="K65" s="3548"/>
      <c r="L65" s="3548"/>
      <c r="M65" s="3548"/>
      <c r="N65" s="3548"/>
      <c r="O65" s="3548"/>
      <c r="P65" s="3548"/>
      <c r="Q65" s="3548"/>
      <c r="R65" s="3548"/>
      <c r="S65" s="3548"/>
      <c r="T65" s="3548"/>
      <c r="U65" s="3548"/>
      <c r="V65" s="3548"/>
      <c r="W65" s="3548"/>
      <c r="X65" s="3548"/>
      <c r="Y65" s="3548"/>
      <c r="Z65" s="3548"/>
      <c r="AA65" s="3548"/>
      <c r="AB65" s="3543"/>
      <c r="AC65" s="3551"/>
      <c r="AD65" s="3551"/>
      <c r="AE65" s="3551"/>
      <c r="AF65" s="3551"/>
      <c r="AG65" s="3551"/>
      <c r="AH65" s="3551"/>
      <c r="AI65" s="3551"/>
      <c r="AJ65" s="3551"/>
      <c r="AK65" s="3551"/>
      <c r="AL65" s="3551"/>
      <c r="AM65" s="3551"/>
      <c r="AN65" s="3551"/>
      <c r="AO65" s="3551"/>
      <c r="AP65" s="3551"/>
      <c r="AQ65" s="3551"/>
      <c r="AR65" s="3551"/>
      <c r="AS65" s="3551"/>
    </row>
    <row r="66" spans="1:66" s="3478" customFormat="1" hidden="1">
      <c r="A66" s="3521" t="s">
        <v>3839</v>
      </c>
      <c r="B66" s="3553">
        <v>38894.370000000003</v>
      </c>
      <c r="D66" s="3548"/>
      <c r="F66" s="3558" t="s">
        <v>3834</v>
      </c>
      <c r="G66" s="3557">
        <f>O60*(1-J82)</f>
        <v>0</v>
      </c>
      <c r="H66" s="3557">
        <f>O60*(1-O82)</f>
        <v>0</v>
      </c>
      <c r="I66" s="3554"/>
      <c r="J66" s="3548"/>
      <c r="K66" s="3548"/>
      <c r="L66" s="3548"/>
      <c r="M66" s="3548"/>
      <c r="N66" s="3548"/>
      <c r="O66" s="3548"/>
      <c r="P66" s="3548"/>
      <c r="Q66" s="3548"/>
      <c r="R66" s="3548"/>
      <c r="S66" s="3548"/>
      <c r="T66" s="3548"/>
      <c r="U66" s="3548"/>
      <c r="V66" s="3548"/>
      <c r="W66" s="3548"/>
      <c r="X66" s="3548"/>
      <c r="Y66" s="3548"/>
      <c r="Z66" s="3548"/>
      <c r="AA66" s="3548"/>
      <c r="AB66" s="3543"/>
      <c r="AC66" s="3551"/>
      <c r="AD66" s="3551"/>
      <c r="AE66" s="3551"/>
      <c r="AF66" s="3551"/>
      <c r="AG66" s="3551"/>
      <c r="AH66" s="3551"/>
      <c r="AI66" s="3551"/>
      <c r="AJ66" s="3551"/>
      <c r="AK66" s="3551"/>
      <c r="AL66" s="3551"/>
      <c r="AM66" s="3551"/>
      <c r="AN66" s="3551"/>
      <c r="AO66" s="3551"/>
      <c r="AP66" s="3551"/>
      <c r="AQ66" s="3551"/>
      <c r="AR66" s="3551"/>
      <c r="AS66" s="3551"/>
    </row>
    <row r="67" spans="1:66" s="3478" customFormat="1" hidden="1">
      <c r="Z67" s="3543"/>
      <c r="AA67" s="3479"/>
      <c r="AB67" s="3479"/>
      <c r="AC67" s="3479"/>
      <c r="AD67" s="3479"/>
      <c r="AE67" s="3479"/>
      <c r="AF67" s="3479"/>
      <c r="AG67" s="3479"/>
      <c r="AH67" s="3479"/>
      <c r="AI67" s="3479"/>
      <c r="AJ67" s="3479"/>
      <c r="AK67" s="3479"/>
      <c r="AL67" s="3479"/>
      <c r="AM67" s="3479"/>
      <c r="AN67" s="3479"/>
      <c r="AO67" s="3479"/>
      <c r="AP67" s="3479"/>
      <c r="AQ67" s="3479"/>
    </row>
    <row r="68" spans="1:66" s="3478" customFormat="1" hidden="1">
      <c r="G68" s="3541"/>
      <c r="H68" s="3541"/>
      <c r="I68" s="3541"/>
      <c r="Z68" s="3543"/>
      <c r="AA68" s="3479"/>
      <c r="AB68" s="3479"/>
      <c r="AC68" s="3479"/>
      <c r="AD68" s="3479"/>
      <c r="AE68" s="3479"/>
      <c r="AF68" s="3479"/>
      <c r="AG68" s="3479"/>
      <c r="AH68" s="3479"/>
      <c r="AI68" s="3479"/>
      <c r="AJ68" s="3479"/>
      <c r="AK68" s="3479"/>
      <c r="AL68" s="3479"/>
      <c r="AM68" s="3479"/>
      <c r="AN68" s="3479"/>
      <c r="AO68" s="3479"/>
      <c r="AP68" s="3479"/>
      <c r="AQ68" s="3479"/>
    </row>
    <row r="69" spans="1:66" s="3478" customFormat="1" hidden="1">
      <c r="G69" s="3541"/>
      <c r="Z69" s="3543"/>
      <c r="AA69" s="3479"/>
      <c r="AB69" s="3479"/>
      <c r="AC69" s="3479"/>
      <c r="AD69" s="3479"/>
      <c r="AE69" s="3479"/>
      <c r="AF69" s="3479"/>
      <c r="AG69" s="3479"/>
      <c r="AH69" s="3479"/>
      <c r="AI69" s="3479"/>
      <c r="AJ69" s="3479"/>
      <c r="AK69" s="3479"/>
      <c r="AL69" s="3479"/>
      <c r="AM69" s="3479"/>
      <c r="AN69" s="3479"/>
      <c r="AO69" s="3479"/>
      <c r="AP69" s="3479"/>
      <c r="AQ69" s="3479"/>
    </row>
    <row r="70" spans="1:66" s="3478" customFormat="1" hidden="1">
      <c r="AA70" s="3559"/>
    </row>
    <row r="71" spans="1:66" s="3478" customFormat="1">
      <c r="A71" s="3540" t="s">
        <v>3840</v>
      </c>
      <c r="D71" s="3560">
        <f t="shared" ref="D71:I71" si="32">ROUND(C71*(1+D73),2)</f>
        <v>0</v>
      </c>
      <c r="E71" s="3560">
        <f t="shared" si="32"/>
        <v>0</v>
      </c>
      <c r="F71" s="3560">
        <f t="shared" si="32"/>
        <v>0</v>
      </c>
      <c r="G71" s="3560">
        <f t="shared" si="32"/>
        <v>0</v>
      </c>
      <c r="H71" s="3560">
        <f t="shared" si="32"/>
        <v>0</v>
      </c>
      <c r="I71" s="3560">
        <f t="shared" si="32"/>
        <v>0</v>
      </c>
      <c r="J71" s="3560">
        <v>0</v>
      </c>
      <c r="K71" s="3560">
        <v>0</v>
      </c>
      <c r="L71" s="3560">
        <v>3</v>
      </c>
      <c r="M71" s="3560">
        <f>L71</f>
        <v>3</v>
      </c>
      <c r="N71" s="3560">
        <f>M71</f>
        <v>3</v>
      </c>
      <c r="O71" s="3560">
        <v>3</v>
      </c>
      <c r="P71" s="3560">
        <f>O71</f>
        <v>3</v>
      </c>
      <c r="Q71" s="3560">
        <f t="shared" ref="Q71:Z71" si="33">P71</f>
        <v>3</v>
      </c>
      <c r="R71" s="3560">
        <f t="shared" si="33"/>
        <v>3</v>
      </c>
      <c r="S71" s="3560">
        <f t="shared" si="33"/>
        <v>3</v>
      </c>
      <c r="T71" s="3560">
        <f t="shared" si="33"/>
        <v>3</v>
      </c>
      <c r="U71" s="3560">
        <f t="shared" si="33"/>
        <v>3</v>
      </c>
      <c r="V71" s="3560">
        <f t="shared" si="33"/>
        <v>3</v>
      </c>
      <c r="W71" s="3560">
        <f t="shared" si="33"/>
        <v>3</v>
      </c>
      <c r="X71" s="3560">
        <f t="shared" si="33"/>
        <v>3</v>
      </c>
      <c r="Y71" s="3560">
        <f t="shared" si="33"/>
        <v>3</v>
      </c>
      <c r="Z71" s="3560">
        <f t="shared" si="33"/>
        <v>3</v>
      </c>
      <c r="AA71" s="3560"/>
      <c r="AB71" s="3560">
        <v>3.4</v>
      </c>
      <c r="AC71" s="3560">
        <f>ROUND(AB71*(1+AC73),2)</f>
        <v>3.57</v>
      </c>
      <c r="AD71" s="3560">
        <f t="shared" ref="AD71:AQ71" si="34">ROUND(AC71*(1+AD73),2)</f>
        <v>3.75</v>
      </c>
      <c r="AE71" s="3560">
        <f t="shared" si="34"/>
        <v>3.86</v>
      </c>
      <c r="AF71" s="3560">
        <f t="shared" si="34"/>
        <v>3.98</v>
      </c>
      <c r="AG71" s="3560">
        <f t="shared" si="34"/>
        <v>4.0999999999999996</v>
      </c>
      <c r="AH71" s="3560">
        <f t="shared" si="34"/>
        <v>4.22</v>
      </c>
      <c r="AI71" s="3560">
        <f t="shared" si="34"/>
        <v>4.3499999999999996</v>
      </c>
      <c r="AJ71" s="3560">
        <f t="shared" si="34"/>
        <v>4.4400000000000004</v>
      </c>
      <c r="AK71" s="3560">
        <f t="shared" si="34"/>
        <v>4.53</v>
      </c>
      <c r="AL71" s="3560">
        <f t="shared" si="34"/>
        <v>4.62</v>
      </c>
      <c r="AM71" s="3560">
        <f t="shared" si="34"/>
        <v>4.71</v>
      </c>
      <c r="AN71" s="3560">
        <f t="shared" si="34"/>
        <v>4.8</v>
      </c>
      <c r="AO71" s="3560">
        <f t="shared" si="34"/>
        <v>4.9000000000000004</v>
      </c>
      <c r="AP71" s="3560">
        <f t="shared" si="34"/>
        <v>5</v>
      </c>
      <c r="AQ71" s="3560">
        <f t="shared" si="34"/>
        <v>5.0999999999999996</v>
      </c>
      <c r="AR71" s="3560">
        <f t="shared" ref="AR71" si="35">ROUND(AQ71*(1+AR73),2)</f>
        <v>5.2</v>
      </c>
      <c r="AS71" s="3560">
        <f t="shared" ref="AS71" si="36">ROUND(AR71*(1+AS73),2)</f>
        <v>5.3</v>
      </c>
      <c r="AT71" s="3560">
        <f t="shared" ref="AT71" si="37">ROUND(AS71*(1+AT73),2)</f>
        <v>5.41</v>
      </c>
      <c r="AU71" s="3560">
        <f t="shared" ref="AU71" si="38">ROUND(AT71*(1+AU73),2)</f>
        <v>5.52</v>
      </c>
      <c r="AV71" s="3560">
        <f t="shared" ref="AV71" si="39">ROUND(AU71*(1+AV73),2)</f>
        <v>5.63</v>
      </c>
      <c r="AW71" s="3560">
        <f t="shared" ref="AW71" si="40">ROUND(AV71*(1+AW73),2)</f>
        <v>5.74</v>
      </c>
      <c r="AX71" s="3560">
        <f t="shared" ref="AX71" si="41">ROUND(AW71*(1+AX73),2)</f>
        <v>5.85</v>
      </c>
      <c r="AY71" s="3560">
        <f t="shared" ref="AY71" si="42">ROUND(AX71*(1+AY73),2)</f>
        <v>5.97</v>
      </c>
      <c r="AZ71" s="3560">
        <f t="shared" ref="AZ71" si="43">ROUND(AY71*(1+AZ73),2)</f>
        <v>6.09</v>
      </c>
      <c r="BA71" s="3560">
        <f t="shared" ref="BA71" si="44">ROUND(AZ71*(1+BA73),2)</f>
        <v>6.21</v>
      </c>
      <c r="BB71" s="3560">
        <f t="shared" ref="BB71" si="45">ROUND(BA71*(1+BB73),2)</f>
        <v>6.33</v>
      </c>
      <c r="BC71" s="3560">
        <f t="shared" ref="BC71" si="46">ROUND(BB71*(1+BC73),2)</f>
        <v>6.46</v>
      </c>
      <c r="BD71" s="3560">
        <f t="shared" ref="BD71" si="47">ROUND(BC71*(1+BD73),2)</f>
        <v>6.59</v>
      </c>
      <c r="BE71" s="3560">
        <f t="shared" ref="BE71" si="48">ROUND(BD71*(1+BE73),2)</f>
        <v>6.72</v>
      </c>
      <c r="BF71" s="3560">
        <f t="shared" ref="BF71" si="49">ROUND(BE71*(1+BF73),2)</f>
        <v>6.85</v>
      </c>
      <c r="BG71" s="3560">
        <f t="shared" ref="BG71" si="50">ROUND(BF71*(1+BG73),2)</f>
        <v>6.99</v>
      </c>
      <c r="BH71" s="3560">
        <f t="shared" ref="BH71" si="51">ROUND(BG71*(1+BH73),2)</f>
        <v>7.13</v>
      </c>
      <c r="BI71" s="3560">
        <f t="shared" ref="BI71" si="52">ROUND(BH71*(1+BI73),2)</f>
        <v>7.27</v>
      </c>
      <c r="BJ71" s="3560">
        <f t="shared" ref="BJ71" si="53">ROUND(BI71*(1+BJ73),2)</f>
        <v>7.42</v>
      </c>
      <c r="BK71" s="3560">
        <f t="shared" ref="BK71" si="54">ROUND(BJ71*(1+BK73),2)</f>
        <v>7.57</v>
      </c>
      <c r="BL71" s="3560">
        <f t="shared" ref="BL71" si="55">ROUND(BK71*(1+BL73),2)</f>
        <v>7.72</v>
      </c>
      <c r="BM71" s="3560">
        <f t="shared" ref="BM71" si="56">ROUND(BL71*(1+BM73),2)</f>
        <v>7.87</v>
      </c>
      <c r="BN71" s="3560">
        <f t="shared" ref="BN71" si="57">ROUND(BM71*(1+BN73),2)</f>
        <v>8.0299999999999994</v>
      </c>
    </row>
    <row r="72" spans="1:66" s="3563" customFormat="1" ht="13.5" customHeight="1">
      <c r="A72" s="3561"/>
      <c r="B72" s="3561"/>
      <c r="C72" s="3562"/>
      <c r="D72" s="3562"/>
      <c r="E72" s="3562"/>
      <c r="F72" s="3562"/>
      <c r="G72" s="3562"/>
      <c r="H72" s="3562"/>
      <c r="I72" s="3562"/>
      <c r="J72" s="3562"/>
      <c r="K72" s="3562"/>
      <c r="L72" s="3562"/>
      <c r="M72" s="3562"/>
      <c r="N72" s="3562"/>
      <c r="O72" s="3562"/>
      <c r="P72" s="3562"/>
      <c r="Q72" s="3562"/>
      <c r="R72" s="3562"/>
      <c r="S72" s="3562"/>
      <c r="T72" s="3562"/>
      <c r="U72" s="3562"/>
      <c r="V72" s="3562"/>
      <c r="W72" s="3562"/>
      <c r="X72" s="3562"/>
      <c r="Y72" s="3562"/>
      <c r="Z72" s="3562"/>
      <c r="AA72" s="3562"/>
      <c r="AB72" s="3562" t="s">
        <v>3867</v>
      </c>
      <c r="AC72" s="3562" t="s">
        <v>3841</v>
      </c>
      <c r="AD72" s="3562" t="s">
        <v>3842</v>
      </c>
      <c r="AE72" s="3562" t="s">
        <v>3843</v>
      </c>
      <c r="AF72" s="3562" t="s">
        <v>3844</v>
      </c>
      <c r="AG72" s="3562" t="s">
        <v>3845</v>
      </c>
      <c r="AH72" s="3562" t="s">
        <v>3846</v>
      </c>
      <c r="AI72" s="3562" t="s">
        <v>3847</v>
      </c>
      <c r="AJ72" s="3562" t="s">
        <v>3848</v>
      </c>
      <c r="AK72" s="3562" t="s">
        <v>3849</v>
      </c>
      <c r="AL72" s="3562" t="s">
        <v>3850</v>
      </c>
      <c r="AM72" s="3562" t="s">
        <v>3851</v>
      </c>
      <c r="AN72" s="3562" t="s">
        <v>3852</v>
      </c>
      <c r="AO72" s="3562" t="s">
        <v>3853</v>
      </c>
      <c r="AP72" s="3562" t="s">
        <v>3854</v>
      </c>
      <c r="AQ72" s="3562" t="s">
        <v>3868</v>
      </c>
      <c r="AR72" s="3562" t="s">
        <v>3869</v>
      </c>
      <c r="AS72" s="3562" t="s">
        <v>3870</v>
      </c>
      <c r="AT72" s="3562" t="s">
        <v>3871</v>
      </c>
      <c r="AU72" s="3562" t="s">
        <v>3872</v>
      </c>
      <c r="AV72" s="3562" t="s">
        <v>3873</v>
      </c>
      <c r="AW72" s="3562" t="s">
        <v>3874</v>
      </c>
      <c r="AX72" s="3562" t="s">
        <v>3875</v>
      </c>
      <c r="AY72" s="3562" t="s">
        <v>3876</v>
      </c>
      <c r="AZ72" s="3562" t="s">
        <v>3877</v>
      </c>
      <c r="BA72" s="3562" t="s">
        <v>3878</v>
      </c>
      <c r="BB72" s="3562" t="s">
        <v>3879</v>
      </c>
      <c r="BC72" s="3562" t="s">
        <v>3880</v>
      </c>
      <c r="BD72" s="3562" t="s">
        <v>3881</v>
      </c>
      <c r="BE72" s="3562" t="s">
        <v>3882</v>
      </c>
      <c r="BF72" s="3562" t="s">
        <v>3883</v>
      </c>
      <c r="BG72" s="3562" t="s">
        <v>3884</v>
      </c>
      <c r="BH72" s="3562" t="s">
        <v>3885</v>
      </c>
      <c r="BI72" s="3562" t="s">
        <v>3886</v>
      </c>
      <c r="BJ72" s="3562" t="s">
        <v>3887</v>
      </c>
      <c r="BK72" s="3562" t="s">
        <v>3888</v>
      </c>
      <c r="BL72" s="3562" t="s">
        <v>3889</v>
      </c>
      <c r="BM72" s="3562" t="s">
        <v>3890</v>
      </c>
      <c r="BN72" s="3562" t="s">
        <v>3891</v>
      </c>
    </row>
    <row r="73" spans="1:66" s="3563" customFormat="1" ht="13.5" customHeight="1">
      <c r="A73" s="3561" t="s">
        <v>3855</v>
      </c>
      <c r="B73" s="3564"/>
      <c r="C73" s="3564"/>
      <c r="D73" s="3564"/>
      <c r="E73" s="3564"/>
      <c r="F73" s="3564"/>
      <c r="G73" s="3564"/>
      <c r="H73" s="3564"/>
      <c r="I73" s="3564"/>
      <c r="J73" s="3564"/>
      <c r="K73" s="3564"/>
      <c r="L73" s="3564"/>
      <c r="M73" s="3564"/>
      <c r="N73" s="3564"/>
      <c r="O73" s="3564"/>
      <c r="P73" s="3564"/>
      <c r="Q73" s="3564"/>
      <c r="R73" s="3564"/>
      <c r="S73" s="3564"/>
      <c r="T73" s="3564"/>
      <c r="U73" s="3564"/>
      <c r="V73" s="3564"/>
      <c r="W73" s="3564"/>
      <c r="X73" s="3564"/>
      <c r="Y73" s="3564"/>
      <c r="Z73" s="3564"/>
      <c r="AA73" s="3564"/>
      <c r="AB73" s="3564">
        <v>0</v>
      </c>
      <c r="AC73" s="3564">
        <v>0.05</v>
      </c>
      <c r="AD73" s="3564">
        <v>0.05</v>
      </c>
      <c r="AE73" s="3564">
        <v>0.03</v>
      </c>
      <c r="AF73" s="3564">
        <f>AE73</f>
        <v>0.03</v>
      </c>
      <c r="AG73" s="3564">
        <f t="shared" ref="AG73:AO74" si="58">AF73</f>
        <v>0.03</v>
      </c>
      <c r="AH73" s="3564">
        <v>0.03</v>
      </c>
      <c r="AI73" s="3564">
        <v>0.03</v>
      </c>
      <c r="AJ73" s="3564">
        <v>0.02</v>
      </c>
      <c r="AK73" s="3564">
        <f t="shared" si="58"/>
        <v>0.02</v>
      </c>
      <c r="AL73" s="3564">
        <f t="shared" si="58"/>
        <v>0.02</v>
      </c>
      <c r="AM73" s="3564">
        <f t="shared" si="58"/>
        <v>0.02</v>
      </c>
      <c r="AN73" s="3564">
        <f>AM73</f>
        <v>0.02</v>
      </c>
      <c r="AO73" s="3564">
        <f>AN73</f>
        <v>0.02</v>
      </c>
      <c r="AP73" s="3564">
        <f>AO73</f>
        <v>0.02</v>
      </c>
      <c r="AQ73" s="3564">
        <v>0.02</v>
      </c>
      <c r="AR73" s="3564">
        <v>0.02</v>
      </c>
      <c r="AS73" s="3564">
        <v>0.02</v>
      </c>
      <c r="AT73" s="3564">
        <v>0.02</v>
      </c>
      <c r="AU73" s="3564">
        <v>0.02</v>
      </c>
      <c r="AV73" s="3564">
        <v>0.02</v>
      </c>
      <c r="AW73" s="3564">
        <v>0.02</v>
      </c>
      <c r="AX73" s="3564">
        <v>0.02</v>
      </c>
      <c r="AY73" s="3564">
        <v>0.02</v>
      </c>
      <c r="AZ73" s="3564">
        <v>0.02</v>
      </c>
      <c r="BA73" s="3564">
        <v>0.02</v>
      </c>
      <c r="BB73" s="3564">
        <v>0.02</v>
      </c>
      <c r="BC73" s="3564">
        <v>0.02</v>
      </c>
      <c r="BD73" s="3564">
        <v>0.02</v>
      </c>
      <c r="BE73" s="3564">
        <v>0.02</v>
      </c>
      <c r="BF73" s="3564">
        <v>0.02</v>
      </c>
      <c r="BG73" s="3564">
        <v>0.02</v>
      </c>
      <c r="BH73" s="3564">
        <v>0.02</v>
      </c>
      <c r="BI73" s="3564">
        <v>0.02</v>
      </c>
      <c r="BJ73" s="3564">
        <v>0.02</v>
      </c>
      <c r="BK73" s="3564">
        <v>0.02</v>
      </c>
      <c r="BL73" s="3564">
        <v>0.02</v>
      </c>
      <c r="BM73" s="3564">
        <v>0.02</v>
      </c>
      <c r="BN73" s="3564">
        <v>0.02</v>
      </c>
    </row>
    <row r="74" spans="1:66" s="3563" customFormat="1">
      <c r="A74" s="3561" t="s">
        <v>3856</v>
      </c>
      <c r="B74" s="3561"/>
      <c r="C74" s="3564"/>
      <c r="D74" s="3564"/>
      <c r="E74" s="3564"/>
      <c r="F74" s="3564"/>
      <c r="G74" s="3564"/>
      <c r="H74" s="3564"/>
      <c r="I74" s="3564"/>
      <c r="J74" s="3564"/>
      <c r="K74" s="3564"/>
      <c r="L74" s="3564"/>
      <c r="M74" s="3564"/>
      <c r="N74" s="3564"/>
      <c r="O74" s="3564"/>
      <c r="P74" s="3564"/>
      <c r="Q74" s="3564"/>
      <c r="R74" s="3564"/>
      <c r="S74" s="3564"/>
      <c r="T74" s="3564"/>
      <c r="U74" s="3564"/>
      <c r="V74" s="3564"/>
      <c r="W74" s="3564"/>
      <c r="X74" s="3564"/>
      <c r="Y74" s="3564"/>
      <c r="Z74" s="3564"/>
      <c r="AA74" s="3564"/>
      <c r="AB74" s="3564">
        <v>0.3</v>
      </c>
      <c r="AC74" s="3564">
        <v>0.2</v>
      </c>
      <c r="AD74" s="3564">
        <v>0.15</v>
      </c>
      <c r="AE74" s="3564">
        <v>0.1</v>
      </c>
      <c r="AF74" s="3564">
        <v>0.05</v>
      </c>
      <c r="AG74" s="3564">
        <f t="shared" si="58"/>
        <v>0.05</v>
      </c>
      <c r="AH74" s="3564">
        <f t="shared" si="58"/>
        <v>0.05</v>
      </c>
      <c r="AI74" s="3564">
        <f t="shared" si="58"/>
        <v>0.05</v>
      </c>
      <c r="AJ74" s="3564">
        <f t="shared" si="58"/>
        <v>0.05</v>
      </c>
      <c r="AK74" s="3564">
        <f t="shared" si="58"/>
        <v>0.05</v>
      </c>
      <c r="AL74" s="3564">
        <f t="shared" si="58"/>
        <v>0.05</v>
      </c>
      <c r="AM74" s="3564">
        <f t="shared" si="58"/>
        <v>0.05</v>
      </c>
      <c r="AN74" s="3564">
        <f t="shared" si="58"/>
        <v>0.05</v>
      </c>
      <c r="AO74" s="3564">
        <f t="shared" si="58"/>
        <v>0.05</v>
      </c>
      <c r="AP74" s="3564">
        <f>AO74</f>
        <v>0.05</v>
      </c>
      <c r="AQ74" s="3564">
        <f>AP74</f>
        <v>0.05</v>
      </c>
      <c r="AR74" s="3564">
        <f t="shared" ref="AR74:BN74" si="59">AQ74</f>
        <v>0.05</v>
      </c>
      <c r="AS74" s="3564">
        <f t="shared" si="59"/>
        <v>0.05</v>
      </c>
      <c r="AT74" s="3564">
        <f t="shared" si="59"/>
        <v>0.05</v>
      </c>
      <c r="AU74" s="3564">
        <f t="shared" si="59"/>
        <v>0.05</v>
      </c>
      <c r="AV74" s="3564">
        <f t="shared" si="59"/>
        <v>0.05</v>
      </c>
      <c r="AW74" s="3564">
        <f t="shared" si="59"/>
        <v>0.05</v>
      </c>
      <c r="AX74" s="3564">
        <f t="shared" si="59"/>
        <v>0.05</v>
      </c>
      <c r="AY74" s="3564">
        <f t="shared" si="59"/>
        <v>0.05</v>
      </c>
      <c r="AZ74" s="3564">
        <f t="shared" si="59"/>
        <v>0.05</v>
      </c>
      <c r="BA74" s="3564">
        <f t="shared" si="59"/>
        <v>0.05</v>
      </c>
      <c r="BB74" s="3564">
        <f t="shared" si="59"/>
        <v>0.05</v>
      </c>
      <c r="BC74" s="3564">
        <f t="shared" si="59"/>
        <v>0.05</v>
      </c>
      <c r="BD74" s="3564">
        <f t="shared" si="59"/>
        <v>0.05</v>
      </c>
      <c r="BE74" s="3564">
        <f t="shared" si="59"/>
        <v>0.05</v>
      </c>
      <c r="BF74" s="3564">
        <f t="shared" si="59"/>
        <v>0.05</v>
      </c>
      <c r="BG74" s="3564">
        <f t="shared" si="59"/>
        <v>0.05</v>
      </c>
      <c r="BH74" s="3564">
        <f t="shared" si="59"/>
        <v>0.05</v>
      </c>
      <c r="BI74" s="3564">
        <f t="shared" si="59"/>
        <v>0.05</v>
      </c>
      <c r="BJ74" s="3564">
        <f t="shared" si="59"/>
        <v>0.05</v>
      </c>
      <c r="BK74" s="3564">
        <f t="shared" si="59"/>
        <v>0.05</v>
      </c>
      <c r="BL74" s="3564">
        <f t="shared" si="59"/>
        <v>0.05</v>
      </c>
      <c r="BM74" s="3564">
        <f t="shared" si="59"/>
        <v>0.05</v>
      </c>
      <c r="BN74" s="3564">
        <f t="shared" si="59"/>
        <v>0.05</v>
      </c>
    </row>
    <row r="75" spans="1:66" s="3563" customFormat="1">
      <c r="A75" s="3561"/>
      <c r="B75" s="3561"/>
      <c r="C75" s="3564"/>
      <c r="D75" s="3564"/>
      <c r="E75" s="3564"/>
      <c r="F75" s="3564"/>
      <c r="G75" s="3564"/>
      <c r="H75" s="3564"/>
      <c r="I75" s="3564"/>
      <c r="J75" s="3564"/>
      <c r="K75" s="3564"/>
      <c r="L75" s="3564"/>
      <c r="M75" s="3564"/>
      <c r="N75" s="3564"/>
      <c r="O75" s="3564"/>
      <c r="P75" s="3564"/>
      <c r="Q75" s="3564"/>
      <c r="R75" s="3564"/>
      <c r="S75" s="3564"/>
      <c r="T75" s="3564"/>
      <c r="U75" s="3564"/>
      <c r="V75" s="3564"/>
      <c r="W75" s="3564"/>
      <c r="X75" s="3564"/>
      <c r="Y75" s="3564"/>
      <c r="Z75" s="3564"/>
      <c r="AA75" s="3564"/>
      <c r="AB75" s="3564"/>
      <c r="AC75" s="3564"/>
      <c r="AD75" s="3564"/>
      <c r="AE75" s="3564"/>
      <c r="AF75" s="3564"/>
      <c r="AG75" s="3564"/>
      <c r="AH75" s="3564"/>
      <c r="AI75" s="3564"/>
      <c r="AJ75" s="3564"/>
      <c r="AK75" s="3564"/>
      <c r="AL75" s="3564"/>
      <c r="AM75" s="3564"/>
      <c r="AN75" s="3564"/>
      <c r="AO75" s="3564"/>
      <c r="AP75" s="3564"/>
      <c r="AQ75" s="3564"/>
    </row>
    <row r="76" spans="1:66" s="3563" customFormat="1">
      <c r="A76" s="3561" t="s">
        <v>3857</v>
      </c>
      <c r="B76" s="3561"/>
      <c r="C76" s="3564"/>
      <c r="D76" s="3564"/>
      <c r="E76" s="3564"/>
      <c r="F76" s="3564"/>
      <c r="G76" s="3564"/>
      <c r="H76" s="3564"/>
      <c r="I76" s="3564"/>
      <c r="J76" s="3564"/>
      <c r="K76" s="3564"/>
      <c r="L76" s="3564"/>
      <c r="M76" s="3564"/>
      <c r="N76" s="3564"/>
      <c r="O76" s="3564"/>
      <c r="P76" s="3564"/>
      <c r="Q76" s="3564"/>
      <c r="R76" s="3564"/>
      <c r="S76" s="3564"/>
      <c r="T76" s="3564"/>
      <c r="U76" s="3564"/>
      <c r="V76" s="3564"/>
      <c r="W76" s="3564"/>
      <c r="X76" s="3564"/>
      <c r="Y76" s="3564"/>
      <c r="Z76" s="3564"/>
      <c r="AA76" s="3564"/>
      <c r="AB76" s="3564">
        <v>0.02</v>
      </c>
      <c r="AC76" s="3564">
        <v>0.02</v>
      </c>
      <c r="AD76" s="3564">
        <v>0.02</v>
      </c>
      <c r="AE76" s="3564">
        <v>0.02</v>
      </c>
      <c r="AF76" s="3564">
        <v>0.02</v>
      </c>
      <c r="AG76" s="3564">
        <v>0.02</v>
      </c>
      <c r="AH76" s="3564">
        <v>0.02</v>
      </c>
      <c r="AI76" s="3564">
        <v>0.02</v>
      </c>
      <c r="AJ76" s="3564">
        <v>0.02</v>
      </c>
      <c r="AK76" s="3564">
        <v>0.02</v>
      </c>
      <c r="AL76" s="3564">
        <v>0.02</v>
      </c>
      <c r="AM76" s="3564">
        <v>0.02</v>
      </c>
      <c r="AN76" s="3564">
        <v>0.02</v>
      </c>
      <c r="AO76" s="3564">
        <v>0.02</v>
      </c>
      <c r="AP76" s="3564">
        <v>0.02</v>
      </c>
      <c r="AQ76" s="3564">
        <v>0.02</v>
      </c>
      <c r="AR76" s="3564">
        <v>0.02</v>
      </c>
      <c r="AS76" s="3564">
        <v>0.02</v>
      </c>
      <c r="AT76" s="3564">
        <v>0.02</v>
      </c>
      <c r="AU76" s="3564">
        <v>0.02</v>
      </c>
      <c r="AV76" s="3564">
        <v>0.02</v>
      </c>
      <c r="AW76" s="3564">
        <v>0.02</v>
      </c>
      <c r="AX76" s="3564">
        <v>0.02</v>
      </c>
      <c r="AY76" s="3564">
        <v>0.02</v>
      </c>
      <c r="AZ76" s="3564">
        <v>0.02</v>
      </c>
      <c r="BA76" s="3564">
        <v>0.02</v>
      </c>
      <c r="BB76" s="3564">
        <v>0.02</v>
      </c>
      <c r="BC76" s="3564">
        <v>0.02</v>
      </c>
      <c r="BD76" s="3564">
        <v>0.02</v>
      </c>
      <c r="BE76" s="3564">
        <v>0.02</v>
      </c>
      <c r="BF76" s="3564">
        <v>0.02</v>
      </c>
      <c r="BG76" s="3564">
        <v>0.02</v>
      </c>
      <c r="BH76" s="3564">
        <v>0.02</v>
      </c>
      <c r="BI76" s="3564">
        <v>0.02</v>
      </c>
      <c r="BJ76" s="3564">
        <v>0.02</v>
      </c>
      <c r="BK76" s="3564">
        <v>0.02</v>
      </c>
      <c r="BL76" s="3564">
        <v>0.02</v>
      </c>
      <c r="BM76" s="3564">
        <v>0.02</v>
      </c>
      <c r="BN76" s="3564">
        <v>0.02</v>
      </c>
    </row>
    <row r="77" spans="1:66" s="3567" customFormat="1">
      <c r="A77" s="3565" t="s">
        <v>3892</v>
      </c>
      <c r="B77" s="3566"/>
      <c r="C77" s="3566"/>
      <c r="D77" s="3566"/>
      <c r="E77" s="3566"/>
      <c r="F77" s="3566"/>
      <c r="G77" s="3566"/>
      <c r="H77" s="3566"/>
      <c r="I77" s="3566"/>
      <c r="J77" s="3566"/>
      <c r="K77" s="3566"/>
      <c r="L77" s="3566"/>
      <c r="M77" s="3566"/>
      <c r="N77" s="3566"/>
      <c r="O77" s="3566"/>
      <c r="P77" s="3566"/>
      <c r="Q77" s="3566"/>
      <c r="R77" s="3566"/>
      <c r="S77" s="3566"/>
      <c r="T77" s="3566"/>
      <c r="U77" s="3566"/>
      <c r="V77" s="3566"/>
      <c r="W77" s="3566"/>
      <c r="X77" s="3566"/>
      <c r="Y77" s="3566"/>
      <c r="Z77" s="3566"/>
      <c r="AA77" s="3566"/>
      <c r="AB77" s="3566">
        <v>4</v>
      </c>
      <c r="AC77" s="3566">
        <f t="shared" ref="AC77:AQ77" si="60">ROUND(AB77*(1+AC78),2)</f>
        <v>4.08</v>
      </c>
      <c r="AD77" s="3566">
        <f t="shared" si="60"/>
        <v>4.16</v>
      </c>
      <c r="AE77" s="3566">
        <f t="shared" si="60"/>
        <v>4.24</v>
      </c>
      <c r="AF77" s="3566">
        <f t="shared" si="60"/>
        <v>4.32</v>
      </c>
      <c r="AG77" s="3566">
        <f t="shared" si="60"/>
        <v>4.41</v>
      </c>
      <c r="AH77" s="3566">
        <f t="shared" si="60"/>
        <v>4.5</v>
      </c>
      <c r="AI77" s="3566">
        <f t="shared" si="60"/>
        <v>4.59</v>
      </c>
      <c r="AJ77" s="3566">
        <f t="shared" si="60"/>
        <v>4.68</v>
      </c>
      <c r="AK77" s="3566">
        <f t="shared" si="60"/>
        <v>4.7699999999999996</v>
      </c>
      <c r="AL77" s="3566">
        <f t="shared" si="60"/>
        <v>4.87</v>
      </c>
      <c r="AM77" s="3566">
        <f t="shared" si="60"/>
        <v>4.97</v>
      </c>
      <c r="AN77" s="3566">
        <f t="shared" si="60"/>
        <v>5.07</v>
      </c>
      <c r="AO77" s="3566">
        <f t="shared" si="60"/>
        <v>5.17</v>
      </c>
      <c r="AP77" s="3566">
        <f t="shared" si="60"/>
        <v>5.27</v>
      </c>
      <c r="AQ77" s="3566">
        <f t="shared" si="60"/>
        <v>5.38</v>
      </c>
      <c r="AR77" s="3566">
        <f t="shared" ref="AR77" si="61">ROUND(AQ77*(1+AR78),2)</f>
        <v>5.49</v>
      </c>
      <c r="AS77" s="3566">
        <f t="shared" ref="AS77" si="62">ROUND(AR77*(1+AS78),2)</f>
        <v>5.6</v>
      </c>
      <c r="AT77" s="3566">
        <f t="shared" ref="AT77" si="63">ROUND(AS77*(1+AT78),2)</f>
        <v>5.71</v>
      </c>
      <c r="AU77" s="3566">
        <f t="shared" ref="AU77" si="64">ROUND(AT77*(1+AU78),2)</f>
        <v>5.82</v>
      </c>
      <c r="AV77" s="3566">
        <f t="shared" ref="AV77" si="65">ROUND(AU77*(1+AV78),2)</f>
        <v>5.94</v>
      </c>
      <c r="AW77" s="3566">
        <f t="shared" ref="AW77" si="66">ROUND(AV77*(1+AW78),2)</f>
        <v>6.06</v>
      </c>
      <c r="AX77" s="3566">
        <f t="shared" ref="AX77" si="67">ROUND(AW77*(1+AX78),2)</f>
        <v>6.18</v>
      </c>
      <c r="AY77" s="3566">
        <f t="shared" ref="AY77" si="68">ROUND(AX77*(1+AY78),2)</f>
        <v>6.3</v>
      </c>
      <c r="AZ77" s="3566">
        <f t="shared" ref="AZ77" si="69">ROUND(AY77*(1+AZ78),2)</f>
        <v>6.43</v>
      </c>
      <c r="BA77" s="3566">
        <f t="shared" ref="BA77" si="70">ROUND(AZ77*(1+BA78),2)</f>
        <v>6.56</v>
      </c>
      <c r="BB77" s="3566">
        <f t="shared" ref="BB77" si="71">ROUND(BA77*(1+BB78),2)</f>
        <v>6.69</v>
      </c>
      <c r="BC77" s="3566">
        <f t="shared" ref="BC77" si="72">ROUND(BB77*(1+BC78),2)</f>
        <v>6.82</v>
      </c>
      <c r="BD77" s="3566">
        <f t="shared" ref="BD77" si="73">ROUND(BC77*(1+BD78),2)</f>
        <v>6.96</v>
      </c>
      <c r="BE77" s="3566">
        <f t="shared" ref="BE77" si="74">ROUND(BD77*(1+BE78),2)</f>
        <v>7.1</v>
      </c>
      <c r="BF77" s="3566">
        <f t="shared" ref="BF77" si="75">ROUND(BE77*(1+BF78),2)</f>
        <v>7.24</v>
      </c>
      <c r="BG77" s="3566">
        <f t="shared" ref="BG77" si="76">ROUND(BF77*(1+BG78),2)</f>
        <v>7.38</v>
      </c>
      <c r="BH77" s="3566">
        <f t="shared" ref="BH77" si="77">ROUND(BG77*(1+BH78),2)</f>
        <v>7.53</v>
      </c>
      <c r="BI77" s="3566">
        <f t="shared" ref="BI77" si="78">ROUND(BH77*(1+BI78),2)</f>
        <v>7.68</v>
      </c>
      <c r="BJ77" s="3566">
        <f t="shared" ref="BJ77" si="79">ROUND(BI77*(1+BJ78),2)</f>
        <v>7.83</v>
      </c>
      <c r="BK77" s="3566">
        <f t="shared" ref="BK77" si="80">ROUND(BJ77*(1+BK78),2)</f>
        <v>7.99</v>
      </c>
      <c r="BL77" s="3566">
        <f t="shared" ref="BL77" si="81">ROUND(BK77*(1+BL78),2)</f>
        <v>8.15</v>
      </c>
      <c r="BM77" s="3566">
        <f t="shared" ref="BM77" si="82">ROUND(BL77*(1+BM78),2)</f>
        <v>8.31</v>
      </c>
      <c r="BN77" s="3566">
        <f t="shared" ref="BN77" si="83">ROUND(BM77*(1+BN78),2)</f>
        <v>8.48</v>
      </c>
    </row>
    <row r="78" spans="1:66" s="3570" customFormat="1">
      <c r="A78" s="3568" t="s">
        <v>3893</v>
      </c>
      <c r="B78" s="3569"/>
      <c r="C78" s="3569"/>
      <c r="D78" s="3569"/>
      <c r="E78" s="3569"/>
      <c r="F78" s="3569"/>
      <c r="G78" s="3569"/>
      <c r="H78" s="3569"/>
      <c r="I78" s="3569"/>
      <c r="J78" s="3569"/>
      <c r="K78" s="3569"/>
      <c r="L78" s="3569"/>
      <c r="M78" s="3569"/>
      <c r="N78" s="3569"/>
      <c r="O78" s="3569"/>
      <c r="P78" s="3569"/>
      <c r="Q78" s="3569"/>
      <c r="R78" s="3569"/>
      <c r="S78" s="3569"/>
      <c r="T78" s="3569"/>
      <c r="U78" s="3569"/>
      <c r="V78" s="3569"/>
      <c r="W78" s="3569"/>
      <c r="X78" s="3569"/>
      <c r="Y78" s="3569"/>
      <c r="Z78" s="3569"/>
      <c r="AA78" s="3569"/>
      <c r="AB78" s="3569">
        <v>0.02</v>
      </c>
      <c r="AC78" s="3569">
        <f>AB78</f>
        <v>0.02</v>
      </c>
      <c r="AD78" s="3569">
        <f>AC78</f>
        <v>0.02</v>
      </c>
      <c r="AE78" s="3569">
        <f t="shared" ref="AE78:AQ79" si="84">AD78</f>
        <v>0.02</v>
      </c>
      <c r="AF78" s="3569">
        <f t="shared" si="84"/>
        <v>0.02</v>
      </c>
      <c r="AG78" s="3569">
        <f t="shared" si="84"/>
        <v>0.02</v>
      </c>
      <c r="AH78" s="3569">
        <f t="shared" si="84"/>
        <v>0.02</v>
      </c>
      <c r="AI78" s="3569">
        <f t="shared" si="84"/>
        <v>0.02</v>
      </c>
      <c r="AJ78" s="3569">
        <f t="shared" si="84"/>
        <v>0.02</v>
      </c>
      <c r="AK78" s="3569">
        <v>0.02</v>
      </c>
      <c r="AL78" s="3569">
        <v>0.02</v>
      </c>
      <c r="AM78" s="3569">
        <f>AL78</f>
        <v>0.02</v>
      </c>
      <c r="AN78" s="3569">
        <f>AM78</f>
        <v>0.02</v>
      </c>
      <c r="AO78" s="3569">
        <f>AN78</f>
        <v>0.02</v>
      </c>
      <c r="AP78" s="3569">
        <v>0.02</v>
      </c>
      <c r="AQ78" s="3569">
        <v>0.02</v>
      </c>
      <c r="AR78" s="3569">
        <v>0.02</v>
      </c>
      <c r="AS78" s="3569">
        <v>0.02</v>
      </c>
      <c r="AT78" s="3569">
        <v>0.02</v>
      </c>
      <c r="AU78" s="3569">
        <v>0.02</v>
      </c>
      <c r="AV78" s="3569">
        <v>0.02</v>
      </c>
      <c r="AW78" s="3569">
        <v>0.02</v>
      </c>
      <c r="AX78" s="3569">
        <v>0.02</v>
      </c>
      <c r="AY78" s="3569">
        <v>0.02</v>
      </c>
      <c r="AZ78" s="3569">
        <v>0.02</v>
      </c>
      <c r="BA78" s="3569">
        <v>0.02</v>
      </c>
      <c r="BB78" s="3569">
        <v>0.02</v>
      </c>
      <c r="BC78" s="3569">
        <v>0.02</v>
      </c>
      <c r="BD78" s="3569">
        <v>0.02</v>
      </c>
      <c r="BE78" s="3569">
        <v>0.02</v>
      </c>
      <c r="BF78" s="3569">
        <v>0.02</v>
      </c>
      <c r="BG78" s="3569">
        <v>0.02</v>
      </c>
      <c r="BH78" s="3569">
        <v>0.02</v>
      </c>
      <c r="BI78" s="3569">
        <v>0.02</v>
      </c>
      <c r="BJ78" s="3569">
        <v>0.02</v>
      </c>
      <c r="BK78" s="3569">
        <v>0.02</v>
      </c>
      <c r="BL78" s="3569">
        <v>0.02</v>
      </c>
      <c r="BM78" s="3569">
        <v>0.02</v>
      </c>
      <c r="BN78" s="3569">
        <v>0.02</v>
      </c>
    </row>
    <row r="79" spans="1:66" s="3573" customFormat="1">
      <c r="A79" s="3571" t="s">
        <v>3894</v>
      </c>
      <c r="B79" s="3572"/>
      <c r="C79" s="3572"/>
      <c r="D79" s="3572"/>
      <c r="E79" s="3572"/>
      <c r="F79" s="3572"/>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v>0.5</v>
      </c>
      <c r="AC79" s="3572">
        <v>0.4</v>
      </c>
      <c r="AD79" s="3572">
        <v>0.3</v>
      </c>
      <c r="AE79" s="3572">
        <v>0.2</v>
      </c>
      <c r="AF79" s="3572">
        <v>0.15</v>
      </c>
      <c r="AG79" s="3572">
        <v>0.1</v>
      </c>
      <c r="AH79" s="3572">
        <f t="shared" si="84"/>
        <v>0.1</v>
      </c>
      <c r="AI79" s="3572">
        <f t="shared" si="84"/>
        <v>0.1</v>
      </c>
      <c r="AJ79" s="3572">
        <f t="shared" si="84"/>
        <v>0.1</v>
      </c>
      <c r="AK79" s="3572">
        <f t="shared" si="84"/>
        <v>0.1</v>
      </c>
      <c r="AL79" s="3572">
        <f t="shared" si="84"/>
        <v>0.1</v>
      </c>
      <c r="AM79" s="3572">
        <f t="shared" si="84"/>
        <v>0.1</v>
      </c>
      <c r="AN79" s="3572">
        <f t="shared" si="84"/>
        <v>0.1</v>
      </c>
      <c r="AO79" s="3572">
        <f t="shared" si="84"/>
        <v>0.1</v>
      </c>
      <c r="AP79" s="3572">
        <f t="shared" si="84"/>
        <v>0.1</v>
      </c>
      <c r="AQ79" s="3572">
        <f t="shared" si="84"/>
        <v>0.1</v>
      </c>
      <c r="AR79" s="3572">
        <f t="shared" ref="AR79" si="85">AQ79</f>
        <v>0.1</v>
      </c>
      <c r="AS79" s="3572">
        <f t="shared" ref="AS79" si="86">AR79</f>
        <v>0.1</v>
      </c>
      <c r="AT79" s="3572">
        <f t="shared" ref="AT79" si="87">AS79</f>
        <v>0.1</v>
      </c>
      <c r="AU79" s="3572">
        <f t="shared" ref="AU79" si="88">AT79</f>
        <v>0.1</v>
      </c>
      <c r="AV79" s="3572">
        <f t="shared" ref="AV79" si="89">AU79</f>
        <v>0.1</v>
      </c>
      <c r="AW79" s="3572">
        <f t="shared" ref="AW79" si="90">AV79</f>
        <v>0.1</v>
      </c>
      <c r="AX79" s="3572">
        <f t="shared" ref="AX79" si="91">AW79</f>
        <v>0.1</v>
      </c>
      <c r="AY79" s="3572">
        <f t="shared" ref="AY79" si="92">AX79</f>
        <v>0.1</v>
      </c>
      <c r="AZ79" s="3572">
        <f t="shared" ref="AZ79" si="93">AY79</f>
        <v>0.1</v>
      </c>
      <c r="BA79" s="3572">
        <f t="shared" ref="BA79" si="94">AZ79</f>
        <v>0.1</v>
      </c>
      <c r="BB79" s="3572">
        <f t="shared" ref="BB79" si="95">BA79</f>
        <v>0.1</v>
      </c>
      <c r="BC79" s="3572">
        <f t="shared" ref="BC79" si="96">BB79</f>
        <v>0.1</v>
      </c>
      <c r="BD79" s="3572">
        <f t="shared" ref="BD79" si="97">BC79</f>
        <v>0.1</v>
      </c>
      <c r="BE79" s="3572">
        <f t="shared" ref="BE79" si="98">BD79</f>
        <v>0.1</v>
      </c>
      <c r="BF79" s="3572">
        <f t="shared" ref="BF79" si="99">BE79</f>
        <v>0.1</v>
      </c>
      <c r="BG79" s="3572">
        <f t="shared" ref="BG79" si="100">BF79</f>
        <v>0.1</v>
      </c>
      <c r="BH79" s="3572">
        <f t="shared" ref="BH79" si="101">BG79</f>
        <v>0.1</v>
      </c>
      <c r="BI79" s="3572">
        <f t="shared" ref="BI79" si="102">BH79</f>
        <v>0.1</v>
      </c>
      <c r="BJ79" s="3572">
        <f t="shared" ref="BJ79" si="103">BI79</f>
        <v>0.1</v>
      </c>
      <c r="BK79" s="3572">
        <f t="shared" ref="BK79" si="104">BJ79</f>
        <v>0.1</v>
      </c>
      <c r="BL79" s="3572">
        <f t="shared" ref="BL79" si="105">BK79</f>
        <v>0.1</v>
      </c>
      <c r="BM79" s="3572">
        <f t="shared" ref="BM79" si="106">BL79</f>
        <v>0.1</v>
      </c>
      <c r="BN79" s="3572">
        <f t="shared" ref="BN79" si="107">BM79</f>
        <v>0.1</v>
      </c>
    </row>
    <row r="80" spans="1:66" s="3567" customFormat="1">
      <c r="A80" s="3565" t="s">
        <v>3858</v>
      </c>
      <c r="B80" s="3566"/>
      <c r="C80" s="3566"/>
      <c r="D80" s="3566"/>
      <c r="E80" s="3566"/>
      <c r="F80" s="3566"/>
      <c r="G80" s="3566"/>
      <c r="H80" s="3566"/>
      <c r="I80" s="3566"/>
      <c r="J80" s="3566"/>
      <c r="K80" s="3566"/>
      <c r="L80" s="3566"/>
      <c r="M80" s="3566"/>
      <c r="N80" s="3566"/>
      <c r="O80" s="3566"/>
      <c r="P80" s="3566"/>
      <c r="Q80" s="3566"/>
      <c r="R80" s="3566"/>
      <c r="S80" s="3566"/>
      <c r="T80" s="3566"/>
      <c r="U80" s="3566"/>
      <c r="V80" s="3566"/>
      <c r="W80" s="3566"/>
      <c r="X80" s="3566"/>
      <c r="Y80" s="3566"/>
      <c r="Z80" s="3566"/>
      <c r="AA80" s="3566"/>
      <c r="AB80" s="3566">
        <v>350</v>
      </c>
      <c r="AC80" s="3566">
        <f t="shared" ref="AC80:AQ80" si="108">ROUND(AB80*(1+AC81),0)</f>
        <v>357</v>
      </c>
      <c r="AD80" s="3566">
        <f t="shared" si="108"/>
        <v>364</v>
      </c>
      <c r="AE80" s="3566">
        <f t="shared" si="108"/>
        <v>371</v>
      </c>
      <c r="AF80" s="3566">
        <f t="shared" si="108"/>
        <v>378</v>
      </c>
      <c r="AG80" s="3566">
        <f t="shared" si="108"/>
        <v>386</v>
      </c>
      <c r="AH80" s="3566">
        <f t="shared" si="108"/>
        <v>394</v>
      </c>
      <c r="AI80" s="3566">
        <f t="shared" si="108"/>
        <v>402</v>
      </c>
      <c r="AJ80" s="3566">
        <f t="shared" si="108"/>
        <v>410</v>
      </c>
      <c r="AK80" s="3566">
        <f t="shared" si="108"/>
        <v>418</v>
      </c>
      <c r="AL80" s="3566">
        <f t="shared" si="108"/>
        <v>422</v>
      </c>
      <c r="AM80" s="3566">
        <f t="shared" si="108"/>
        <v>426</v>
      </c>
      <c r="AN80" s="3566">
        <f t="shared" si="108"/>
        <v>430</v>
      </c>
      <c r="AO80" s="3566">
        <f t="shared" si="108"/>
        <v>434</v>
      </c>
      <c r="AP80" s="3566">
        <f t="shared" si="108"/>
        <v>438</v>
      </c>
      <c r="AQ80" s="3566">
        <f t="shared" si="108"/>
        <v>442</v>
      </c>
      <c r="AR80" s="3566">
        <f t="shared" ref="AR80" si="109">ROUND(AQ80*(1+AR81),0)</f>
        <v>446</v>
      </c>
      <c r="AS80" s="3566">
        <f t="shared" ref="AS80" si="110">ROUND(AR80*(1+AS81),0)</f>
        <v>450</v>
      </c>
      <c r="AT80" s="3566">
        <f t="shared" ref="AT80" si="111">ROUND(AS80*(1+AT81),0)</f>
        <v>455</v>
      </c>
      <c r="AU80" s="3566">
        <f t="shared" ref="AU80" si="112">ROUND(AT80*(1+AU81),0)</f>
        <v>460</v>
      </c>
      <c r="AV80" s="3566">
        <f t="shared" ref="AV80" si="113">ROUND(AU80*(1+AV81),0)</f>
        <v>465</v>
      </c>
      <c r="AW80" s="3566">
        <f t="shared" ref="AW80" si="114">ROUND(AV80*(1+AW81),0)</f>
        <v>470</v>
      </c>
      <c r="AX80" s="3566">
        <f t="shared" ref="AX80" si="115">ROUND(AW80*(1+AX81),0)</f>
        <v>475</v>
      </c>
      <c r="AY80" s="3566">
        <f t="shared" ref="AY80" si="116">ROUND(AX80*(1+AY81),0)</f>
        <v>480</v>
      </c>
      <c r="AZ80" s="3566">
        <f t="shared" ref="AZ80" si="117">ROUND(AY80*(1+AZ81),0)</f>
        <v>485</v>
      </c>
      <c r="BA80" s="3566">
        <f t="shared" ref="BA80" si="118">ROUND(AZ80*(1+BA81),0)</f>
        <v>490</v>
      </c>
      <c r="BB80" s="3566">
        <f t="shared" ref="BB80" si="119">ROUND(BA80*(1+BB81),0)</f>
        <v>495</v>
      </c>
      <c r="BC80" s="3566">
        <f t="shared" ref="BC80" si="120">ROUND(BB80*(1+BC81),0)</f>
        <v>500</v>
      </c>
      <c r="BD80" s="3566">
        <f t="shared" ref="BD80" si="121">ROUND(BC80*(1+BD81),0)</f>
        <v>505</v>
      </c>
      <c r="BE80" s="3566">
        <f t="shared" ref="BE80" si="122">ROUND(BD80*(1+BE81),0)</f>
        <v>510</v>
      </c>
      <c r="BF80" s="3566">
        <f t="shared" ref="BF80" si="123">ROUND(BE80*(1+BF81),0)</f>
        <v>515</v>
      </c>
      <c r="BG80" s="3566">
        <f t="shared" ref="BG80" si="124">ROUND(BF80*(1+BG81),0)</f>
        <v>520</v>
      </c>
      <c r="BH80" s="3566">
        <f t="shared" ref="BH80" si="125">ROUND(BG80*(1+BH81),0)</f>
        <v>525</v>
      </c>
      <c r="BI80" s="3566">
        <f t="shared" ref="BI80" si="126">ROUND(BH80*(1+BI81),0)</f>
        <v>530</v>
      </c>
      <c r="BJ80" s="3566">
        <f t="shared" ref="BJ80" si="127">ROUND(BI80*(1+BJ81),0)</f>
        <v>535</v>
      </c>
      <c r="BK80" s="3566">
        <f t="shared" ref="BK80" si="128">ROUND(BJ80*(1+BK81),0)</f>
        <v>540</v>
      </c>
      <c r="BL80" s="3566">
        <f t="shared" ref="BL80" si="129">ROUND(BK80*(1+BL81),0)</f>
        <v>545</v>
      </c>
      <c r="BM80" s="3566">
        <f t="shared" ref="BM80" si="130">ROUND(BL80*(1+BM81),0)</f>
        <v>550</v>
      </c>
      <c r="BN80" s="3566">
        <f t="shared" ref="BN80" si="131">ROUND(BM80*(1+BN81),0)</f>
        <v>556</v>
      </c>
    </row>
    <row r="81" spans="1:66" s="3570" customFormat="1">
      <c r="A81" s="3568" t="s">
        <v>3859</v>
      </c>
      <c r="B81" s="3569"/>
      <c r="C81" s="3569"/>
      <c r="D81" s="3569"/>
      <c r="E81" s="3569"/>
      <c r="F81" s="3569"/>
      <c r="G81" s="3569"/>
      <c r="H81" s="3569"/>
      <c r="I81" s="3569"/>
      <c r="J81" s="3569"/>
      <c r="K81" s="3569"/>
      <c r="L81" s="3569"/>
      <c r="M81" s="3569"/>
      <c r="N81" s="3569"/>
      <c r="O81" s="3569"/>
      <c r="P81" s="3569"/>
      <c r="Q81" s="3569"/>
      <c r="R81" s="3569"/>
      <c r="S81" s="3569"/>
      <c r="T81" s="3569"/>
      <c r="U81" s="3569"/>
      <c r="V81" s="3569"/>
      <c r="W81" s="3569"/>
      <c r="X81" s="3569"/>
      <c r="Y81" s="3569"/>
      <c r="Z81" s="3569"/>
      <c r="AA81" s="3569"/>
      <c r="AB81" s="3569">
        <v>0.02</v>
      </c>
      <c r="AC81" s="3569">
        <f>AB81</f>
        <v>0.02</v>
      </c>
      <c r="AD81" s="3569">
        <f>AC81</f>
        <v>0.02</v>
      </c>
      <c r="AE81" s="3569">
        <f t="shared" ref="AE81:AJ81" si="132">AD81</f>
        <v>0.02</v>
      </c>
      <c r="AF81" s="3569">
        <f t="shared" si="132"/>
        <v>0.02</v>
      </c>
      <c r="AG81" s="3569">
        <f t="shared" si="132"/>
        <v>0.02</v>
      </c>
      <c r="AH81" s="3569">
        <f t="shared" si="132"/>
        <v>0.02</v>
      </c>
      <c r="AI81" s="3569">
        <f t="shared" si="132"/>
        <v>0.02</v>
      </c>
      <c r="AJ81" s="3569">
        <f t="shared" si="132"/>
        <v>0.02</v>
      </c>
      <c r="AK81" s="3569">
        <v>0.02</v>
      </c>
      <c r="AL81" s="3569">
        <v>0.01</v>
      </c>
      <c r="AM81" s="3569">
        <v>0.01</v>
      </c>
      <c r="AN81" s="3569">
        <v>0.01</v>
      </c>
      <c r="AO81" s="3569">
        <v>0.01</v>
      </c>
      <c r="AP81" s="3569">
        <v>0.01</v>
      </c>
      <c r="AQ81" s="3569">
        <v>0.01</v>
      </c>
      <c r="AR81" s="3569">
        <v>0.01</v>
      </c>
      <c r="AS81" s="3569">
        <v>0.01</v>
      </c>
      <c r="AT81" s="3569">
        <v>0.01</v>
      </c>
      <c r="AU81" s="3569">
        <v>0.01</v>
      </c>
      <c r="AV81" s="3569">
        <v>0.01</v>
      </c>
      <c r="AW81" s="3569">
        <v>0.01</v>
      </c>
      <c r="AX81" s="3569">
        <v>0.01</v>
      </c>
      <c r="AY81" s="3569">
        <v>0.01</v>
      </c>
      <c r="AZ81" s="3569">
        <v>0.01</v>
      </c>
      <c r="BA81" s="3569">
        <v>0.01</v>
      </c>
      <c r="BB81" s="3569">
        <v>0.01</v>
      </c>
      <c r="BC81" s="3569">
        <v>0.01</v>
      </c>
      <c r="BD81" s="3569">
        <v>0.01</v>
      </c>
      <c r="BE81" s="3569">
        <v>0.01</v>
      </c>
      <c r="BF81" s="3569">
        <v>0.01</v>
      </c>
      <c r="BG81" s="3569">
        <v>0.01</v>
      </c>
      <c r="BH81" s="3569">
        <v>0.01</v>
      </c>
      <c r="BI81" s="3569">
        <v>0.01</v>
      </c>
      <c r="BJ81" s="3569">
        <v>0.01</v>
      </c>
      <c r="BK81" s="3569">
        <v>0.01</v>
      </c>
      <c r="BL81" s="3569">
        <v>0.01</v>
      </c>
      <c r="BM81" s="3569">
        <v>0.01</v>
      </c>
      <c r="BN81" s="3569">
        <v>0.01</v>
      </c>
    </row>
    <row r="82" spans="1:66" s="3573" customFormat="1">
      <c r="A82" s="3571" t="s">
        <v>3860</v>
      </c>
      <c r="B82" s="3572"/>
      <c r="C82" s="3572"/>
      <c r="D82" s="3572"/>
      <c r="E82" s="3572"/>
      <c r="F82" s="3572"/>
      <c r="G82" s="3572"/>
      <c r="H82" s="3572"/>
      <c r="I82" s="3572"/>
      <c r="J82" s="3572"/>
      <c r="K82" s="3572"/>
      <c r="L82" s="3572"/>
      <c r="M82" s="3572"/>
      <c r="N82" s="3572"/>
      <c r="O82" s="3572"/>
      <c r="P82" s="3572"/>
      <c r="Q82" s="3572"/>
      <c r="R82" s="3572"/>
      <c r="S82" s="3572"/>
      <c r="T82" s="3572"/>
      <c r="U82" s="3572"/>
      <c r="V82" s="3572"/>
      <c r="W82" s="3572"/>
      <c r="X82" s="3572"/>
      <c r="Y82" s="3572"/>
      <c r="Z82" s="3572"/>
      <c r="AA82" s="3572"/>
      <c r="AB82" s="3572">
        <v>0.5</v>
      </c>
      <c r="AC82" s="3572">
        <v>0.5</v>
      </c>
      <c r="AD82" s="3572">
        <v>0.5</v>
      </c>
      <c r="AE82" s="3572">
        <v>0.5</v>
      </c>
      <c r="AF82" s="3572">
        <v>0.5</v>
      </c>
      <c r="AG82" s="3572">
        <v>0.5</v>
      </c>
      <c r="AH82" s="3572">
        <v>0.5</v>
      </c>
      <c r="AI82" s="3572">
        <v>0.5</v>
      </c>
      <c r="AJ82" s="3572">
        <v>0.5</v>
      </c>
      <c r="AK82" s="3572">
        <v>0.5</v>
      </c>
      <c r="AL82" s="3572">
        <v>0.5</v>
      </c>
      <c r="AM82" s="3572">
        <v>0.5</v>
      </c>
      <c r="AN82" s="3572">
        <v>0.5</v>
      </c>
      <c r="AO82" s="3572">
        <v>0.5</v>
      </c>
      <c r="AP82" s="3572">
        <v>0.5</v>
      </c>
      <c r="AQ82" s="3572">
        <v>0.5</v>
      </c>
      <c r="AR82" s="3572">
        <v>0.5</v>
      </c>
      <c r="AS82" s="3572">
        <v>0.5</v>
      </c>
      <c r="AT82" s="3572">
        <v>0.5</v>
      </c>
      <c r="AU82" s="3572">
        <v>0.5</v>
      </c>
      <c r="AV82" s="3572">
        <v>0.5</v>
      </c>
      <c r="AW82" s="3572">
        <v>0.5</v>
      </c>
      <c r="AX82" s="3572">
        <v>0.5</v>
      </c>
      <c r="AY82" s="3572">
        <v>0.5</v>
      </c>
      <c r="AZ82" s="3572">
        <v>0.5</v>
      </c>
      <c r="BA82" s="3572">
        <v>0.5</v>
      </c>
      <c r="BB82" s="3572">
        <v>0.5</v>
      </c>
      <c r="BC82" s="3572">
        <v>0.5</v>
      </c>
      <c r="BD82" s="3572">
        <v>0.5</v>
      </c>
      <c r="BE82" s="3572">
        <v>0.5</v>
      </c>
      <c r="BF82" s="3572">
        <v>0.5</v>
      </c>
      <c r="BG82" s="3572">
        <v>0.5</v>
      </c>
      <c r="BH82" s="3572">
        <v>0.5</v>
      </c>
      <c r="BI82" s="3572">
        <v>0.5</v>
      </c>
      <c r="BJ82" s="3572">
        <v>0.5</v>
      </c>
      <c r="BK82" s="3572">
        <v>0.5</v>
      </c>
      <c r="BL82" s="3572">
        <v>0.5</v>
      </c>
      <c r="BM82" s="3572">
        <v>0.5</v>
      </c>
      <c r="BN82" s="3572">
        <v>0.5</v>
      </c>
    </row>
    <row r="83" spans="1:66" s="3573" customFormat="1">
      <c r="A83" s="3574"/>
      <c r="B83" s="3575"/>
      <c r="C83" s="3575"/>
      <c r="D83" s="3575"/>
      <c r="E83" s="3575"/>
      <c r="F83" s="3575"/>
      <c r="G83" s="3575"/>
      <c r="H83" s="3575"/>
      <c r="I83" s="3575"/>
      <c r="J83" s="3575"/>
      <c r="K83" s="3575"/>
      <c r="L83" s="3575"/>
      <c r="M83" s="3575"/>
      <c r="N83" s="3575"/>
      <c r="O83" s="3575"/>
      <c r="P83" s="3575"/>
      <c r="Q83" s="3575"/>
      <c r="R83" s="3575"/>
      <c r="S83" s="3575"/>
      <c r="T83" s="3575"/>
      <c r="U83" s="3575"/>
      <c r="V83" s="3575"/>
      <c r="W83" s="3575"/>
      <c r="X83" s="3575"/>
      <c r="Y83" s="3575"/>
      <c r="Z83" s="3575"/>
      <c r="AA83" s="3575"/>
      <c r="AB83" s="3575"/>
      <c r="AC83" s="3575"/>
      <c r="AD83" s="3575"/>
      <c r="AE83" s="3575"/>
      <c r="AF83" s="3575"/>
      <c r="AG83" s="3575"/>
      <c r="AH83" s="3575"/>
      <c r="AI83" s="3575"/>
      <c r="AJ83" s="3575"/>
      <c r="AK83" s="3575"/>
      <c r="AL83" s="3575"/>
      <c r="AM83" s="3575"/>
      <c r="AN83" s="3575"/>
      <c r="AO83" s="3575"/>
      <c r="AP83" s="3575"/>
      <c r="AQ83" s="3575"/>
    </row>
    <row r="84" spans="1:66" s="3573" customFormat="1">
      <c r="A84" s="3574"/>
      <c r="B84" s="3575"/>
      <c r="C84" s="3575"/>
      <c r="D84" s="3575"/>
      <c r="E84" s="3575"/>
      <c r="F84" s="3575"/>
      <c r="G84" s="3575"/>
      <c r="H84" s="3575"/>
      <c r="I84" s="3575"/>
      <c r="J84" s="3575"/>
      <c r="K84" s="3575"/>
      <c r="L84" s="3575"/>
      <c r="M84" s="3575"/>
      <c r="N84" s="3575"/>
      <c r="O84" s="3575"/>
      <c r="P84" s="3575"/>
      <c r="Q84" s="3575"/>
      <c r="R84" s="3575"/>
      <c r="S84" s="3575"/>
      <c r="T84" s="3575"/>
      <c r="U84" s="3575"/>
      <c r="V84" s="3575"/>
      <c r="W84" s="3575"/>
      <c r="X84" s="3575"/>
      <c r="Y84" s="3575"/>
      <c r="Z84" s="3575"/>
      <c r="AA84" s="3575"/>
      <c r="AB84" s="3575"/>
      <c r="AC84" s="3575"/>
      <c r="AD84" s="3575"/>
      <c r="AE84" s="3575"/>
      <c r="AF84" s="3575"/>
      <c r="AG84" s="3575"/>
      <c r="AH84" s="3575"/>
      <c r="AI84" s="3575"/>
      <c r="AJ84" s="3575"/>
      <c r="AK84" s="3575"/>
      <c r="AL84" s="3575"/>
      <c r="AM84" s="3575"/>
      <c r="AN84" s="3575"/>
      <c r="AO84" s="3575"/>
      <c r="AP84" s="3575"/>
      <c r="AQ84" s="3575"/>
    </row>
    <row r="85" spans="1:66" s="3573" customFormat="1">
      <c r="A85" s="3571" t="s">
        <v>3861</v>
      </c>
      <c r="B85" s="3572"/>
      <c r="C85" s="3572"/>
      <c r="D85" s="3572"/>
      <c r="E85" s="3572"/>
      <c r="F85" s="3572"/>
      <c r="G85" s="3572"/>
      <c r="H85" s="3572"/>
      <c r="I85" s="3572"/>
      <c r="J85" s="3572"/>
      <c r="K85" s="3572"/>
      <c r="L85" s="3572"/>
      <c r="M85" s="3572"/>
      <c r="N85" s="3572"/>
      <c r="O85" s="3572"/>
      <c r="P85" s="3572"/>
      <c r="Q85" s="3572"/>
      <c r="R85" s="3572"/>
      <c r="S85" s="3572"/>
      <c r="T85" s="3572"/>
      <c r="U85" s="3572"/>
      <c r="V85" s="3572"/>
      <c r="W85" s="3572"/>
      <c r="X85" s="3572"/>
      <c r="Y85" s="3572"/>
      <c r="Z85" s="3572"/>
      <c r="AA85" s="3572"/>
      <c r="AB85" s="3572">
        <v>0.01</v>
      </c>
      <c r="AC85" s="3572">
        <f>AB85</f>
        <v>0.01</v>
      </c>
      <c r="AD85" s="3572">
        <f t="shared" ref="AD85:AP85" si="133">AC85</f>
        <v>0.01</v>
      </c>
      <c r="AE85" s="3572">
        <f t="shared" si="133"/>
        <v>0.01</v>
      </c>
      <c r="AF85" s="3572">
        <f t="shared" si="133"/>
        <v>0.01</v>
      </c>
      <c r="AG85" s="3572">
        <f t="shared" si="133"/>
        <v>0.01</v>
      </c>
      <c r="AH85" s="3572">
        <f t="shared" si="133"/>
        <v>0.01</v>
      </c>
      <c r="AI85" s="3572">
        <f t="shared" si="133"/>
        <v>0.01</v>
      </c>
      <c r="AJ85" s="3572">
        <f t="shared" si="133"/>
        <v>0.01</v>
      </c>
      <c r="AK85" s="3572">
        <f t="shared" si="133"/>
        <v>0.01</v>
      </c>
      <c r="AL85" s="3572">
        <f t="shared" si="133"/>
        <v>0.01</v>
      </c>
      <c r="AM85" s="3572">
        <f t="shared" si="133"/>
        <v>0.01</v>
      </c>
      <c r="AN85" s="3572">
        <f t="shared" si="133"/>
        <v>0.01</v>
      </c>
      <c r="AO85" s="3572">
        <f t="shared" si="133"/>
        <v>0.01</v>
      </c>
      <c r="AP85" s="3572">
        <f t="shared" si="133"/>
        <v>0.01</v>
      </c>
      <c r="AQ85" s="3575"/>
    </row>
    <row r="86" spans="1:66" s="3573" customFormat="1">
      <c r="A86" s="3574"/>
      <c r="B86" s="3575"/>
      <c r="C86" s="3575"/>
      <c r="D86" s="3575"/>
      <c r="E86" s="3575"/>
      <c r="F86" s="3575"/>
      <c r="G86" s="3575"/>
      <c r="H86" s="3575"/>
      <c r="I86" s="3575"/>
      <c r="J86" s="3575"/>
      <c r="K86" s="3575"/>
      <c r="L86" s="3575"/>
      <c r="M86" s="3575"/>
      <c r="N86" s="3575"/>
      <c r="O86" s="3575"/>
      <c r="P86" s="3575"/>
      <c r="Q86" s="3575"/>
      <c r="R86" s="3575"/>
      <c r="S86" s="3575"/>
      <c r="T86" s="3575"/>
      <c r="U86" s="3575"/>
      <c r="V86" s="3575"/>
      <c r="W86" s="3575"/>
      <c r="X86" s="3575"/>
      <c r="Y86" s="3575"/>
      <c r="Z86" s="3575"/>
      <c r="AA86" s="3575"/>
      <c r="AB86" s="3575"/>
      <c r="AC86" s="3575"/>
      <c r="AD86" s="3575"/>
      <c r="AE86" s="3575"/>
      <c r="AF86" s="3575"/>
      <c r="AG86" s="3575"/>
      <c r="AH86" s="3575"/>
      <c r="AI86" s="3575"/>
      <c r="AJ86" s="3575"/>
      <c r="AK86" s="3575"/>
      <c r="AL86" s="3575"/>
      <c r="AM86" s="3575"/>
      <c r="AN86" s="3575"/>
      <c r="AO86" s="3575"/>
      <c r="AP86" s="3575"/>
      <c r="AQ86" s="3575"/>
    </row>
    <row r="87" spans="1:66" s="3573" customFormat="1">
      <c r="A87" s="3574"/>
      <c r="B87" s="3575"/>
      <c r="C87" s="3575"/>
      <c r="D87" s="3575"/>
      <c r="E87" s="3575"/>
      <c r="F87" s="3575"/>
      <c r="G87" s="3575"/>
      <c r="H87" s="3575"/>
      <c r="I87" s="3575"/>
      <c r="J87" s="3575"/>
      <c r="K87" s="3575"/>
      <c r="L87" s="3575"/>
      <c r="M87" s="3575"/>
      <c r="N87" s="3575"/>
      <c r="O87" s="3575"/>
      <c r="P87" s="3575"/>
      <c r="Q87" s="3575"/>
      <c r="R87" s="3575"/>
      <c r="S87" s="3575"/>
      <c r="T87" s="3575"/>
      <c r="U87" s="3575"/>
      <c r="V87" s="3575"/>
      <c r="W87" s="3575"/>
      <c r="X87" s="3575"/>
      <c r="Y87" s="3575"/>
      <c r="Z87" s="3575"/>
      <c r="AA87" s="3575"/>
      <c r="AB87" s="3575"/>
      <c r="AC87" s="3575"/>
      <c r="AD87" s="3575"/>
      <c r="AE87" s="3575"/>
      <c r="AF87" s="3575"/>
      <c r="AG87" s="3575"/>
      <c r="AH87" s="3575"/>
      <c r="AI87" s="3575"/>
      <c r="AJ87" s="3575"/>
      <c r="AK87" s="3575"/>
      <c r="AL87" s="3575"/>
      <c r="AM87" s="3575"/>
      <c r="AN87" s="3575"/>
      <c r="AO87" s="3575"/>
      <c r="AP87" s="3575"/>
      <c r="AQ87" s="3575"/>
    </row>
    <row r="88" spans="1:66">
      <c r="A88" s="3576" t="s">
        <v>3862</v>
      </c>
      <c r="C88" s="3478"/>
      <c r="D88" s="3478"/>
      <c r="E88" s="3478"/>
      <c r="F88" s="3478"/>
      <c r="AA88" s="3577" t="e">
        <f t="shared" ref="AA88:AP88" si="134">AA12/AA9</f>
        <v>#DIV/0!</v>
      </c>
      <c r="AB88" s="3577">
        <f t="shared" si="134"/>
        <v>6.014041249298728E-2</v>
      </c>
      <c r="AC88" s="3577">
        <f t="shared" si="134"/>
        <v>6.1430451983330185E-2</v>
      </c>
      <c r="AD88" s="3577">
        <f t="shared" si="134"/>
        <v>6.5294368496600516E-2</v>
      </c>
      <c r="AE88" s="3577">
        <f t="shared" si="134"/>
        <v>6.9533644019186519E-2</v>
      </c>
      <c r="AF88" s="3577">
        <f t="shared" si="134"/>
        <v>6.9243223273901811E-2</v>
      </c>
      <c r="AG88" s="3577">
        <f t="shared" si="134"/>
        <v>7.2413775683085047E-2</v>
      </c>
      <c r="AH88" s="3577">
        <f t="shared" si="134"/>
        <v>7.1842186750782216E-2</v>
      </c>
      <c r="AI88" s="3577">
        <f t="shared" si="134"/>
        <v>7.1151080071802084E-2</v>
      </c>
      <c r="AJ88" s="3577">
        <f t="shared" si="134"/>
        <v>7.1081663304206261E-2</v>
      </c>
      <c r="AK88" s="3577">
        <f t="shared" si="134"/>
        <v>7.1014988442053464E-2</v>
      </c>
      <c r="AL88" s="3577">
        <f t="shared" si="134"/>
        <v>7.1094176968922021E-2</v>
      </c>
      <c r="AM88" s="3577">
        <f t="shared" si="134"/>
        <v>7.1170350651691E-2</v>
      </c>
      <c r="AN88" s="3577">
        <f t="shared" si="134"/>
        <v>7.1243668247898281E-2</v>
      </c>
      <c r="AO88" s="3577">
        <f t="shared" si="134"/>
        <v>7.1180717898641291E-2</v>
      </c>
      <c r="AP88" s="3577">
        <f t="shared" si="134"/>
        <v>7.1120261086588629E-2</v>
      </c>
      <c r="AQ88" s="3577"/>
    </row>
    <row r="89" spans="1:66">
      <c r="A89" s="3576" t="s">
        <v>3863</v>
      </c>
      <c r="AA89" s="3577" t="e">
        <f t="shared" ref="AA89:AP89" si="135">AA13/AA9</f>
        <v>#DIV/0!</v>
      </c>
      <c r="AB89" s="3577">
        <f t="shared" si="135"/>
        <v>1.7485208225874998E-2</v>
      </c>
      <c r="AC89" s="3577">
        <f t="shared" si="135"/>
        <v>1.4883561276046066E-2</v>
      </c>
      <c r="AD89" s="3577">
        <f t="shared" si="135"/>
        <v>1.3559762682571237E-2</v>
      </c>
      <c r="AE89" s="3577">
        <f t="shared" si="135"/>
        <v>1.2635121355803844E-2</v>
      </c>
      <c r="AF89" s="3577">
        <f t="shared" si="135"/>
        <v>1.1842209771421057E-2</v>
      </c>
      <c r="AG89" s="3577">
        <f t="shared" si="135"/>
        <v>1.1700212760293378E-2</v>
      </c>
      <c r="AH89" s="3577">
        <f t="shared" si="135"/>
        <v>1.1611466830138889E-2</v>
      </c>
      <c r="AI89" s="3577">
        <f t="shared" si="135"/>
        <v>1.1503201304148798E-2</v>
      </c>
      <c r="AJ89" s="3577">
        <f t="shared" si="135"/>
        <v>1.149527656623511E-2</v>
      </c>
      <c r="AK89" s="3577">
        <f t="shared" si="135"/>
        <v>1.1487665527050548E-2</v>
      </c>
      <c r="AL89" s="3577">
        <f t="shared" si="135"/>
        <v>1.1372118725895152E-2</v>
      </c>
      <c r="AM89" s="3577">
        <f t="shared" si="135"/>
        <v>1.1260979087560862E-2</v>
      </c>
      <c r="AN89" s="3577">
        <f t="shared" si="135"/>
        <v>1.1153999245760703E-2</v>
      </c>
      <c r="AO89" s="3577">
        <f t="shared" si="135"/>
        <v>1.103025106542707E-2</v>
      </c>
      <c r="AP89" s="3577">
        <f t="shared" si="135"/>
        <v>1.0911405369759821E-2</v>
      </c>
      <c r="AQ89" s="3577"/>
    </row>
    <row r="90" spans="1:66">
      <c r="A90" s="3576" t="s">
        <v>3864</v>
      </c>
      <c r="AA90" s="3577" t="e">
        <f t="shared" ref="AA90:AP90" si="136">AA14/AA9</f>
        <v>#DIV/0!</v>
      </c>
      <c r="AB90" s="3577">
        <f t="shared" si="136"/>
        <v>0</v>
      </c>
      <c r="AC90" s="3577">
        <f t="shared" si="136"/>
        <v>0</v>
      </c>
      <c r="AD90" s="3577">
        <f t="shared" si="136"/>
        <v>0</v>
      </c>
      <c r="AE90" s="3577">
        <f t="shared" si="136"/>
        <v>0</v>
      </c>
      <c r="AF90" s="3577">
        <f t="shared" si="136"/>
        <v>0</v>
      </c>
      <c r="AG90" s="3577">
        <f t="shared" si="136"/>
        <v>0</v>
      </c>
      <c r="AH90" s="3577">
        <f t="shared" si="136"/>
        <v>0</v>
      </c>
      <c r="AI90" s="3577">
        <f t="shared" si="136"/>
        <v>0</v>
      </c>
      <c r="AJ90" s="3577">
        <f t="shared" si="136"/>
        <v>0</v>
      </c>
      <c r="AK90" s="3577">
        <f t="shared" si="136"/>
        <v>0</v>
      </c>
      <c r="AL90" s="3577">
        <f t="shared" si="136"/>
        <v>0</v>
      </c>
      <c r="AM90" s="3577">
        <f t="shared" si="136"/>
        <v>0</v>
      </c>
      <c r="AN90" s="3577">
        <f t="shared" si="136"/>
        <v>0</v>
      </c>
      <c r="AO90" s="3577">
        <f t="shared" si="136"/>
        <v>0</v>
      </c>
      <c r="AP90" s="3577">
        <f t="shared" si="136"/>
        <v>0</v>
      </c>
      <c r="AQ90" s="3577"/>
    </row>
    <row r="91" spans="1:66">
      <c r="A91" s="3576" t="s">
        <v>3865</v>
      </c>
      <c r="AA91" s="3577" t="e">
        <f t="shared" ref="AA91:AP91" si="137">AA17/AA9</f>
        <v>#DIV/0!</v>
      </c>
      <c r="AB91" s="3577">
        <f t="shared" si="137"/>
        <v>0.10337982248287587</v>
      </c>
      <c r="AC91" s="3577">
        <f t="shared" si="137"/>
        <v>9.7856073662299037E-2</v>
      </c>
      <c r="AD91" s="3577">
        <f t="shared" si="137"/>
        <v>9.6189715569148834E-2</v>
      </c>
      <c r="AE91" s="3577">
        <f t="shared" si="137"/>
        <v>9.3514529967064511E-2</v>
      </c>
      <c r="AF91" s="3577">
        <f t="shared" si="137"/>
        <v>9.1230203453460973E-2</v>
      </c>
      <c r="AG91" s="3577">
        <f t="shared" si="137"/>
        <v>9.0378570952648868E-2</v>
      </c>
      <c r="AH91" s="3577">
        <f t="shared" si="137"/>
        <v>8.9674682506725195E-2</v>
      </c>
      <c r="AI91" s="3577">
        <f t="shared" si="137"/>
        <v>8.8958155315922147E-2</v>
      </c>
      <c r="AJ91" s="3577">
        <f t="shared" si="137"/>
        <v>8.8474496013038667E-2</v>
      </c>
      <c r="AK91" s="3577">
        <f t="shared" si="137"/>
        <v>8.8009978328493291E-2</v>
      </c>
      <c r="AL91" s="3577">
        <f t="shared" si="137"/>
        <v>8.7562625936210586E-2</v>
      </c>
      <c r="AM91" s="3577">
        <f t="shared" si="137"/>
        <v>8.7132336368787464E-2</v>
      </c>
      <c r="AN91" s="3577">
        <f t="shared" si="137"/>
        <v>8.6718151803037394E-2</v>
      </c>
      <c r="AO91" s="3577">
        <f t="shared" si="137"/>
        <v>8.6279252964427719E-2</v>
      </c>
      <c r="AP91" s="3577">
        <f t="shared" si="137"/>
        <v>8.585774190773203E-2</v>
      </c>
      <c r="AQ91" s="3577"/>
    </row>
    <row r="92" spans="1:66">
      <c r="A92" s="3576" t="s">
        <v>3866</v>
      </c>
      <c r="AA92" s="3577" t="e">
        <f t="shared" ref="AA92:AP92" si="138">AA28/AA9</f>
        <v>#DIV/0!</v>
      </c>
      <c r="AB92" s="3577">
        <f t="shared" si="138"/>
        <v>0.12739516865578007</v>
      </c>
      <c r="AC92" s="3577">
        <f t="shared" si="138"/>
        <v>0.12754160035920917</v>
      </c>
      <c r="AD92" s="3577">
        <f t="shared" si="138"/>
        <v>0.12777742822489147</v>
      </c>
      <c r="AE92" s="3577">
        <f t="shared" si="138"/>
        <v>0.12814814312351636</v>
      </c>
      <c r="AF92" s="3577">
        <f t="shared" si="138"/>
        <v>0.12817744977007689</v>
      </c>
      <c r="AG92" s="3577">
        <f t="shared" si="138"/>
        <v>0.1284402998950025</v>
      </c>
      <c r="AH92" s="3577">
        <f t="shared" si="138"/>
        <v>0.12842537090276565</v>
      </c>
      <c r="AI92" s="3577">
        <f t="shared" si="138"/>
        <v>0.12840083128629701</v>
      </c>
      <c r="AJ92" s="3577">
        <f t="shared" si="138"/>
        <v>0.12841819108386263</v>
      </c>
      <c r="AK92" s="3577">
        <f t="shared" si="138"/>
        <v>0.12843486460769793</v>
      </c>
      <c r="AL92" s="3577">
        <f t="shared" si="138"/>
        <v>0.12845350464750097</v>
      </c>
      <c r="AM92" s="3577">
        <f t="shared" si="138"/>
        <v>0.12847143927140492</v>
      </c>
      <c r="AN92" s="3577">
        <f t="shared" si="138"/>
        <v>0.12848869791471573</v>
      </c>
      <c r="AO92" s="3577">
        <f t="shared" si="138"/>
        <v>0.12849590454189855</v>
      </c>
      <c r="AP92" s="3577">
        <f t="shared" si="138"/>
        <v>0.12850283072253071</v>
      </c>
      <c r="AQ92" s="3577"/>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2" t="s">
        <v>949</v>
      </c>
      <c r="B1" s="3602"/>
      <c r="C1" s="3602"/>
      <c r="D1" s="3602"/>
    </row>
    <row r="2" spans="1:4" ht="18">
      <c r="A2" s="3603" t="s">
        <v>933</v>
      </c>
      <c r="B2" s="3603"/>
      <c r="C2" s="3603"/>
      <c r="D2" s="3603"/>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603" t="s">
        <v>939</v>
      </c>
      <c r="B6" s="3603"/>
      <c r="C6" s="3603"/>
      <c r="D6" s="3603"/>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604" t="s">
        <v>942</v>
      </c>
      <c r="B11" s="3605"/>
      <c r="C11" s="3605"/>
      <c r="D11" s="3605"/>
    </row>
    <row r="12" spans="1:4" ht="15.75">
      <c r="A12" s="36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6"/>
      <c r="C12" s="3606"/>
      <c r="D12" s="3606"/>
    </row>
    <row r="13" spans="1:4" ht="30" customHeight="1">
      <c r="A13" s="36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6"/>
      <c r="C13" s="3606"/>
      <c r="D13" s="3606"/>
    </row>
    <row r="14" spans="1:4" ht="15.75" customHeight="1">
      <c r="A14" s="3605" t="str">
        <f>IF(项目基本情况!B8="抵押","4.本次评估估价师所知悉的法定优先受偿款情况说明如下：","——")</f>
        <v>4.本次评估估价师所知悉的法定优先受偿款情况说明如下：</v>
      </c>
      <c r="B14" s="3606"/>
      <c r="C14" s="3606"/>
      <c r="D14" s="3606"/>
    </row>
    <row r="15" spans="1:4" ht="42" customHeight="1">
      <c r="A15" s="36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5"/>
      <c r="C15" s="3605"/>
      <c r="D15" s="3605"/>
    </row>
    <row r="16" spans="1:4" ht="30" customHeight="1">
      <c r="A16" s="3608" t="s">
        <v>943</v>
      </c>
      <c r="B16" s="3608"/>
      <c r="C16" s="3608"/>
      <c r="D16" s="3608"/>
    </row>
    <row r="17" spans="1:4" ht="144" customHeight="1">
      <c r="A17" s="3608" t="s">
        <v>944</v>
      </c>
      <c r="B17" s="3608"/>
      <c r="C17" s="3608"/>
      <c r="D17" s="3608"/>
    </row>
    <row r="18" spans="1:4" ht="15.75" customHeight="1">
      <c r="A18" s="3605" t="str">
        <f>IF(项目基本情况!B8="抵押",结果表!K120,"——")</f>
        <v>故，本次评估不存在</v>
      </c>
      <c r="B18" s="3605"/>
      <c r="C18" s="3605"/>
      <c r="D18" s="3605"/>
    </row>
    <row r="19" spans="1:4" ht="46.5" customHeight="1">
      <c r="A19" s="36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5"/>
      <c r="C19" s="3605"/>
      <c r="D19" s="3605"/>
    </row>
    <row r="20" spans="1:4" ht="57.75" customHeight="1">
      <c r="A20" s="36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5"/>
      <c r="C20" s="3605"/>
      <c r="D20" s="3605"/>
    </row>
    <row r="21" spans="1:4" ht="57.75" customHeight="1">
      <c r="A21" s="36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9"/>
      <c r="C21" s="3609"/>
      <c r="D21" s="3609"/>
    </row>
    <row r="22" spans="1:4" ht="18.75" customHeight="1">
      <c r="A22" s="3610" t="s">
        <v>945</v>
      </c>
      <c r="B22" s="3610"/>
      <c r="C22" s="3610"/>
      <c r="D22" s="361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07">
        <v>42551</v>
      </c>
      <c r="D31" s="36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6" t="s">
        <v>956</v>
      </c>
      <c r="B15" s="3611" t="s">
        <v>109</v>
      </c>
      <c r="C15" s="3612"/>
    </row>
    <row r="16" spans="1:7" ht="13.5">
      <c r="A16" s="3617"/>
      <c r="B16" s="3611" t="s">
        <v>42</v>
      </c>
      <c r="C16" s="3612"/>
    </row>
    <row r="17" spans="1:3" ht="13.5">
      <c r="A17" s="3617"/>
      <c r="B17" s="3614" t="s">
        <v>957</v>
      </c>
      <c r="C17" s="1530" t="s">
        <v>956</v>
      </c>
    </row>
    <row r="18" spans="1:3" ht="13.5">
      <c r="A18" s="3617"/>
      <c r="B18" s="3614"/>
      <c r="C18" s="1530" t="s">
        <v>958</v>
      </c>
    </row>
    <row r="19" spans="1:3" ht="13.5">
      <c r="A19" s="3617"/>
      <c r="B19" s="3614"/>
      <c r="C19" s="1530" t="s">
        <v>959</v>
      </c>
    </row>
    <row r="20" spans="1:3" ht="13.5">
      <c r="A20" s="3618"/>
      <c r="B20" s="3613" t="s">
        <v>960</v>
      </c>
      <c r="C20" s="3612"/>
    </row>
    <row r="21" spans="1:3" ht="13.5">
      <c r="A21" s="1531" t="s">
        <v>961</v>
      </c>
      <c r="B21" s="1532"/>
      <c r="C21" s="1533"/>
    </row>
    <row r="22" spans="1:3" ht="13.5">
      <c r="A22" s="3615" t="s">
        <v>962</v>
      </c>
      <c r="B22" s="3613" t="s">
        <v>963</v>
      </c>
      <c r="C22" s="3612"/>
    </row>
    <row r="23" spans="1:3" ht="13.5">
      <c r="A23" s="3615"/>
      <c r="B23" s="3613" t="s">
        <v>964</v>
      </c>
      <c r="C23" s="3612"/>
    </row>
    <row r="24" spans="1:3" ht="13.5">
      <c r="A24" s="3615"/>
      <c r="B24" s="3613" t="s">
        <v>965</v>
      </c>
      <c r="C24" s="3612"/>
    </row>
    <row r="25" spans="1:3" ht="13.5">
      <c r="A25" s="3615"/>
      <c r="B25" s="3614" t="s">
        <v>966</v>
      </c>
      <c r="C25" s="1530" t="s">
        <v>967</v>
      </c>
    </row>
    <row r="26" spans="1:3" ht="13.5">
      <c r="A26" s="3615"/>
      <c r="B26" s="3614"/>
      <c r="C26" s="1530" t="s">
        <v>968</v>
      </c>
    </row>
    <row r="27" spans="1:3" ht="13.5">
      <c r="A27" s="3615"/>
      <c r="B27" s="3614"/>
      <c r="C27" s="1530" t="s">
        <v>969</v>
      </c>
    </row>
    <row r="28" spans="1:3" ht="13.5">
      <c r="A28" s="3615"/>
      <c r="B28" s="3614"/>
      <c r="C28" s="1530" t="s">
        <v>970</v>
      </c>
    </row>
    <row r="29" spans="1:3" ht="13.5">
      <c r="A29" s="3615"/>
      <c r="B29" s="3614"/>
      <c r="C29" s="1530" t="s">
        <v>971</v>
      </c>
    </row>
    <row r="30" spans="1:3" ht="13.5">
      <c r="A30" s="3615"/>
      <c r="B30" s="3614"/>
      <c r="C30" s="1530" t="s">
        <v>972</v>
      </c>
    </row>
    <row r="31" spans="1:3" ht="13.5">
      <c r="A31" s="3615"/>
      <c r="B31" s="3614"/>
      <c r="C31" s="1530" t="s">
        <v>973</v>
      </c>
    </row>
    <row r="32" spans="1:3" ht="13.5">
      <c r="A32" s="3615"/>
      <c r="B32" s="3614"/>
      <c r="C32" s="1530" t="s">
        <v>974</v>
      </c>
    </row>
    <row r="33" spans="1:3" ht="13.5">
      <c r="A33" s="3615"/>
      <c r="B33" s="361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45169</v>
      </c>
      <c r="C2" s="2336" t="s">
        <v>2140</v>
      </c>
      <c r="D2" s="2336"/>
      <c r="E2" s="2336"/>
      <c r="F2" s="2332"/>
      <c r="G2" s="2332"/>
      <c r="H2" s="2332"/>
    </row>
    <row r="3" spans="1:8" ht="24" customHeight="1">
      <c r="A3" s="2337" t="s">
        <v>2141</v>
      </c>
      <c r="B3" s="2338" t="s">
        <v>2142</v>
      </c>
      <c r="C3" s="2338" t="s">
        <v>2143</v>
      </c>
      <c r="D3" s="2339" t="s">
        <v>2144</v>
      </c>
      <c r="E3" s="2340" t="s">
        <v>2145</v>
      </c>
      <c r="F3" s="1302" t="s">
        <v>2146</v>
      </c>
      <c r="G3" s="2338" t="s">
        <v>2143</v>
      </c>
      <c r="H3" s="2339" t="s">
        <v>2147</v>
      </c>
    </row>
    <row r="4" spans="1:8" ht="24" customHeight="1">
      <c r="A4" s="1302" t="s">
        <v>2148</v>
      </c>
      <c r="B4" s="1302">
        <f ca="1">IF(C4&lt;B2,"已过期",1119970066)</f>
        <v>1119970066</v>
      </c>
      <c r="C4" s="2341">
        <v>45937</v>
      </c>
      <c r="D4" s="2342" t="str">
        <f ca="1">A4&amp;"（注册号："&amp;B4&amp;"）"</f>
        <v>梁津（注册号：1119970066）</v>
      </c>
      <c r="E4" s="2343" t="s">
        <v>2148</v>
      </c>
      <c r="F4" s="1302">
        <f ca="1">IF(G4&lt;B2,"已过期",96010014)</f>
        <v>96010014</v>
      </c>
      <c r="G4" s="2344">
        <v>47118</v>
      </c>
      <c r="H4" s="2345" t="str">
        <f ca="1">E4&amp;"（注册号："&amp;F4&amp;"）"</f>
        <v>梁津（注册号：96010014）</v>
      </c>
    </row>
    <row r="5" spans="1:8" ht="24" customHeight="1">
      <c r="A5" s="1302" t="s">
        <v>2149</v>
      </c>
      <c r="B5" s="1302">
        <f ca="1">IF(C5&lt;B2,"已过期",1119970111)</f>
        <v>1119970111</v>
      </c>
      <c r="C5" s="2341">
        <v>45937</v>
      </c>
      <c r="D5" s="2342" t="str">
        <f t="shared" ref="D5:D15" ca="1" si="0">A5&amp;"（注册号："&amp;B5&amp;"）"</f>
        <v>叶凌（注册号：1119970111）</v>
      </c>
      <c r="E5" s="2343" t="s">
        <v>2149</v>
      </c>
      <c r="F5" s="1302">
        <f ca="1">IF(G5&lt;B2,"已过期",94010078)</f>
        <v>94010078</v>
      </c>
      <c r="G5" s="2344">
        <v>46387</v>
      </c>
      <c r="H5" s="2345" t="str">
        <f t="shared" ref="H5:H16" ca="1" si="1">E5&amp;"（注册号："&amp;F5&amp;"）"</f>
        <v>叶凌（注册号：94010078）</v>
      </c>
    </row>
    <row r="6" spans="1:8" ht="24" customHeight="1">
      <c r="A6" s="1302" t="s">
        <v>2150</v>
      </c>
      <c r="B6" s="1302">
        <f ca="1">IF(C6&lt;B2,"已过期",1120050019)</f>
        <v>1120050019</v>
      </c>
      <c r="C6" s="2341">
        <v>45410</v>
      </c>
      <c r="D6" s="2342" t="str">
        <f t="shared" ca="1" si="0"/>
        <v>王鹏（注册号：1120050019）</v>
      </c>
      <c r="E6" s="2343" t="s">
        <v>2150</v>
      </c>
      <c r="F6" s="1302">
        <f ca="1">IF(G6&lt;B2,"已过期",2002110030)</f>
        <v>2002110030</v>
      </c>
      <c r="G6" s="2344">
        <v>46387</v>
      </c>
      <c r="H6" s="2345" t="str">
        <f t="shared" ca="1" si="1"/>
        <v>王鹏（注册号：2002110030）</v>
      </c>
    </row>
    <row r="7" spans="1:8" ht="24" customHeight="1">
      <c r="A7" s="1302" t="s">
        <v>2151</v>
      </c>
      <c r="B7" s="1302">
        <f ca="1">IF(C7&lt;B2,"已过期",1120000080)</f>
        <v>1120000080</v>
      </c>
      <c r="C7" s="2341">
        <v>45937</v>
      </c>
      <c r="D7" s="2342" t="str">
        <f t="shared" ca="1" si="0"/>
        <v>欧红伟（注册号：1120000080）</v>
      </c>
      <c r="E7" s="2343" t="s">
        <v>2151</v>
      </c>
      <c r="F7" s="1302">
        <f ca="1">IF(G7&lt;B2,"已过期",2000110082)</f>
        <v>2000110082</v>
      </c>
      <c r="G7" s="2344">
        <v>46387</v>
      </c>
      <c r="H7" s="2345" t="str">
        <f t="shared" ca="1" si="1"/>
        <v>欧红伟（注册号：2000110082）</v>
      </c>
    </row>
    <row r="8" spans="1:8" ht="24" customHeight="1">
      <c r="A8" s="1302" t="s">
        <v>2152</v>
      </c>
      <c r="B8" s="1302">
        <f ca="1">IF(C8&lt;B2,"已过期",1419970001)</f>
        <v>1419970001</v>
      </c>
      <c r="C8" s="2341">
        <v>45937</v>
      </c>
      <c r="D8" s="2342" t="str">
        <f t="shared" ca="1" si="0"/>
        <v>吴薇（注册号：1419970001）</v>
      </c>
      <c r="E8" s="2343" t="s">
        <v>2152</v>
      </c>
      <c r="F8" s="1302">
        <f ca="1">IF(G8&lt;B2,"已过期",2002110125)</f>
        <v>2002110125</v>
      </c>
      <c r="G8" s="2344">
        <v>47118</v>
      </c>
      <c r="H8" s="2345" t="str">
        <f t="shared" ca="1" si="1"/>
        <v>吴薇（注册号：2002110125）</v>
      </c>
    </row>
    <row r="9" spans="1:8" ht="24" customHeight="1">
      <c r="A9" s="1302" t="s">
        <v>2153</v>
      </c>
      <c r="B9" s="1302">
        <f ca="1">IF(C9&lt;B2,"已过期",1120060040)</f>
        <v>1120060040</v>
      </c>
      <c r="C9" s="2346">
        <v>45592</v>
      </c>
      <c r="D9" s="2342" t="str">
        <f t="shared" ca="1" si="0"/>
        <v>陈颖（注册号：1120060040）</v>
      </c>
      <c r="E9" s="2343" t="s">
        <v>2153</v>
      </c>
      <c r="F9" s="1302">
        <f ca="1">IF(G9&lt;B2,"已过期",2004110096)</f>
        <v>2004110096</v>
      </c>
      <c r="G9" s="2344">
        <v>47118</v>
      </c>
      <c r="H9" s="2345" t="str">
        <f t="shared" ca="1" si="1"/>
        <v>陈颖（注册号：2004110096）</v>
      </c>
    </row>
    <row r="10" spans="1:8" ht="24" customHeight="1">
      <c r="A10" s="1302" t="s">
        <v>2154</v>
      </c>
      <c r="B10" s="1302">
        <f ca="1">IF(C10&lt;B2,"已过期",1120100036)</f>
        <v>1120100036</v>
      </c>
      <c r="C10" s="2346">
        <v>45752</v>
      </c>
      <c r="D10" s="2342" t="str">
        <f t="shared" ca="1" si="0"/>
        <v>崔锴（注册号：1120100036）</v>
      </c>
      <c r="E10" s="2343" t="s">
        <v>2154</v>
      </c>
      <c r="F10" s="1302">
        <f ca="1">IF(G10&lt;B2,"已过期",2010110070)</f>
        <v>2010110070</v>
      </c>
      <c r="G10" s="2344">
        <v>47907</v>
      </c>
      <c r="H10" s="2345" t="str">
        <f t="shared" ca="1" si="1"/>
        <v>崔锴（注册号：2010110070）</v>
      </c>
    </row>
    <row r="11" spans="1:8" ht="24" customHeight="1">
      <c r="A11" s="1302" t="s">
        <v>2155</v>
      </c>
      <c r="B11" s="1302">
        <f ca="1">IF(C11&lt;B2,"已过期",1120070131)</f>
        <v>1120070131</v>
      </c>
      <c r="C11" s="2341">
        <v>45937</v>
      </c>
      <c r="D11" s="2342" t="str">
        <f t="shared" ca="1" si="0"/>
        <v>郑燚（注册号：1120070131）</v>
      </c>
      <c r="E11" s="2343" t="s">
        <v>2155</v>
      </c>
      <c r="F11" s="1302">
        <f ca="1">IF(G11&lt;B2,"已过期",2014110011)</f>
        <v>2014110011</v>
      </c>
      <c r="G11" s="2344">
        <v>49302</v>
      </c>
      <c r="H11" s="2345" t="str">
        <f t="shared" ca="1" si="1"/>
        <v>郑燚（注册号：2014110011）</v>
      </c>
    </row>
    <row r="12" spans="1:8" ht="24" customHeight="1">
      <c r="A12" s="1302" t="s">
        <v>2156</v>
      </c>
      <c r="B12" s="1302">
        <f ca="1">IF(C12&lt;B2,"已过期",1120040230)</f>
        <v>1120040230</v>
      </c>
      <c r="C12" s="2346">
        <v>45937</v>
      </c>
      <c r="D12" s="2342" t="str">
        <f t="shared" ca="1" si="0"/>
        <v>苏海（注册号：1120040230）</v>
      </c>
      <c r="E12" s="2343" t="s">
        <v>2156</v>
      </c>
      <c r="F12" s="1302">
        <f ca="1">IF(G12&lt;B2,"已过期",98030020)</f>
        <v>98030020</v>
      </c>
      <c r="G12" s="2344">
        <v>47118</v>
      </c>
      <c r="H12" s="2345" t="str">
        <f t="shared" ca="1" si="1"/>
        <v>苏海（注册号：98030020）</v>
      </c>
    </row>
    <row r="13" spans="1:8" ht="24" customHeight="1">
      <c r="A13" s="1302" t="s">
        <v>2157</v>
      </c>
      <c r="B13" s="1302">
        <f ca="1">IF(C13&lt;B2,"已过期",1120020033)</f>
        <v>1120020033</v>
      </c>
      <c r="C13" s="2341">
        <v>45375</v>
      </c>
      <c r="D13" s="2342" t="str">
        <f t="shared" ca="1" si="0"/>
        <v>刘敬东（注册号：1120020033）</v>
      </c>
      <c r="E13" s="2343" t="s">
        <v>2157</v>
      </c>
      <c r="F13" s="1302">
        <f ca="1">IF(G13&lt;B2,"已过期",2000110137)</f>
        <v>2000110137</v>
      </c>
      <c r="G13" s="2344">
        <v>46387</v>
      </c>
      <c r="H13" s="2345" t="str">
        <f t="shared" ca="1" si="1"/>
        <v>刘敬东（注册号：2000110137）</v>
      </c>
    </row>
    <row r="14" spans="1:8" ht="24" customHeight="1">
      <c r="A14" s="1302" t="s">
        <v>2158</v>
      </c>
      <c r="B14" s="1302" t="str">
        <f ca="1">IF(C14&lt;B2,"已过期",1119980106)</f>
        <v>已过期</v>
      </c>
      <c r="C14" s="2346">
        <v>44969</v>
      </c>
      <c r="D14" s="2342" t="str">
        <f t="shared" ca="1" si="0"/>
        <v>刘俊财（注册号：已过期）</v>
      </c>
      <c r="E14" s="2343" t="s">
        <v>2158</v>
      </c>
      <c r="F14" s="1302">
        <f ca="1">IF(G14&lt;B2,"已过期",96010063)</f>
        <v>96010063</v>
      </c>
      <c r="G14" s="2344">
        <v>47483</v>
      </c>
      <c r="H14" s="2345" t="str">
        <f t="shared" ca="1" si="1"/>
        <v>刘俊财（注册号：96010063）</v>
      </c>
    </row>
    <row r="15" spans="1:8" ht="24" customHeight="1">
      <c r="A15" s="1302" t="s">
        <v>2432</v>
      </c>
      <c r="B15" s="1302">
        <v>1120210056</v>
      </c>
      <c r="C15" s="2346">
        <v>45410</v>
      </c>
      <c r="D15" s="2342" t="str">
        <f t="shared" si="0"/>
        <v>宁小鳗（注册号：1120210056）</v>
      </c>
      <c r="E15" s="2343" t="s">
        <v>2159</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619" t="s">
        <v>2160</v>
      </c>
      <c r="B17" s="3619"/>
      <c r="C17" s="3619"/>
      <c r="D17" s="3619"/>
      <c r="E17" s="3619"/>
      <c r="F17" s="3619"/>
      <c r="G17" s="3619"/>
      <c r="H17" s="3619"/>
    </row>
    <row r="18" spans="1:8" ht="24" customHeight="1">
      <c r="A18" s="3620" t="s">
        <v>2161</v>
      </c>
      <c r="B18" s="3620"/>
      <c r="C18" s="3620"/>
      <c r="D18" s="2339"/>
      <c r="E18" s="3621" t="s">
        <v>2162</v>
      </c>
      <c r="F18" s="3620"/>
      <c r="G18" s="3620"/>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2023-08-31T08:18:15Z</dcterms:modified>
</cp:coreProperties>
</file>