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规证"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住宅、综合" sheetId="39" r:id="rId24"/>
    <sheet name="土地案例" sheetId="85" r:id="rId25"/>
    <sheet name="收益法（汇总）" sheetId="70" r:id="rId26"/>
    <sheet name="收益法-长租公寓"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收益法-商业" sheetId="82" r:id="rId36"/>
    <sheet name="收益法-车库" sheetId="83"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资料" sheetId="80" r:id="rId50"/>
    <sheet name="Sheet3" sheetId="84"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35">'收益法-商业'!$A$1:$F$43,'收益法-商业'!$H$3:$M$29,'收益法-商业'!$A$46:$F$71,'收益法-商业'!$I$46:$N$65</definedName>
    <definedName name="_xlnm.Print_Area" localSheetId="26">'收益法-长租公寓'!$A$1:$F$43,'收益法-长租公寓'!$H$3:$M$29,'收益法-长租公寓'!$A$46:$F$71,'收益法-长租公寓'!$I$46:$N$65</definedName>
    <definedName name="_xlnm.Print_Area" localSheetId="14">'数据-汇总表'!$A$1:$P$32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T16" i="3" l="1"/>
  <c r="AT17" i="3"/>
  <c r="AN17" i="3"/>
  <c r="N14" i="1"/>
  <c r="AH8" i="1" l="1"/>
  <c r="K13" i="3" l="1"/>
  <c r="K14" i="3"/>
  <c r="M17" i="3"/>
  <c r="AL16" i="3"/>
  <c r="K16" i="3"/>
  <c r="K15" i="3"/>
  <c r="AL13" i="3"/>
  <c r="I14" i="3"/>
  <c r="I13" i="3"/>
  <c r="C14" i="3"/>
  <c r="C15" i="3"/>
  <c r="C16" i="3"/>
  <c r="C17" i="3"/>
  <c r="C13" i="3"/>
  <c r="F124" i="39" l="1"/>
  <c r="E124" i="39"/>
  <c r="D124" i="39"/>
  <c r="C124" i="39"/>
  <c r="G122" i="39"/>
  <c r="F122" i="39"/>
  <c r="E122" i="39"/>
  <c r="D122" i="39"/>
  <c r="C122" i="39"/>
  <c r="H117" i="39"/>
  <c r="G117" i="39"/>
  <c r="C117" i="39"/>
  <c r="D117" i="39"/>
  <c r="E117" i="39"/>
  <c r="E70" i="39"/>
  <c r="F70" i="39" s="1"/>
  <c r="G70" i="39" s="1"/>
  <c r="H70" i="39" s="1"/>
  <c r="I70" i="39" s="1"/>
  <c r="J70" i="39" s="1"/>
  <c r="K70" i="39" s="1"/>
  <c r="L70" i="39" s="1"/>
  <c r="M70" i="39" s="1"/>
  <c r="N70" i="39" s="1"/>
  <c r="O70" i="39" s="1"/>
  <c r="D70" i="39"/>
  <c r="I46" i="39"/>
  <c r="G46" i="39"/>
  <c r="E46" i="39"/>
  <c r="I38" i="39"/>
  <c r="G38" i="39"/>
  <c r="E38" i="39"/>
  <c r="C38" i="39"/>
  <c r="I11" i="39"/>
  <c r="G11" i="39"/>
  <c r="E11" i="39"/>
  <c r="C10" i="39"/>
  <c r="I7" i="39"/>
  <c r="G7" i="39"/>
  <c r="E7" i="39"/>
  <c r="I5" i="39"/>
  <c r="G5" i="39"/>
  <c r="E5" i="39"/>
  <c r="C5" i="39"/>
  <c r="K3" i="84"/>
  <c r="K4" i="84"/>
  <c r="K5" i="84"/>
  <c r="K6" i="84"/>
  <c r="K7" i="84"/>
  <c r="K8" i="84"/>
  <c r="K9" i="84"/>
  <c r="K10" i="84"/>
  <c r="K11" i="84"/>
  <c r="K12" i="84"/>
  <c r="K13" i="84"/>
  <c r="K14" i="84"/>
  <c r="K15" i="84"/>
  <c r="K16" i="84"/>
  <c r="K17" i="84"/>
  <c r="K18" i="84"/>
  <c r="K2" i="84"/>
  <c r="D14" i="9"/>
  <c r="G44" i="43"/>
  <c r="Q72" i="83" l="1"/>
  <c r="Q59" i="83"/>
  <c r="K59" i="83"/>
  <c r="P74" i="83" s="1"/>
  <c r="F59" i="83"/>
  <c r="Q58" i="83"/>
  <c r="J52" i="83"/>
  <c r="Q51" i="83" s="1"/>
  <c r="J50" i="83"/>
  <c r="J49" i="83"/>
  <c r="J51" i="83" s="1"/>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Q72" i="82"/>
  <c r="Q59" i="82"/>
  <c r="K59" i="82"/>
  <c r="P74" i="82" s="1"/>
  <c r="F59" i="82"/>
  <c r="Q58" i="82"/>
  <c r="J52" i="82"/>
  <c r="Q51" i="82" s="1"/>
  <c r="J50" i="82"/>
  <c r="J49"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AM7" i="1"/>
  <c r="AL7" i="1"/>
  <c r="AK7" i="1"/>
  <c r="Y8" i="1"/>
  <c r="Y7" i="1"/>
  <c r="Y6" i="1"/>
  <c r="W8" i="1"/>
  <c r="W7" i="1"/>
  <c r="V8" i="1"/>
  <c r="V7" i="1"/>
  <c r="N8" i="1"/>
  <c r="N7" i="1"/>
  <c r="J8" i="1"/>
  <c r="J7" i="1"/>
  <c r="F13" i="4"/>
  <c r="B13" i="81"/>
  <c r="B4" i="81"/>
  <c r="B5" i="81"/>
  <c r="B6" i="81"/>
  <c r="B7" i="81"/>
  <c r="B8" i="81"/>
  <c r="B9" i="81"/>
  <c r="B10" i="81"/>
  <c r="B11" i="81"/>
  <c r="B12" i="81"/>
  <c r="B3" i="81"/>
  <c r="C4" i="81"/>
  <c r="C5" i="81"/>
  <c r="C6" i="81"/>
  <c r="C7" i="81"/>
  <c r="C8" i="81"/>
  <c r="C9" i="81"/>
  <c r="C10" i="81"/>
  <c r="C11" i="81"/>
  <c r="C12" i="81"/>
  <c r="C3" i="81"/>
  <c r="H4" i="81"/>
  <c r="H5" i="81"/>
  <c r="H6" i="81"/>
  <c r="H7" i="81"/>
  <c r="H8" i="81"/>
  <c r="H9" i="81"/>
  <c r="H10" i="81"/>
  <c r="H11" i="81"/>
  <c r="H12" i="81"/>
  <c r="H3" i="81"/>
  <c r="P12" i="81"/>
  <c r="J12" i="81"/>
  <c r="K12" i="81"/>
  <c r="D8" i="81"/>
  <c r="J6" i="81"/>
  <c r="P6" i="81"/>
  <c r="M24" i="83"/>
  <c r="F9" i="82"/>
  <c r="M22" i="82"/>
  <c r="C76" i="83"/>
  <c r="M24" i="82"/>
  <c r="F9" i="83"/>
  <c r="M22" i="83"/>
  <c r="C76" i="82"/>
  <c r="F8" i="83"/>
  <c r="F8" i="82"/>
  <c r="F7" i="83"/>
  <c r="F50" i="83" l="1"/>
  <c r="M7" i="83"/>
  <c r="Q71" i="83"/>
  <c r="F51" i="83"/>
  <c r="P61" i="83"/>
  <c r="Q71" i="82"/>
  <c r="F51" i="82"/>
  <c r="P61" i="82"/>
  <c r="K6" i="81"/>
  <c r="D5" i="81"/>
  <c r="F4" i="81"/>
  <c r="M8" i="83"/>
  <c r="M9" i="83"/>
  <c r="M6" i="82"/>
  <c r="F6" i="82"/>
  <c r="F37" i="83"/>
  <c r="F36" i="83"/>
  <c r="L47" i="83"/>
  <c r="F37" i="82"/>
  <c r="M8" i="82"/>
  <c r="F42" i="83"/>
  <c r="F38" i="83"/>
  <c r="M28" i="83"/>
  <c r="L47" i="82"/>
  <c r="F36" i="82"/>
  <c r="F26" i="83"/>
  <c r="M23" i="83"/>
  <c r="M26" i="82"/>
  <c r="L48" i="82"/>
  <c r="F38" i="82"/>
  <c r="M6" i="83"/>
  <c r="M27" i="83"/>
  <c r="M26" i="83"/>
  <c r="M28" i="82"/>
  <c r="F26" i="82"/>
  <c r="F13" i="83"/>
  <c r="L48" i="83"/>
  <c r="F16" i="82"/>
  <c r="F40" i="82"/>
  <c r="M27" i="82"/>
  <c r="J15" i="83"/>
  <c r="F16" i="83"/>
  <c r="M23" i="82"/>
  <c r="F13" i="82"/>
  <c r="F6" i="83"/>
  <c r="F40" i="83"/>
  <c r="M9" i="82"/>
  <c r="F42" i="82"/>
  <c r="J15" i="82"/>
  <c r="N59" i="83" l="1"/>
  <c r="L59" i="83"/>
  <c r="L58" i="83"/>
  <c r="M59" i="83"/>
  <c r="L57" i="83"/>
  <c r="L56" i="83"/>
  <c r="L60" i="83"/>
  <c r="J53" i="83"/>
  <c r="J57" i="83"/>
  <c r="J55" i="83" s="1"/>
  <c r="J58" i="83" s="1"/>
  <c r="Q50" i="83" s="1"/>
  <c r="I54" i="83"/>
  <c r="F68" i="83"/>
  <c r="F66" i="83"/>
  <c r="F64" i="83"/>
  <c r="C27" i="83"/>
  <c r="C6" i="83"/>
  <c r="F65" i="83"/>
  <c r="J6" i="83"/>
  <c r="C49" i="83"/>
  <c r="F66" i="82"/>
  <c r="F64" i="82"/>
  <c r="C27" i="82"/>
  <c r="L57" i="82"/>
  <c r="L56" i="82"/>
  <c r="I54" i="82"/>
  <c r="L60" i="82"/>
  <c r="J57" i="82"/>
  <c r="J55" i="82" s="1"/>
  <c r="J58" i="82" s="1"/>
  <c r="Q50" i="82" s="1"/>
  <c r="J53" i="82"/>
  <c r="F68" i="82"/>
  <c r="N59" i="82"/>
  <c r="L59" i="82"/>
  <c r="L58" i="82"/>
  <c r="M59" i="82"/>
  <c r="F65" i="82"/>
  <c r="J52" i="67"/>
  <c r="J49" i="67"/>
  <c r="J52" i="15"/>
  <c r="J49" i="15"/>
  <c r="B35" i="1"/>
  <c r="B21" i="1"/>
  <c r="N19" i="1"/>
  <c r="N21" i="1" s="1"/>
  <c r="C61" i="83" l="1"/>
  <c r="J18" i="83"/>
  <c r="J19" i="83"/>
  <c r="C33" i="83"/>
  <c r="C32" i="83"/>
  <c r="Q66" i="83"/>
  <c r="Q57" i="83"/>
  <c r="Q61" i="83"/>
  <c r="Q74" i="83"/>
  <c r="Q52" i="83"/>
  <c r="F1" i="83"/>
  <c r="Q60" i="83"/>
  <c r="Q73" i="83"/>
  <c r="Q60" i="82"/>
  <c r="Q73" i="82"/>
  <c r="Q61" i="82"/>
  <c r="Q74" i="82"/>
  <c r="Q52" i="82"/>
  <c r="F1" i="82"/>
  <c r="Q66" i="82"/>
  <c r="Q57" i="82"/>
  <c r="N6" i="1"/>
  <c r="D3" i="4"/>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c r="E26" i="71" s="1"/>
  <c r="AA3" i="71"/>
  <c r="AA25" i="71"/>
  <c r="AA26" i="71"/>
  <c r="AA27" i="71"/>
  <c r="AA28" i="71"/>
  <c r="D28" i="71"/>
  <c r="U28" i="71"/>
  <c r="C66" i="71"/>
  <c r="O67" i="71"/>
  <c r="D67" i="71"/>
  <c r="C64" i="71"/>
  <c r="T64" i="71" s="1"/>
  <c r="D63"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H1" i="69"/>
  <c r="W25" i="40"/>
  <c r="U25" i="40"/>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46" i="33"/>
  <c r="AA14" i="33"/>
  <c r="J36" i="37"/>
  <c r="AC36" i="37" s="1"/>
  <c r="J10" i="36"/>
  <c r="AC10" i="36" s="1"/>
  <c r="AB26" i="33"/>
  <c r="AB30" i="21"/>
  <c r="AA14" i="37"/>
  <c r="W31" i="34"/>
  <c r="AC13" i="36"/>
  <c r="W13" i="36"/>
  <c r="S11" i="36"/>
  <c r="AC30" i="34"/>
  <c r="S45" i="33"/>
  <c r="AB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A12" i="35"/>
  <c r="W23" i="35"/>
  <c r="W14" i="37"/>
  <c r="U33" i="37"/>
  <c r="U39" i="37"/>
  <c r="W26" i="37"/>
  <c r="U26" i="37"/>
  <c r="W47" i="34"/>
  <c r="AB13"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C43" i="39"/>
  <c r="W43" i="39"/>
  <c r="U45" i="39"/>
  <c r="AB45" i="39"/>
  <c r="U44" i="39"/>
  <c r="H37" i="39"/>
  <c r="AB37" i="39" s="1"/>
  <c r="AC37" i="39"/>
  <c r="W37" i="39"/>
  <c r="H25" i="39"/>
  <c r="AB25" i="39" s="1"/>
  <c r="J25" i="39"/>
  <c r="AC25" i="39" s="1"/>
  <c r="F25" i="39"/>
  <c r="AA25" i="39" s="1"/>
  <c r="F15" i="39"/>
  <c r="AA15" i="39" s="1"/>
  <c r="H15" i="39"/>
  <c r="U15" i="39" s="1"/>
  <c r="J15" i="39"/>
  <c r="W15" i="39" s="1"/>
  <c r="H41" i="39"/>
  <c r="AB41" i="39" s="1"/>
  <c r="W27" i="39"/>
  <c r="AB34" i="39"/>
  <c r="W9" i="39"/>
  <c r="W8" i="39"/>
  <c r="J19" i="40"/>
  <c r="AC19" i="40"/>
  <c r="J50" i="40"/>
  <c r="H103" i="9"/>
  <c r="D8" i="53" s="1"/>
  <c r="B16" i="53"/>
  <c r="B33" i="72" s="1"/>
  <c r="C7" i="37"/>
  <c r="C7" i="34"/>
  <c r="C7" i="36"/>
  <c r="A118" i="9"/>
  <c r="A4" i="52"/>
  <c r="B41" i="72" s="1"/>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G21" i="6" s="1"/>
  <c r="E21" i="6" s="1"/>
  <c r="K8" i="1" s="1"/>
  <c r="AZ317" i="3"/>
  <c r="AZ333"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BB5" i="3"/>
  <c r="F19" i="6" s="1"/>
  <c r="E19" i="6" s="1"/>
  <c r="K6" i="1" s="1"/>
  <c r="AP6" i="1" s="1"/>
  <c r="BR5" i="3"/>
  <c r="AZ380" i="3"/>
  <c r="AZ384" i="3"/>
  <c r="AZ388" i="3"/>
  <c r="AZ392" i="3"/>
  <c r="AZ396" i="3"/>
  <c r="AZ394" i="3"/>
  <c r="G509" i="3"/>
  <c r="BL493" i="3"/>
  <c r="AZ491" i="3"/>
  <c r="AZ376" i="3"/>
  <c r="AZ390" i="3"/>
  <c r="AZ382" i="3"/>
  <c r="AZ493" i="3"/>
  <c r="U36" i="40"/>
  <c r="F83" i="43"/>
  <c r="H85" i="43" s="1"/>
  <c r="F50" i="43"/>
  <c r="H54" i="43" s="1"/>
  <c r="F72" i="43"/>
  <c r="H75" i="43" s="1"/>
  <c r="U17" i="39"/>
  <c r="S14" i="35"/>
  <c r="AC35" i="2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BL14" i="3"/>
  <c r="AZ266" i="3"/>
  <c r="U30" i="33"/>
  <c r="AC13" i="34"/>
  <c r="AA47" i="34"/>
  <c r="W28" i="37"/>
  <c r="S19" i="39"/>
  <c r="F12" i="33"/>
  <c r="H12" i="39"/>
  <c r="AB12" i="39" s="1"/>
  <c r="F39" i="40"/>
  <c r="AA39" i="40"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S43" i="39"/>
  <c r="S37" i="39"/>
  <c r="U35" i="39"/>
  <c r="F32" i="39"/>
  <c r="AA32" i="39" s="1"/>
  <c r="U25" i="39"/>
  <c r="U31" i="39"/>
  <c r="J21" i="39"/>
  <c r="W21" i="39" s="1"/>
  <c r="F21" i="39"/>
  <c r="AA21" i="39" s="1"/>
  <c r="H21" i="39"/>
  <c r="AB21" i="39" s="1"/>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13" i="39"/>
  <c r="AB13" i="39"/>
  <c r="AA13" i="39"/>
  <c r="S13" i="39"/>
  <c r="S14" i="39"/>
  <c r="AA14" i="39"/>
  <c r="U43" i="39"/>
  <c r="AB43" i="39"/>
  <c r="AA27" i="39"/>
  <c r="S27" i="39"/>
  <c r="W17" i="39"/>
  <c r="AC17" i="39"/>
  <c r="W31" i="39"/>
  <c r="AC31"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W29" i="21"/>
  <c r="S19" i="21"/>
  <c r="S9" i="21"/>
  <c r="AA9" i="21"/>
  <c r="K141" i="21"/>
  <c r="K144" i="21"/>
  <c r="K143" i="21"/>
  <c r="U27" i="21"/>
  <c r="AB25" i="21"/>
  <c r="AB44" i="21"/>
  <c r="AA30" i="21"/>
  <c r="W13" i="21"/>
  <c r="AC45" i="21"/>
  <c r="F10" i="21"/>
  <c r="AA10" i="21" s="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32" i="39"/>
  <c r="S21"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J23" i="21"/>
  <c r="W23" i="21" s="1"/>
  <c r="H23" i="21"/>
  <c r="S13" i="21"/>
  <c r="AP7" i="1"/>
  <c r="AB45" i="21"/>
  <c r="AB9" i="21"/>
  <c r="U9" i="21"/>
  <c r="AC9" i="21"/>
  <c r="AC32" i="39"/>
  <c r="W32" i="39"/>
  <c r="W19" i="37"/>
  <c r="AC19" i="37"/>
  <c r="AC23" i="37"/>
  <c r="J11" i="37"/>
  <c r="AC11" i="37" s="1"/>
  <c r="J11" i="34"/>
  <c r="W11" i="34" s="1"/>
  <c r="AB36" i="33"/>
  <c r="W27" i="33"/>
  <c r="W25" i="33"/>
  <c r="AA23" i="33"/>
  <c r="S23" i="33"/>
  <c r="AB19" i="33"/>
  <c r="AA17" i="33"/>
  <c r="U17" i="33"/>
  <c r="AB17" i="33"/>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J15" i="15"/>
  <c r="E13" i="76"/>
  <c r="F43" i="83"/>
  <c r="F36" i="67"/>
  <c r="E12" i="76"/>
  <c r="F20" i="31"/>
  <c r="F13" i="15"/>
  <c r="D4" i="73"/>
  <c r="F7" i="73"/>
  <c r="B9" i="76"/>
  <c r="B8" i="76"/>
  <c r="M28" i="15"/>
  <c r="E2" i="69"/>
  <c r="D5" i="73"/>
  <c r="F16" i="67"/>
  <c r="E9" i="76"/>
  <c r="F13" i="67"/>
  <c r="E10" i="76"/>
  <c r="M23" i="15"/>
  <c r="F43" i="15"/>
  <c r="F40" i="67"/>
  <c r="B10" i="76"/>
  <c r="M6" i="15"/>
  <c r="C76" i="67"/>
  <c r="B11" i="76"/>
  <c r="L48" i="15"/>
  <c r="F6" i="67"/>
  <c r="M24" i="67"/>
  <c r="F40" i="15"/>
  <c r="B12" i="76"/>
  <c r="M23" i="67"/>
  <c r="B13" i="76"/>
  <c r="M8" i="15"/>
  <c r="AO13" i="1"/>
  <c r="M24" i="15"/>
  <c r="F9" i="15"/>
  <c r="D3" i="73"/>
  <c r="E2" i="68"/>
  <c r="M9" i="15"/>
  <c r="M28" i="67"/>
  <c r="F37" i="15"/>
  <c r="B7" i="76"/>
  <c r="F37" i="67"/>
  <c r="E8" i="76"/>
  <c r="F16" i="15"/>
  <c r="M29" i="83"/>
  <c r="F3" i="73"/>
  <c r="D6" i="73"/>
  <c r="M22" i="67"/>
  <c r="E11" i="76"/>
  <c r="F26" i="67"/>
  <c r="F4" i="73"/>
  <c r="D7" i="73"/>
  <c r="F7" i="15"/>
  <c r="F5" i="73"/>
  <c r="E7" i="76"/>
  <c r="F6" i="73"/>
  <c r="AB27" i="39" l="1"/>
  <c r="F28" i="6"/>
  <c r="F71" i="83"/>
  <c r="M8" i="1"/>
  <c r="G27" i="6"/>
  <c r="U41" i="39"/>
  <c r="U42" i="39"/>
  <c r="S42" i="39"/>
  <c r="AA41" i="39"/>
  <c r="U40" i="39"/>
  <c r="W40" i="39"/>
  <c r="AA45" i="39"/>
  <c r="S44" i="39"/>
  <c r="S38" i="39"/>
  <c r="U37" i="39"/>
  <c r="U32" i="39"/>
  <c r="U29" i="39"/>
  <c r="W25" i="39"/>
  <c r="W23" i="39"/>
  <c r="U21" i="39"/>
  <c r="W19" i="39"/>
  <c r="U9" i="39"/>
  <c r="F8" i="1"/>
  <c r="G8" i="1" s="1"/>
  <c r="BC5" i="3"/>
  <c r="F20" i="6" s="1"/>
  <c r="E20" i="6" s="1"/>
  <c r="K7" i="1" s="1"/>
  <c r="Q16" i="1" s="1"/>
  <c r="F27" i="69" s="1"/>
  <c r="G14" i="3"/>
  <c r="G5" i="3" s="1"/>
  <c r="B3" i="3" s="1"/>
  <c r="E180" i="3" s="1"/>
  <c r="BL15" i="3"/>
  <c r="AZ15" i="3" s="1"/>
  <c r="F29" i="6"/>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D17" i="71"/>
  <c r="C16" i="71"/>
  <c r="D16" i="53"/>
  <c r="B34" i="72" s="1"/>
  <c r="D6" i="52"/>
  <c r="AB15" i="21"/>
  <c r="AC17" i="37"/>
  <c r="D68" i="9"/>
  <c r="M18" i="15"/>
  <c r="F30" i="69"/>
  <c r="F48" i="69" s="1"/>
  <c r="M18" i="67"/>
  <c r="F31" i="12"/>
  <c r="C31" i="12" s="1"/>
  <c r="F30" i="11"/>
  <c r="C48" i="11" s="1"/>
  <c r="W30" i="40"/>
  <c r="W17" i="21"/>
  <c r="AC15" i="21"/>
  <c r="S23" i="39"/>
  <c r="AA39" i="39"/>
  <c r="W27" i="40"/>
  <c r="S20" i="35"/>
  <c r="U12" i="39"/>
  <c r="AA27" i="40"/>
  <c r="AB27" i="40"/>
  <c r="G28" i="6"/>
  <c r="G30" i="6" s="1"/>
  <c r="G31" i="6" s="1"/>
  <c r="U12" i="35"/>
  <c r="AB12" i="35"/>
  <c r="S38" i="40"/>
  <c r="AA38" i="40"/>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E29" i="6"/>
  <c r="K15" i="1" s="1"/>
  <c r="F30" i="6"/>
  <c r="E28"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382" i="3"/>
  <c r="E336" i="3"/>
  <c r="E11" i="6"/>
  <c r="E60" i="39" s="1"/>
  <c r="E13" i="6"/>
  <c r="P11" i="1"/>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J6" i="15" s="1"/>
  <c r="F50" i="15"/>
  <c r="F71" i="15"/>
  <c r="Q71" i="67"/>
  <c r="C27" i="67"/>
  <c r="F65" i="15"/>
  <c r="B13" i="70"/>
  <c r="F68" i="67"/>
  <c r="F64" i="67"/>
  <c r="F68" i="15"/>
  <c r="C36" i="68"/>
  <c r="D9" i="69"/>
  <c r="C36" i="69"/>
  <c r="D9" i="68"/>
  <c r="C16" i="83"/>
  <c r="F43" i="67"/>
  <c r="F9" i="67"/>
  <c r="F36" i="15"/>
  <c r="C76" i="15"/>
  <c r="F38" i="15"/>
  <c r="C16" i="15"/>
  <c r="M26" i="67"/>
  <c r="F43" i="82"/>
  <c r="J15" i="67"/>
  <c r="F38" i="67"/>
  <c r="F26" i="15"/>
  <c r="L48" i="67"/>
  <c r="F42" i="15"/>
  <c r="F7" i="67"/>
  <c r="G1" i="73"/>
  <c r="M29" i="82"/>
  <c r="M22" i="15"/>
  <c r="F6" i="15"/>
  <c r="F42" i="67"/>
  <c r="M9" i="67"/>
  <c r="L47" i="15"/>
  <c r="L47" i="67"/>
  <c r="M29" i="67"/>
  <c r="F7" i="82"/>
  <c r="M8" i="67"/>
  <c r="M26" i="15"/>
  <c r="M29" i="15"/>
  <c r="F8" i="15"/>
  <c r="F8" i="67"/>
  <c r="M6" i="67"/>
  <c r="E518" i="3" l="1"/>
  <c r="E61" i="3"/>
  <c r="E583" i="3"/>
  <c r="E293" i="3"/>
  <c r="E578" i="3"/>
  <c r="E245" i="3"/>
  <c r="E290" i="3"/>
  <c r="K16" i="1"/>
  <c r="H16" i="1"/>
  <c r="E10" i="6"/>
  <c r="E15" i="6"/>
  <c r="E64" i="39" s="1"/>
  <c r="E12" i="6"/>
  <c r="E57" i="40" s="1"/>
  <c r="E14" i="6"/>
  <c r="BL5" i="3"/>
  <c r="M7" i="82"/>
  <c r="J6" i="82" s="1"/>
  <c r="F50" i="82"/>
  <c r="C49" i="82" s="1"/>
  <c r="C61" i="82" s="1"/>
  <c r="C6" i="82"/>
  <c r="F71" i="82"/>
  <c r="M7" i="1"/>
  <c r="G16" i="1"/>
  <c r="F10" i="39" s="1"/>
  <c r="AA10" i="39" s="1"/>
  <c r="C11" i="39"/>
  <c r="M11" i="83"/>
  <c r="J10" i="83" s="1"/>
  <c r="J5" i="83" s="1"/>
  <c r="F11" i="83"/>
  <c r="M11" i="82"/>
  <c r="F11" i="82"/>
  <c r="X6" i="3"/>
  <c r="E246" i="3"/>
  <c r="E385" i="3"/>
  <c r="AI6" i="3"/>
  <c r="E423" i="3"/>
  <c r="E263" i="3"/>
  <c r="E191" i="3"/>
  <c r="E135" i="3"/>
  <c r="E161" i="3"/>
  <c r="E347" i="3"/>
  <c r="AA6" i="3"/>
  <c r="E399" i="3"/>
  <c r="E280" i="3"/>
  <c r="E124" i="3"/>
  <c r="E353" i="3"/>
  <c r="E495" i="3"/>
  <c r="AN6" i="3"/>
  <c r="E586" i="3"/>
  <c r="E402" i="3"/>
  <c r="E350" i="3"/>
  <c r="E303" i="3"/>
  <c r="E301" i="3"/>
  <c r="E159" i="3"/>
  <c r="E134" i="3"/>
  <c r="E254" i="3"/>
  <c r="E91" i="3"/>
  <c r="E221" i="3"/>
  <c r="E253" i="3"/>
  <c r="E156" i="3"/>
  <c r="E434" i="3"/>
  <c r="E262" i="3"/>
  <c r="E177" i="3"/>
  <c r="Q6" i="3"/>
  <c r="E481" i="3"/>
  <c r="E344" i="3"/>
  <c r="E429" i="3"/>
  <c r="E55" i="3"/>
  <c r="E203" i="3"/>
  <c r="E274" i="3"/>
  <c r="E580" i="3"/>
  <c r="E32" i="3"/>
  <c r="I6" i="3"/>
  <c r="E236" i="3"/>
  <c r="E252" i="3"/>
  <c r="E164" i="3"/>
  <c r="E576" i="3"/>
  <c r="AG6" i="3"/>
  <c r="E448" i="3"/>
  <c r="P6" i="3"/>
  <c r="E443" i="3"/>
  <c r="E558" i="3"/>
  <c r="E581" i="3"/>
  <c r="E444" i="3"/>
  <c r="E404" i="3"/>
  <c r="E88" i="3"/>
  <c r="E121" i="3"/>
  <c r="E166" i="3"/>
  <c r="E295" i="3"/>
  <c r="E316" i="3"/>
  <c r="E334" i="3"/>
  <c r="E30"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238" i="3"/>
  <c r="E128" i="3"/>
  <c r="E120" i="3"/>
  <c r="E330" i="3"/>
  <c r="E437" i="3"/>
  <c r="E424" i="3"/>
  <c r="AE6" i="3"/>
  <c r="E496" i="3"/>
  <c r="E73" i="3"/>
  <c r="E256" i="3"/>
  <c r="E394" i="3"/>
  <c r="E74" i="3"/>
  <c r="E227" i="3"/>
  <c r="E368" i="3"/>
  <c r="E89" i="3"/>
  <c r="E204" i="3"/>
  <c r="E327" i="3"/>
  <c r="Z6" i="3"/>
  <c r="AO6" i="3"/>
  <c r="E485" i="3"/>
  <c r="E400" i="3"/>
  <c r="E345" i="3"/>
  <c r="E557" i="3"/>
  <c r="E531" i="3"/>
  <c r="E489" i="3"/>
  <c r="E28" i="3"/>
  <c r="E70" i="3"/>
  <c r="E182" i="3"/>
  <c r="E211" i="3"/>
  <c r="E273" i="3"/>
  <c r="E377" i="3"/>
  <c r="E572" i="3"/>
  <c r="E109"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362" i="3"/>
  <c r="E315" i="3"/>
  <c r="E214" i="3"/>
  <c r="E171" i="3"/>
  <c r="E146" i="3"/>
  <c r="E106" i="3"/>
  <c r="E454" i="3"/>
  <c r="E468" i="3"/>
  <c r="E577" i="3"/>
  <c r="E587" i="3"/>
  <c r="E465" i="3"/>
  <c r="E406" i="3"/>
  <c r="E472" i="3"/>
  <c r="E560" i="3"/>
  <c r="K6" i="3"/>
  <c r="E133" i="3"/>
  <c r="E277" i="3"/>
  <c r="E228" i="3"/>
  <c r="AK6" i="3"/>
  <c r="E545" i="3"/>
  <c r="E181" i="3"/>
  <c r="E568" i="3"/>
  <c r="E77"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Z5" i="3"/>
  <c r="E3" i="6" s="1"/>
  <c r="P6" i="1"/>
  <c r="C13" i="12" s="1"/>
  <c r="C30" i="11"/>
  <c r="C30" i="68"/>
  <c r="F51" i="15"/>
  <c r="C49" i="15" s="1"/>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33" i="43" s="1"/>
  <c r="D1" i="43" s="1"/>
  <c r="E51" i="40"/>
  <c r="E16" i="6"/>
  <c r="E58" i="40"/>
  <c r="E62" i="39"/>
  <c r="AY6" i="3"/>
  <c r="M14" i="1"/>
  <c r="D5" i="43"/>
  <c r="H10" i="39"/>
  <c r="U10" i="39" s="1"/>
  <c r="J10" i="39"/>
  <c r="W10" i="39" s="1"/>
  <c r="C7" i="43"/>
  <c r="C5" i="43" s="1"/>
  <c r="D10" i="52"/>
  <c r="D125" i="9"/>
  <c r="D11" i="52" s="1"/>
  <c r="B7" i="74"/>
  <c r="C7" i="74" s="1"/>
  <c r="F67" i="39"/>
  <c r="F59" i="67"/>
  <c r="H7" i="37"/>
  <c r="AB7" i="37" s="1"/>
  <c r="T42" i="37" s="1"/>
  <c r="G42" i="37" s="1"/>
  <c r="B40" i="1"/>
  <c r="F24" i="8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J18" i="15"/>
  <c r="M11" i="67"/>
  <c r="F11" i="15"/>
  <c r="M11" i="15"/>
  <c r="J10" i="15" s="1"/>
  <c r="J5" i="15" s="1"/>
  <c r="J24" i="15" s="1"/>
  <c r="F11" i="67"/>
  <c r="F1" i="15"/>
  <c r="Q52" i="15"/>
  <c r="AE11" i="1"/>
  <c r="AE9" i="1"/>
  <c r="F27" i="68"/>
  <c r="AE12" i="1"/>
  <c r="AE10" i="1"/>
  <c r="C16" i="67"/>
  <c r="AE8" i="1"/>
  <c r="C16" i="82"/>
  <c r="AE6" i="1"/>
  <c r="F41" i="83"/>
  <c r="AE7" i="1"/>
  <c r="F41" i="82" s="1"/>
  <c r="F41" i="67"/>
  <c r="H10" i="40" l="1"/>
  <c r="AB10" i="40" s="1"/>
  <c r="F10" i="40"/>
  <c r="S10" i="40" s="1"/>
  <c r="J10" i="40"/>
  <c r="AC10" i="40" s="1"/>
  <c r="H6" i="3"/>
  <c r="J10" i="82"/>
  <c r="J5" i="82" s="1"/>
  <c r="J24" i="82" s="1"/>
  <c r="E63" i="39"/>
  <c r="E65" i="39" s="1"/>
  <c r="E59" i="40"/>
  <c r="O7" i="1"/>
  <c r="P7" i="1" s="1"/>
  <c r="C32" i="82"/>
  <c r="C33" i="82"/>
  <c r="J18" i="82"/>
  <c r="J19" i="82"/>
  <c r="H11" i="39"/>
  <c r="J11" i="39"/>
  <c r="F11" i="39"/>
  <c r="AC6" i="3"/>
  <c r="F69" i="83"/>
  <c r="C24" i="83"/>
  <c r="C53" i="83"/>
  <c r="C48" i="83" s="1"/>
  <c r="C10" i="83"/>
  <c r="C5" i="83" s="1"/>
  <c r="J26" i="83"/>
  <c r="J29" i="83" s="1"/>
  <c r="J24" i="83"/>
  <c r="F69" i="82"/>
  <c r="L36" i="43"/>
  <c r="L37" i="43" s="1"/>
  <c r="F24" i="82"/>
  <c r="C53" i="82"/>
  <c r="C48" i="82" s="1"/>
  <c r="C10" i="82"/>
  <c r="C5" i="82" s="1"/>
  <c r="J10" i="67"/>
  <c r="J5" i="67" s="1"/>
  <c r="J24" i="67" s="1"/>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C14" i="71"/>
  <c r="D15" i="71"/>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M27" i="15"/>
  <c r="C17" i="83"/>
  <c r="M27" i="67"/>
  <c r="F41" i="15"/>
  <c r="B14" i="74" l="1"/>
  <c r="B1" i="74" s="1"/>
  <c r="U10" i="40"/>
  <c r="J26" i="82"/>
  <c r="J29" i="82" s="1"/>
  <c r="E8" i="70"/>
  <c r="W11" i="39"/>
  <c r="AC11" i="39"/>
  <c r="AA11" i="39"/>
  <c r="S11" i="39"/>
  <c r="U11" i="39"/>
  <c r="AB11" i="39"/>
  <c r="Q36" i="43"/>
  <c r="M36" i="43"/>
  <c r="P36" i="43"/>
  <c r="O36" i="43"/>
  <c r="N36" i="43"/>
  <c r="C66" i="83"/>
  <c r="C60" i="83"/>
  <c r="C38" i="83"/>
  <c r="C66" i="82"/>
  <c r="C60" i="82"/>
  <c r="C38" i="82"/>
  <c r="C24" i="82"/>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C14" i="67"/>
  <c r="C17" i="67"/>
  <c r="C17" i="15"/>
  <c r="C14" i="83"/>
  <c r="C17" i="82"/>
  <c r="C14" i="74" l="1"/>
  <c r="B2" i="74" s="1"/>
  <c r="C18" i="83"/>
  <c r="C15" i="83"/>
  <c r="E7" i="70"/>
  <c r="H24" i="6"/>
  <c r="R24" i="6" s="1"/>
  <c r="R11" i="1" s="1"/>
  <c r="H22" i="6"/>
  <c r="D30" i="6"/>
  <c r="H25" i="6"/>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R23" i="6"/>
  <c r="R10" i="1" s="1"/>
  <c r="D27" i="6"/>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M21" i="83"/>
  <c r="C14" i="82"/>
  <c r="F35" i="83"/>
  <c r="D7" i="74" l="1"/>
  <c r="D8" i="74"/>
  <c r="C19" i="83"/>
  <c r="C20" i="83" s="1"/>
  <c r="C26" i="83" s="1"/>
  <c r="C15" i="82"/>
  <c r="C18" i="82"/>
  <c r="J20" i="83"/>
  <c r="J17" i="83" s="1"/>
  <c r="F63" i="83"/>
  <c r="C62" i="83" s="1"/>
  <c r="C59" i="83" s="1"/>
  <c r="C34" i="83"/>
  <c r="C31" i="83" s="1"/>
  <c r="D31" i="6"/>
  <c r="I6" i="6" s="1"/>
  <c r="G3"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7" i="21"/>
  <c r="F7" i="21"/>
  <c r="J48" i="35"/>
  <c r="C19" i="82" l="1"/>
  <c r="C20" i="82" s="1"/>
  <c r="C26" i="82" s="1"/>
  <c r="C23" i="83"/>
  <c r="C29" i="83" s="1"/>
  <c r="C57" i="83" s="1"/>
  <c r="C64" i="83" s="1"/>
  <c r="H26" i="43"/>
  <c r="G26" i="43"/>
  <c r="N370" i="46"/>
  <c r="E26" i="43"/>
  <c r="F26" i="43"/>
  <c r="N94" i="46"/>
  <c r="J26" i="43"/>
  <c r="Z7" i="43"/>
  <c r="B116" i="4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C36" i="83" l="1"/>
  <c r="C13" i="83"/>
  <c r="C56" i="83" s="1"/>
  <c r="C65" i="83" s="1"/>
  <c r="C58" i="83" s="1"/>
  <c r="C67" i="83" s="1"/>
  <c r="C68" i="83" s="1"/>
  <c r="C71" i="83" s="1"/>
  <c r="J14" i="83"/>
  <c r="J22" i="83" s="1"/>
  <c r="J59" i="83"/>
  <c r="J60" i="83" s="1"/>
  <c r="Q48" i="83" s="1"/>
  <c r="Q49" i="83"/>
  <c r="C23" i="82"/>
  <c r="C29" i="82"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2"/>
  <c r="M21" i="67"/>
  <c r="F35" i="82"/>
  <c r="M21" i="15"/>
  <c r="F35" i="67"/>
  <c r="F35" i="15"/>
  <c r="J13" i="83" l="1"/>
  <c r="J23" i="83" s="1"/>
  <c r="J16" i="83" s="1"/>
  <c r="J25" i="83" s="1"/>
  <c r="C75" i="83"/>
  <c r="C37" i="83"/>
  <c r="C30" i="83" s="1"/>
  <c r="C39" i="83" s="1"/>
  <c r="Q69" i="83" s="1"/>
  <c r="L46" i="83"/>
  <c r="Q70" i="83"/>
  <c r="C57" i="82"/>
  <c r="C64" i="82" s="1"/>
  <c r="J59" i="82"/>
  <c r="J60" i="82" s="1"/>
  <c r="C36" i="82"/>
  <c r="J14" i="82"/>
  <c r="Q49" i="82"/>
  <c r="C13" i="82"/>
  <c r="C33" i="43"/>
  <c r="C118" i="43"/>
  <c r="D116" i="43" s="1"/>
  <c r="F63" i="82"/>
  <c r="C62" i="82" s="1"/>
  <c r="C59" i="82" s="1"/>
  <c r="C34" i="82"/>
  <c r="C31" i="82" s="1"/>
  <c r="J20" i="82"/>
  <c r="J17"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C40" i="83" l="1"/>
  <c r="Q56" i="83" s="1"/>
  <c r="Q62" i="83" s="1"/>
  <c r="C80" i="83"/>
  <c r="C79" i="83" s="1"/>
  <c r="Q67" i="83"/>
  <c r="Q68" i="83"/>
  <c r="Q70" i="82"/>
  <c r="C37" i="82"/>
  <c r="C30" i="82" s="1"/>
  <c r="C39" i="82" s="1"/>
  <c r="C75" i="82"/>
  <c r="C56" i="82"/>
  <c r="C65" i="82" s="1"/>
  <c r="C58" i="82" s="1"/>
  <c r="C67" i="82" s="1"/>
  <c r="C68" i="82" s="1"/>
  <c r="C71" i="82" s="1"/>
  <c r="J22" i="82"/>
  <c r="J13" i="82"/>
  <c r="J23" i="82" s="1"/>
  <c r="Q48" i="82"/>
  <c r="L46" i="82"/>
  <c r="C34" i="43"/>
  <c r="E34" i="43" s="1"/>
  <c r="C31" i="43" s="1"/>
  <c r="E33" i="43"/>
  <c r="C30" i="4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L51" i="82"/>
  <c r="D2" i="21"/>
  <c r="Q47" i="83" l="1"/>
  <c r="Q53" i="83" s="1"/>
  <c r="Q65" i="83"/>
  <c r="Q75" i="83" s="1"/>
  <c r="C83" i="83"/>
  <c r="C82" i="83" s="1"/>
  <c r="B2" i="83"/>
  <c r="B3" i="83" s="1"/>
  <c r="C43" i="83"/>
  <c r="C46" i="83"/>
  <c r="J16" i="82"/>
  <c r="J25" i="82" s="1"/>
  <c r="Q69" i="82"/>
  <c r="Q68" i="82" s="1"/>
  <c r="C80" i="82"/>
  <c r="C79" i="82" s="1"/>
  <c r="C40" i="82"/>
  <c r="C46" i="82" s="1"/>
  <c r="E2" i="76"/>
  <c r="B2" i="43"/>
  <c r="Q67" i="82"/>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L51" i="67"/>
  <c r="D2" i="33"/>
  <c r="Q47" i="82" l="1"/>
  <c r="Q53" i="82" s="1"/>
  <c r="B2" i="82"/>
  <c r="B3" i="82" s="1"/>
  <c r="Q56" i="82"/>
  <c r="Q62" i="82" s="1"/>
  <c r="C83" i="82"/>
  <c r="C82" i="82" s="1"/>
  <c r="C43" i="82"/>
  <c r="Q65" i="82"/>
  <c r="Q75" i="82" s="1"/>
  <c r="B2" i="76"/>
  <c r="B3" i="76" s="1"/>
  <c r="B3" i="43"/>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7"/>
  <c r="D2" i="35"/>
  <c r="M24" i="43" l="1"/>
  <c r="Q57" i="67"/>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9" i="1"/>
  <c r="AO8" i="1"/>
  <c r="AO10" i="1"/>
  <c r="AO11" i="1"/>
  <c r="R48" i="39" l="1"/>
  <c r="C48" i="39" s="1"/>
  <c r="L46" i="15"/>
  <c r="B2" i="15" s="1"/>
  <c r="Q66" i="15"/>
  <c r="Q75" i="15" s="1"/>
  <c r="Q62" i="15"/>
  <c r="B9" i="70"/>
  <c r="B11"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AO6" i="1"/>
  <c r="C47" i="39" l="1"/>
  <c r="B7" i="70"/>
  <c r="B3" i="15"/>
  <c r="B6" i="70"/>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2" i="70"/>
  <c r="B3" i="70" s="1"/>
  <c r="C42" i="40"/>
  <c r="C43" i="40"/>
  <c r="E47" i="40"/>
  <c r="F47" i="40" s="1"/>
  <c r="E46" i="40"/>
  <c r="F46" i="40" s="1"/>
  <c r="I47" i="40"/>
  <c r="J47" i="40" s="1"/>
  <c r="D20" i="9"/>
  <c r="D19" i="9"/>
  <c r="B3" i="39" l="1"/>
  <c r="C6" i="68"/>
  <c r="C7" i="68" s="1"/>
  <c r="C5" i="68" s="1"/>
  <c r="D102" i="9"/>
  <c r="D21"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20" i="68" l="1"/>
  <c r="C23" i="68"/>
  <c r="C28" i="68" l="1"/>
  <c r="C27" i="68" s="1"/>
  <c r="C25" i="68"/>
  <c r="C22" i="68" s="1"/>
  <c r="H111" i="9"/>
  <c r="D19" i="53" s="1"/>
  <c r="B38" i="72" s="1"/>
  <c r="H112" i="9"/>
  <c r="D21" i="53" s="1"/>
  <c r="B39" i="72" s="1"/>
  <c r="C31" i="68" l="1"/>
  <c r="C52" i="68" s="1"/>
  <c r="B2" i="68" s="1"/>
  <c r="D126" i="9"/>
  <c r="D12" i="52" s="1"/>
  <c r="C8" i="74"/>
  <c r="D127" i="9"/>
  <c r="D13" i="52" s="1"/>
  <c r="D20" i="53"/>
  <c r="B40" i="72" s="1"/>
  <c r="C19" i="9"/>
  <c r="C57" i="68" l="1"/>
  <c r="C56" i="68" s="1"/>
  <c r="C21" i="9"/>
  <c r="C102" i="9"/>
  <c r="G19" i="9"/>
  <c r="D22" i="9"/>
  <c r="B3" i="68"/>
  <c r="D34" i="9"/>
  <c r="D35" i="9"/>
  <c r="C20" i="9"/>
  <c r="C103" i="9" l="1"/>
  <c r="G20" i="9"/>
  <c r="C32" i="9"/>
  <c r="G21" i="9"/>
  <c r="C35" i="9" l="1"/>
  <c r="H118" i="9"/>
  <c r="D59" i="9"/>
  <c r="M55" i="9" s="1"/>
  <c r="D14" i="74" l="1"/>
  <c r="H4" i="52"/>
  <c r="I118" i="9"/>
  <c r="H101" i="9"/>
  <c r="H119" i="9"/>
  <c r="H5" i="52" s="1"/>
  <c r="C104" i="9"/>
  <c r="C34" i="9"/>
  <c r="D118" i="9" s="1"/>
  <c r="F118" i="9"/>
  <c r="G14" i="74" l="1"/>
  <c r="E14" i="74"/>
  <c r="B5" i="74"/>
  <c r="D5" i="74" s="1"/>
  <c r="F14" i="74"/>
  <c r="C105" i="9"/>
  <c r="H102" i="9"/>
  <c r="I4" i="52"/>
  <c r="D4" i="52"/>
  <c r="B47" i="72" s="1"/>
  <c r="D119" i="9"/>
  <c r="D5" i="52" s="1"/>
  <c r="B49" i="72" s="1"/>
  <c r="F4" i="52"/>
  <c r="B51" i="72" s="1"/>
  <c r="F119" i="9"/>
  <c r="F5" i="52" s="1"/>
  <c r="B53" i="72" s="1"/>
  <c r="G118" i="9"/>
  <c r="G4" i="52" s="1"/>
  <c r="B52" i="72" s="1"/>
  <c r="H107" i="9"/>
  <c r="M48" i="9"/>
  <c r="D5" i="53"/>
  <c r="D45" i="9"/>
  <c r="B6" i="74" l="1"/>
  <c r="D6" i="74" s="1"/>
  <c r="D6" i="53"/>
  <c r="B22" i="72" s="1"/>
  <c r="B20" i="72"/>
  <c r="D13" i="53"/>
  <c r="D122" i="9"/>
  <c r="M49" i="9"/>
  <c r="H108" i="9"/>
  <c r="D7" i="53"/>
  <c r="B21" i="72" s="1"/>
  <c r="C5" i="74"/>
  <c r="D52" i="9"/>
  <c r="C85" i="9"/>
  <c r="C78" i="9"/>
  <c r="C73" i="9" s="1"/>
  <c r="C72" i="9"/>
  <c r="C93" i="9"/>
  <c r="C86" i="9" s="1"/>
  <c r="D55" i="9"/>
  <c r="M53" i="9" s="1"/>
  <c r="D53" i="9"/>
  <c r="D48" i="9" s="1"/>
  <c r="M52" i="9" s="1"/>
  <c r="C64" i="9"/>
  <c r="C63" i="9" s="1"/>
  <c r="C67" i="9" s="1"/>
  <c r="C68" i="9" s="1"/>
  <c r="D54" i="9" s="1"/>
  <c r="E118" i="9"/>
  <c r="E4" i="52" s="1"/>
  <c r="B48" i="72" s="1"/>
  <c r="C95" i="9" l="1"/>
  <c r="C96" i="9" s="1"/>
  <c r="E96" i="9" s="1"/>
  <c r="E97" i="9" s="1"/>
  <c r="L65" i="9"/>
  <c r="M65" i="9" s="1"/>
  <c r="L67" i="9"/>
  <c r="M67" i="9" s="1"/>
  <c r="L66" i="9"/>
  <c r="M66" i="9" s="1"/>
  <c r="L68" i="9"/>
  <c r="M68" i="9" s="1"/>
  <c r="L63" i="9"/>
  <c r="M63" i="9" s="1"/>
  <c r="L64" i="9"/>
  <c r="M64" i="9" s="1"/>
  <c r="B30" i="72"/>
  <c r="D14" i="53"/>
  <c r="B32" i="72" s="1"/>
  <c r="C79" i="9"/>
  <c r="C6" i="74"/>
  <c r="D15" i="53"/>
  <c r="B31" i="72" s="1"/>
  <c r="D8" i="52"/>
  <c r="D123" i="9"/>
  <c r="D9" i="52" s="1"/>
  <c r="C97" i="9" l="1"/>
  <c r="D58" i="9" s="1"/>
  <c r="D56" i="9" s="1"/>
  <c r="M54" i="9" s="1"/>
  <c r="N57" i="9" s="1"/>
  <c r="N58" i="9" s="1"/>
  <c r="C80" i="9"/>
  <c r="E80" i="9" s="1"/>
  <c r="E81" i="9" s="1"/>
  <c r="M69" i="9"/>
  <c r="N69" i="9" s="1"/>
  <c r="P57" i="9" l="1"/>
  <c r="C81"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<sst xmlns="http://schemas.openxmlformats.org/spreadsheetml/2006/main" count="9517" uniqueCount="3683">
  <si>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</si>
  <si>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</si>
  <si>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</si>
  <si>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</si>
  <si>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</si>
  <si>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</si>
  <si>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</si>
  <si>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</si>
  <si>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</si>
  <si>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</si>
  <si>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</si>
  <si>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</si>
  <si>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</si>
  <si>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</si>
  <si>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</si>
  <si>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</si>
  <si>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</si>
  <si>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</si>
  <si>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</si>
  <si>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</si>
  <si>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</si>
  <si>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</si>
  <si>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</si>
  <si>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</si>
  <si>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</si>
  <si>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</si>
  <si>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</si>
  <si>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</si>
  <si>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</si>
  <si>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</si>
  <si>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</si>
  <si>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</si>
  <si>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</si>
  <si>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</si>
  <si>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</si>
  <si>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</si>
  <si>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</si>
  <si>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</si>
  <si>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</si>
  <si>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</si>
  <si>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</si>
  <si>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</si>
  <si>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</si>
  <si>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</si>
  <si>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</si>
  <si>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</si>
  <si>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</si>
  <si>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</si>
  <si>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</si>
  <si>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</si>
  <si>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</si>
  <si>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</si>
  <si>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</si>
  <si>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</si>
  <si>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</si>
  <si>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</si>
  <si>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</si>
  <si>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</si>
  <si>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</si>
  <si>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</si>
  <si>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</si>
  <si>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</si>
  <si>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</si>
  <si>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</si>
  <si>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</si>
  <si>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</si>
  <si>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</si>
  <si>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</si>
  <si>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</si>
  <si>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</si>
  <si>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</si>
  <si>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</si>
  <si>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</si>
  <si>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</si>
  <si>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</si>
  <si>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</si>
  <si>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</si>
  <si>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</si>
  <si>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</si>
  <si>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</si>
  <si>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</si>
  <si>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</si>
  <si>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</si>
  <si>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</si>
  <si>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</si>
  <si>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</si>
  <si>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</si>
  <si>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</si>
  <si>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</si>
  <si>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</si>
  <si>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</si>
  <si>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</si>
  <si>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</si>
  <si>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</si>
  <si>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</si>
  <si>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</si>
  <si>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</si>
  <si>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</si>
  <si>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</si>
  <si>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</si>
  <si>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</si>
  <si>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</si>
  <si>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</si>
  <si>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</si>
  <si>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</si>
  <si>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</si>
  <si>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</si>
  <si>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</si>
  <si>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</si>
  <si>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</si>
  <si>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</si>
  <si>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</si>
  <si>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</si>
  <si>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</si>
  <si>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</si>
  <si>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</si>
  <si>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</si>
  <si>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</si>
  <si>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</si>
  <si>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</si>
  <si>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</si>
  <si>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</si>
  <si>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</si>
  <si>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</si>
  <si>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</si>
  <si>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</si>
  <si>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</si>
  <si>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</si>
  <si>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</si>
  <si>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</si>
  <si>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</si>
  <si>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</si>
  <si>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</si>
  <si>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</si>
  <si>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</si>
  <si>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</si>
  <si>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</si>
  <si>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</si>
  <si>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</si>
  <si>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</si>
  <si>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</si>
  <si>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</si>
  <si>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</si>
  <si>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</si>
  <si>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</si>
  <si>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</si>
  <si>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</si>
  <si>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</si>
  <si>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</si>
  <si>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</si>
  <si>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</si>
  <si>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</si>
  <si>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</si>
  <si>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</si>
  <si>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</si>
  <si>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</si>
  <si>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</si>
  <si>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</si>
  <si>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</si>
  <si>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</si>
  <si>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</si>
  <si>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</si>
  <si>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</si>
  <si>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</si>
  <si>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</si>
  <si>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</si>
  <si>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</si>
  <si>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</si>
  <si>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</si>
  <si>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</si>
  <si>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</si>
  <si>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</si>
  <si>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</si>
  <si>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</si>
  <si>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</si>
  <si>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</si>
  <si>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</si>
  <si>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</si>
  <si>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</si>
  <si>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</si>
  <si>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</si>
  <si>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</si>
  <si>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</si>
  <si>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</si>
  <si>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</si>
  <si>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</si>
  <si>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</si>
  <si>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</si>
  <si>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</si>
  <si>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</si>
  <si>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</si>
  <si>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</si>
  <si>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</si>
  <si>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</si>
  <si>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</si>
  <si>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</si>
  <si>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</si>
  <si>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</si>
  <si>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</si>
  <si>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</si>
  <si>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</si>
  <si>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</si>
  <si>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</si>
  <si>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</si>
  <si>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</si>
  <si>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</si>
  <si>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</si>
  <si>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</si>
  <si>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</si>
  <si>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</si>
  <si>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</si>
  <si>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</si>
  <si>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</si>
  <si>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</si>
  <si>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</si>
  <si>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</si>
  <si>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</si>
  <si>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</si>
  <si>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</si>
  <si>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</si>
  <si>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</si>
  <si>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</si>
  <si>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</si>
  <si>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</si>
  <si>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</si>
  <si>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</si>
  <si>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</si>
  <si>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</si>
  <si>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</si>
  <si>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</si>
  <si>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</si>
  <si>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</si>
  <si>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</si>
  <si>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</si>
  <si>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</si>
  <si>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</si>
  <si>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</si>
  <si>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</si>
  <si>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</si>
  <si>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</si>
  <si>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</si>
  <si>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</si>
  <si>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</si>
  <si>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</si>
  <si>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</si>
  <si>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</si>
  <si>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</si>
  <si>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</si>
  <si>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</si>
  <si>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</si>
  <si>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</si>
  <si>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</si>
  <si>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</si>
  <si>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</si>
  <si>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</si>
  <si>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</si>
  <si>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</si>
  <si>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</si>
  <si>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</si>
  <si>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</si>
  <si>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</si>
  <si>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</si>
  <si>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</si>
  <si>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</si>
  <si>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</si>
  <si>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</si>
  <si>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</si>
  <si>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</si>
  <si>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</si>
  <si>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</si>
  <si>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</si>
  <si>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</si>
  <si>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</si>
  <si>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</si>
  <si>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</si>
  <si>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</si>
  <si>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</si>
  <si>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</si>
  <si>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</si>
  <si>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</si>
  <si>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</si>
  <si>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</si>
  <si>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</si>
  <si>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</si>
  <si>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</si>
  <si>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</si>
  <si>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</si>
  <si>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</si>
  <si>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</si>
  <si>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</si>
  <si>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</si>
  <si>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</si>
  <si>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</si>
  <si>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</si>
  <si>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</si>
  <si>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</si>
  <si>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</si>
  <si>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</si>
  <si>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</si>
  <si>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</si>
  <si>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</si>
  <si>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</si>
  <si>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</si>
  <si>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</si>
  <si>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</si>
  <si>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</si>
  <si>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</si>
  <si>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</si>
  <si>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</si>
  <si>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</si>
  <si>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</si>
  <si>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</si>
  <si>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</si>
  <si>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</si>
  <si>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</si>
  <si>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</si>
  <si>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</si>
  <si>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</si>
  <si>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</si>
  <si>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</si>
  <si>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</si>
  <si>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</si>
  <si>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</si>
  <si>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</si>
  <si>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</si>
  <si>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</si>
  <si>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</si>
  <si>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</si>
  <si>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</si>
  <si>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</si>
  <si>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</si>
  <si>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</si>
  <si>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</si>
  <si>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</si>
  <si>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</si>
  <si>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</si>
  <si>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</si>
  <si>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</si>
  <si>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</si>
  <si>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</si>
  <si>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</si>
  <si>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</si>
  <si>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</si>
  <si>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</si>
  <si>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</si>
  <si>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</si>
  <si>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</si>
  <si>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</si>
  <si>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</si>
  <si>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</si>
  <si>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</si>
  <si>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</si>
  <si>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</si>
  <si>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</si>
  <si>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</si>
  <si>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</si>
  <si>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</si>
  <si>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</si>
  <si>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</si>
  <si>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</si>
  <si>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</si>
  <si>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</si>
  <si>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</si>
  <si>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</si>
  <si>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</si>
  <si>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</si>
  <si>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</si>
  <si>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</si>
  <si>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</si>
  <si>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</si>
  <si>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</si>
  <si>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</si>
  <si>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</si>
  <si>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</si>
  <si>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</si>
  <si>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</si>
  <si>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</si>
  <si>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</si>
  <si>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</si>
  <si>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</si>
  <si>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</si>
  <si>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</si>
  <si>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</si>
  <si>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</si>
  <si>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</si>
  <si>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</si>
  <si>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</si>
  <si>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</si>
  <si>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</si>
  <si>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</si>
  <si>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</si>
  <si>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</si>
  <si>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</si>
  <si>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</si>
  <si>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</si>
  <si>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</si>
  <si>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</si>
  <si>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</si>
  <si>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</si>
  <si>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</si>
  <si>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</si>
  <si>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</si>
  <si>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</si>
  <si>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</si>
  <si>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</si>
  <si>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</si>
  <si>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</si>
  <si>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</si>
  <si>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</si>
  <si>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</si>
  <si>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</si>
  <si>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</si>
  <si>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</si>
  <si>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</si>
  <si>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</si>
  <si>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</si>
  <si>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</si>
  <si>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</si>
  <si>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</si>
  <si>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</si>
  <si>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</si>
  <si>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</si>
  <si>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</si>
  <si>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</si>
  <si>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</si>
  <si>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</si>
  <si>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</si>
  <si>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</si>
  <si>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</si>
  <si>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</si>
  <si>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</si>
  <si>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</si>
  <si>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</si>
  <si>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</si>
  <si>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</si>
  <si>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</si>
  <si>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</si>
  <si>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</si>
  <si>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</si>
  <si>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</si>
  <si>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</si>
  <si>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</si>
  <si>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</si>
  <si>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</si>
  <si>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</si>
  <si>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</si>
  <si>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</si>
  <si>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</si>
  <si>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</si>
  <si>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</si>
  <si>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</si>
  <si>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</si>
  <si>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</si>
  <si>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</si>
  <si>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</si>
  <si>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</si>
  <si>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</si>
  <si>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</si>
  <si>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</si>
  <si>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</si>
  <si>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</si>
  <si>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</si>
  <si>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</si>
  <si>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</si>
  <si>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</si>
  <si>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</si>
  <si>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</si>
  <si>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</si>
  <si>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</si>
  <si>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</si>
  <si>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</si>
  <si>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</si>
  <si>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</si>
  <si>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</si>
  <si>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</si>
  <si>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</si>
  <si>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</si>
  <si>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</si>
  <si>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</si>
  <si>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</si>
  <si>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</si>
  <si>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</si>
  <si>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</si>
  <si>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</si>
  <si>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</si>
  <si>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</si>
  <si>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</si>
  <si>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</si>
  <si>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</si>
  <si>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</si>
  <si>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</si>
  <si>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</si>
  <si>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</si>
  <si>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</si>
  <si>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</si>
  <si>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</si>
  <si>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</si>
  <si>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</si>
  <si>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</si>
  <si>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</si>
  <si>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</si>
  <si>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</si>
  <si>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</si>
  <si>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</si>
  <si>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</si>
  <si>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</si>
  <si>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</si>
  <si>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</si>
  <si>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</si>
  <si>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</si>
  <si>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</si>
  <si>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</si>
  <si>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</si>
  <si>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</si>
  <si>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</si>
  <si>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</si>
  <si>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</si>
  <si>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</si>
  <si>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</si>
  <si>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</si>
  <si>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</si>
  <si>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</si>
  <si>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</si>
  <si>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</si>
  <si>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</si>
  <si>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</si>
  <si>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</si>
  <si>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</si>
  <si>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</si>
  <si>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</si>
  <si>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</si>
  <si>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</si>
  <si>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</si>
  <si>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</si>
  <si>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</si>
  <si>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</si>
  <si>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</si>
  <si>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</si>
  <si>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</si>
  <si>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</si>
  <si>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</si>
  <si>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</si>
  <si>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</si>
  <si>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</si>
  <si>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</si>
  <si>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</si>
  <si>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</si>
  <si>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</si>
  <si>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</si>
  <si>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</si>
  <si>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</si>
  <si>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</si>
  <si>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</si>
  <si>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</si>
  <si>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</si>
  <si>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</si>
  <si>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</si>
  <si>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</si>
  <si>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</si>
  <si>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</si>
  <si>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</si>
  <si>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</si>
  <si>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</si>
  <si>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</si>
  <si>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</si>
  <si>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</si>
  <si>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</si>
  <si>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</si>
  <si>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</si>
  <si>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</si>
  <si>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</si>
  <si>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</si>
  <si>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</si>
  <si>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</si>
  <si>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</si>
  <si>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</si>
  <si>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</si>
  <si>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</si>
  <si>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</si>
  <si>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</si>
  <si>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</si>
  <si>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</si>
  <si>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</si>
  <si>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</si>
  <si>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</si>
  <si>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</si>
  <si>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</si>
  <si>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</si>
  <si>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</si>
  <si>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</si>
  <si>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</si>
  <si>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</si>
  <si>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</si>
  <si>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</si>
  <si>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</si>
  <si>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</si>
  <si>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</si>
  <si>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</si>
  <si>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</si>
  <si>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</si>
  <si>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</si>
  <si>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</si>
  <si>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</si>
  <si>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</si>
  <si>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</si>
  <si>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</si>
  <si>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</si>
  <si>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</si>
  <si>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</si>
  <si>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</si>
  <si>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</si>
  <si>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</si>
  <si>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</si>
  <si>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</si>
  <si>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</si>
  <si>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</si>
  <si>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</si>
  <si>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</si>
  <si>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</si>
  <si>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</si>
  <si>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</si>
  <si>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</si>
  <si>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</si>
  <si>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</si>
  <si>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</si>
  <si>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</si>
  <si>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</si>
  <si>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</si>
  <si>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</si>
  <si>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</si>
  <si>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</si>
  <si>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</si>
  <si>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</si>
  <si>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</si>
  <si>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</si>
  <si>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</si>
  <si>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</si>
  <si>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</si>
  <si>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</si>
  <si>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</si>
  <si>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</si>
  <si>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</si>
  <si>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</si>
  <si>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</si>
  <si>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</si>
  <si>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</si>
  <si>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</si>
  <si>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</si>
  <si>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</si>
  <si>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</si>
  <si>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</si>
  <si>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</si>
  <si>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</si>
  <si>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</si>
  <si>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</si>
  <si>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</si>
  <si>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</si>
  <si>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</si>
  <si>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</si>
  <si>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</si>
  <si>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</si>
  <si>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</si>
  <si>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</si>
  <si>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</si>
  <si>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</si>
  <si>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</si>
  <si>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</si>
  <si>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</si>
  <si>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</si>
  <si>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</si>
  <si>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</si>
  <si>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</si>
  <si>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</si>
  <si>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</si>
  <si>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</si>
  <si>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</si>
  <si>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</si>
  <si>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</si>
  <si>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</si>
  <si>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</si>
  <si>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</si>
  <si>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</si>
  <si>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</si>
  <si>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</si>
  <si>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</si>
  <si>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</si>
  <si>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</si>
  <si>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</si>
  <si>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</si>
  <si>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</si>
  <si>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</si>
  <si>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</si>
  <si>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</si>
  <si>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</si>
  <si>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</si>
  <si>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</si>
  <si>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</si>
  <si>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</si>
  <si>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</si>
  <si>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</si>
  <si>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</si>
  <si>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</si>
  <si>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</si>
  <si>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</si>
  <si>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</si>
  <si>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</si>
  <si>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</si>
  <si>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</si>
  <si>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</si>
  <si>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</si>
  <si>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</si>
  <si>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</si>
  <si>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</si>
  <si>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</si>
  <si>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</si>
  <si>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</si>
  <si>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</si>
  <si>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</si>
  <si>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</si>
  <si>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</si>
  <si>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</si>
  <si>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</si>
  <si>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</si>
  <si>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</si>
  <si>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</si>
  <si>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</si>
  <si>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</si>
  <si>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</si>
  <si>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</si>
  <si>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</si>
  <si>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</si>
  <si>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</si>
  <si>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</si>
  <si>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</si>
  <si>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</si>
  <si>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</si>
  <si>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</si>
  <si>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</si>
  <si>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</si>
  <si>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</si>
  <si>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</si>
  <si>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</si>
  <si>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</si>
  <si>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</si>
  <si>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</si>
  <si>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</si>
  <si>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</si>
  <si>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</si>
  <si>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</si>
  <si>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</si>
  <si>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</si>
  <si>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</si>
  <si>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</si>
  <si>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</si>
  <si>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</si>
  <si>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</si>
  <si>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</si>
  <si>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</si>
  <si>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</si>
  <si>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</si>
  <si>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</si>
  <si>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</si>
  <si>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</si>
  <si>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</si>
  <si>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</si>
  <si>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</si>
  <si>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</si>
  <si>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</si>
  <si>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</si>
  <si>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</si>
  <si>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</si>
  <si>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</si>
  <si>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</si>
  <si>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</si>
  <si>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</si>
  <si>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</si>
  <si>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</si>
  <si>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</si>
  <si>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</si>
  <si>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</si>
  <si>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</si>
  <si>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</si>
  <si>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</si>
  <si>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</si>
  <si>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</si>
  <si>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</si>
  <si>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</si>
  <si>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</si>
  <si>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</si>
  <si>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</si>
  <si>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</si>
  <si>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</si>
  <si>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</si>
  <si>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</si>
  <si>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</si>
  <si>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</si>
  <si>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</si>
  <si>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</si>
  <si>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</si>
  <si>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</si>
  <si>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</si>
  <si>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</si>
  <si>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</si>
  <si>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</si>
  <si>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</si>
  <si>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</si>
  <si>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</si>
  <si>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</si>
  <si>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</si>
  <si>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</si>
  <si>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</si>
  <si>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</si>
  <si>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</si>
  <si>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</si>
  <si>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</si>
  <si>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</si>
  <si>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</si>
  <si>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</si>
  <si>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</si>
  <si>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</si>
  <si>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</si>
  <si>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</si>
  <si>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</si>
  <si>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</si>
  <si>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</si>
  <si>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</si>
  <si>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</si>
  <si>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</si>
  <si>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</si>
  <si>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</si>
  <si>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</si>
  <si>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</si>
  <si>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</si>
  <si>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</si>
  <si>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</si>
  <si>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</si>
  <si>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</si>
  <si>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</si>
  <si>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</si>
  <si>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</si>
  <si>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</si>
  <si>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</si>
  <si>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</si>
  <si>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</si>
  <si>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</si>
  <si>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</si>
  <si>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</si>
  <si>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</si>
  <si>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</si>
  <si>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</si>
  <si>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</si>
  <si>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</si>
  <si>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</si>
  <si>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</si>
  <si>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</si>
  <si>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</si>
  <si>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</si>
  <si>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</si>
  <si>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</si>
  <si>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</si>
  <si>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</si>
  <si>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</si>
  <si>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</si>
  <si>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</si>
  <si>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</si>
  <si>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</si>
  <si>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</si>
  <si>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</si>
  <si>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</si>
  <si>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</si>
  <si>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</si>
  <si>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</si>
  <si>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</si>
  <si>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</si>
  <si>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</si>
  <si>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</si>
  <si>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</si>
  <si>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</si>
  <si>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</si>
  <si>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</si>
  <si>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</si>
  <si>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</si>
  <si>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</si>
  <si>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</si>
  <si>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</si>
  <si>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</si>
  <si>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</si>
  <si>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</si>
  <si>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</si>
  <si>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</si>
  <si>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</si>
  <si>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</si>
  <si>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</si>
  <si>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</si>
  <si>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</si>
  <si>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</si>
  <si>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</si>
  <si>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</si>
  <si>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</si>
  <si>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</si>
  <si>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</si>
  <si>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</si>
  <si>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</si>
  <si>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</si>
  <si>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</si>
  <si>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</si>
  <si>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</si>
  <si>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</si>
  <si>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</si>
  <si>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</si>
  <si>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</si>
  <si>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</si>
  <si>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</si>
  <si>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</si>
  <si>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</si>
  <si>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</si>
  <si>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</si>
  <si>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</si>
  <si>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</si>
  <si>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</si>
  <si>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</si>
  <si>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</si>
  <si>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</si>
  <si>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</si>
  <si>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</si>
  <si>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</si>
  <si>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</si>
  <si>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</si>
  <si>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</si>
  <si>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</si>
  <si>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</si>
  <si>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</si>
  <si>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</si>
  <si>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</si>
  <si>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</si>
  <si>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</si>
  <si>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</si>
  <si>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</si>
  <si>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</si>
  <si>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</si>
  <si>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</si>
  <si>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</si>
  <si>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</si>
  <si>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</si>
  <si>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</si>
  <si>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</si>
  <si>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</si>
  <si>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</si>
  <si>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</si>
  <si>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</si>
  <si>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</si>
  <si>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</si>
  <si>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</si>
  <si>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</si>
  <si>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</si>
  <si>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</si>
  <si>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</si>
  <si>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</si>
  <si>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</si>
  <si>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</si>
  <si>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</si>
  <si>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</si>
  <si>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</si>
  <si>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</si>
  <si>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</si>
  <si>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</si>
  <si>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</si>
  <si>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</si>
  <si>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</si>
  <si>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</si>
  <si>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</si>
  <si>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</si>
  <si>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</si>
  <si>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</si>
  <si>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</si>
  <si>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</si>
  <si>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</si>
  <si>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</si>
  <si>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</si>
  <si>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</si>
  <si>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</si>
  <si>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</si>
  <si>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</si>
  <si>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</si>
  <si>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</si>
  <si>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</si>
  <si>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</si>
  <si>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</si>
  <si>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</si>
  <si>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</si>
  <si>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</si>
  <si>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</si>
  <si>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</si>
  <si>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</si>
  <si>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</si>
  <si>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</si>
  <si>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</si>
  <si>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</si>
  <si>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</si>
  <si>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</si>
  <si>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</si>
  <si>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</si>
  <si>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</si>
  <si>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</si>
  <si>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</si>
  <si>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</si>
  <si>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</si>
  <si>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</si>
  <si>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</si>
  <si>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</si>
  <si>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</si>
  <si>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</si>
  <si>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</si>
  <si>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</si>
  <si>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</si>
  <si>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</si>
  <si>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</si>
  <si>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</si>
  <si>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</si>
  <si>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</si>
  <si>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</si>
  <si>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</si>
  <si>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</si>
  <si>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</si>
  <si>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</si>
  <si>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</si>
  <si>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</si>
  <si>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</si>
  <si>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</si>
  <si>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</si>
  <si>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</si>
  <si>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</si>
  <si>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</si>
  <si>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</si>
  <si>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</si>
  <si>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</si>
  <si>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</si>
  <si>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</si>
  <si>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</si>
  <si>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</si>
  <si>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</si>
  <si>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</si>
  <si>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</si>
  <si>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</si>
  <si>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</si>
  <si>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</si>
  <si>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</si>
  <si>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</si>
  <si>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</si>
  <si>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</si>
  <si>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</si>
  <si>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</si>
  <si>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</si>
  <si>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</si>
  <si>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</si>
  <si>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</si>
  <si>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</si>
  <si>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</si>
  <si>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</si>
  <si>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</si>
  <si>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</si>
  <si>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</si>
  <si>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</si>
  <si>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</si>
  <si>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</si>
  <si>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</si>
  <si>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</si>
  <si>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</si>
  <si>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</si>
  <si>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</si>
  <si>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</si>
  <si>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</si>
  <si>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</si>
  <si>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</si>
  <si>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</si>
  <si>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</si>
  <si>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</si>
  <si>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</si>
  <si>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</si>
  <si>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</si>
  <si>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</si>
  <si>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</si>
  <si>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</si>
  <si>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</si>
  <si>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</si>
  <si>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</si>
  <si>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</si>
  <si>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</si>
  <si>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</si>
  <si>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</si>
  <si>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</si>
  <si>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</si>
  <si>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</si>
  <si>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</si>
  <si>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</si>
  <si>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</si>
  <si>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</si>
  <si>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</si>
  <si>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</si>
  <si>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</si>
  <si>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</si>
  <si>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</si>
  <si>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</si>
  <si>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</si>
  <si>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</si>
  <si>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</si>
  <si>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</si>
  <si>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</si>
  <si>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</si>
  <si>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</si>
  <si>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</si>
  <si>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</si>
  <si>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</si>
  <si>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</si>
  <si>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</si>
  <si>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</si>
  <si>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</si>
  <si>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</si>
  <si>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</si>
  <si>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</si>
  <si>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</si>
  <si>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</si>
  <si>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</si>
  <si>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</si>
  <si>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</si>
  <si>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</si>
  <si>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</si>
  <si>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</si>
  <si>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</si>
  <si>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</si>
  <si>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</si>
  <si>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</si>
  <si>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</si>
  <si>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</si>
  <si>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</si>
  <si>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</si>
  <si>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</si>
  <si>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</si>
  <si>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</si>
  <si>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</si>
  <si>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</si>
  <si>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</si>
  <si>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</si>
  <si>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</si>
  <si>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</si>
  <si>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</si>
  <si>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</si>
  <si>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</si>
  <si>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</si>
  <si>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</si>
  <si>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</si>
  <si>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</si>
  <si>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</si>
  <si>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</si>
  <si>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</si>
  <si>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</si>
  <si>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</si>
  <si>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</si>
  <si>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</si>
  <si>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</si>
  <si>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</si>
  <si>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</si>
  <si>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</si>
  <si>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</si>
  <si>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</si>
  <si>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</si>
  <si>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</si>
  <si>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</si>
  <si>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</si>
  <si>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</si>
  <si>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</si>
  <si>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</si>
  <si>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</si>
  <si>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</si>
  <si>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</si>
  <si>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</si>
  <si>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</si>
  <si>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</si>
  <si>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</si>
  <si>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</si>
  <si>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</si>
  <si>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</si>
  <si>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</si>
  <si>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</si>
  <si>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</si>
  <si>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</si>
  <si>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</si>
  <si>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</si>
  <si>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</si>
  <si>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</si>
  <si>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</si>
  <si>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</si>
  <si>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</si>
  <si>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</si>
  <si>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</si>
  <si>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</si>
  <si>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</si>
  <si>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</si>
  <si>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</si>
  <si>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</si>
  <si>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</si>
  <si>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</si>
  <si>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</si>
  <si>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</si>
  <si>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</si>
  <si>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</si>
  <si>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</si>
  <si>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</si>
  <si>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</si>
  <si>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</si>
  <si>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</si>
  <si>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</si>
  <si>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</si>
  <si>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</si>
  <si>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</si>
  <si>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</si>
  <si>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</si>
  <si>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</si>
  <si>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</si>
  <si>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</si>
  <si>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</si>
  <si>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</si>
  <si>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</si>
  <si>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</si>
  <si>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</si>
  <si>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</si>
  <si>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</si>
  <si>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</si>
  <si>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</si>
  <si>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</si>
  <si>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</si>
  <si>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</si>
  <si>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</si>
  <si>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</si>
  <si>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</si>
  <si>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</si>
  <si>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</si>
  <si>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</si>
  <si>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</si>
  <si>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</si>
  <si>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</si>
  <si>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</si>
  <si>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</si>
  <si>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</si>
  <si>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</si>
  <si>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</si>
  <si>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</si>
  <si>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</si>
  <si>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</si>
  <si>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</si>
  <si>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</si>
  <si>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</si>
  <si>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</si>
  <si>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</si>
  <si>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</si>
  <si>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</si>
  <si>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</si>
  <si>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</si>
  <si>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</si>
  <si>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</si>
  <si>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</si>
  <si>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</si>
  <si>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</si>
  <si>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</si>
  <si>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</si>
  <si>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</si>
  <si>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</si>
  <si>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</si>
  <si>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</si>
  <si>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</si>
  <si>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</si>
  <si>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</si>
  <si>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</si>
  <si>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</si>
  <si>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</si>
  <si>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</si>
  <si>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</si>
  <si>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</si>
  <si>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</si>
  <si>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</si>
  <si>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</si>
  <si>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</si>
  <si>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</si>
  <si>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</si>
  <si>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</si>
  <si>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</si>
  <si>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</si>
  <si>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</si>
  <si>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</si>
  <si>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</si>
  <si>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</si>
  <si>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</si>
  <si>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</si>
  <si>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</si>
  <si>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</si>
  <si>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</si>
  <si>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</si>
  <si>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</si>
  <si>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</si>
  <si>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</si>
  <si>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</si>
  <si>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</si>
  <si>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</si>
  <si>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</si>
  <si>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</si>
  <si>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</si>
  <si>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</si>
  <si>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</si>
  <si>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</si>
  <si>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</si>
  <si>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</si>
  <si>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</si>
  <si>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</si>
  <si>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</si>
  <si>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</si>
  <si>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</si>
  <si>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</si>
  <si>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</si>
  <si>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</si>
  <si>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</si>
  <si>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</si>
  <si>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</si>
  <si>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</si>
  <si>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</si>
  <si>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</si>
  <si>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</si>
  <si>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</si>
  <si>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</si>
  <si>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</si>
  <si>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</si>
  <si>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</si>
  <si>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</si>
  <si>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</si>
  <si>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</si>
  <si>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</si>
  <si>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</si>
  <si>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</si>
  <si>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</si>
  <si>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</si>
  <si>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</si>
  <si>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</si>
  <si>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</si>
  <si>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</si>
  <si>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</si>
  <si>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</si>
  <si>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</si>
  <si>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</si>
  <si>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</si>
  <si>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</si>
  <si>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</si>
  <si>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</si>
  <si>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</si>
  <si>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</si>
  <si>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</si>
  <si>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</si>
  <si>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</si>
  <si>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</si>
  <si>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</si>
  <si>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</si>
  <si>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</si>
  <si>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</si>
  <si>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</si>
  <si>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</si>
  <si>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</si>
  <si>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</si>
  <si>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</si>
  <si>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</si>
  <si>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</si>
  <si>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</si>
  <si>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</si>
  <si>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</si>
  <si>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</si>
  <si>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</si>
  <si>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</si>
  <si>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</si>
  <si>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</si>
  <si>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</si>
  <si>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</si>
  <si>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</si>
  <si>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</si>
  <si>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</si>
  <si>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</si>
  <si>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</si>
  <si>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</si>
  <si>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</si>
  <si>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</si>
  <si>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</si>
  <si>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</si>
  <si>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</si>
  <si>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</si>
  <si>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</si>
  <si>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</si>
  <si>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</si>
  <si>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</si>
  <si>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</si>
  <si>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</si>
  <si>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</si>
  <si>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</si>
  <si>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</si>
  <si>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</si>
  <si>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</si>
  <si>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</si>
  <si>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</si>
  <si>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</si>
  <si>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</si>
  <si>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</si>
  <si>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</si>
  <si>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</si>
  <si>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</si>
  <si>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</si>
  <si>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</si>
  <si>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</si>
  <si>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</si>
  <si>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</si>
  <si>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</si>
  <si>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</si>
  <si>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</si>
  <si>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</si>
  <si>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</si>
  <si>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</si>
  <si>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</si>
  <si>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</si>
  <si>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</si>
  <si>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</si>
  <si>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</si>
  <si>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</si>
  <si>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</si>
  <si>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</si>
  <si>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</si>
  <si>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</si>
  <si>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</si>
  <si>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</si>
  <si>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</si>
  <si>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</si>
  <si>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</si>
  <si>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</si>
  <si>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</si>
  <si>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</si>
  <si>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</si>
  <si>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</si>
  <si>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</si>
  <si>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</si>
  <si>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</si>
  <si>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</si>
  <si>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</si>
  <si>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</si>
  <si>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</si>
  <si>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</si>
  <si>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</si>
  <si>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</si>
  <si>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</si>
  <si>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</si>
  <si>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</si>
  <si>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</si>
  <si>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</si>
  <si>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</si>
  <si>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</si>
  <si>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</si>
  <si>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</si>
  <si>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</si>
  <si>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</si>
  <si>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</si>
  <si>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</si>
  <si>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</si>
  <si>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</si>
  <si>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</si>
  <si>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</si>
  <si>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</si>
  <si>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</si>
  <si>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</si>
  <si>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</si>
  <si>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</si>
  <si>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</si>
  <si>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</si>
  <si>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</si>
  <si>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</si>
  <si>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</si>
  <si>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</si>
  <si>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</si>
  <si>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</si>
  <si>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</si>
  <si>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</si>
  <si>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</si>
  <si>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</si>
  <si>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</si>
  <si>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</si>
  <si>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</si>
  <si>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</si>
  <si>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</si>
  <si>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</si>
  <si>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</si>
  <si>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</si>
  <si>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</si>
  <si>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</si>
  <si>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</si>
  <si>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</si>
  <si>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</si>
  <si>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</si>
  <si>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</si>
  <si>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</si>
  <si>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</si>
  <si>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</si>
  <si>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</si>
  <si>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</si>
  <si>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</si>
  <si>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</si>
  <si>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</si>
  <si>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</si>
  <si>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</si>
  <si>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</si>
  <si>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</si>
  <si>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</si>
  <si>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</si>
  <si>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</si>
  <si>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</si>
  <si>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</si>
  <si>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</si>
  <si>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</si>
  <si>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</si>
  <si>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</si>
  <si>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</si>
  <si>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</si>
  <si>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</si>
  <si>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</si>
  <si>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</si>
  <si>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</si>
  <si>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</si>
  <si>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</si>
  <si>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</si>
  <si>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</si>
  <si>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</si>
  <si>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</si>
  <si>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</si>
  <si>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</si>
  <si>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</si>
  <si>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</si>
  <si>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</si>
  <si>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</si>
  <si>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</si>
  <si>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</si>
  <si>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</si>
  <si>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</si>
  <si>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</si>
  <si>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</si>
  <si>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</si>
  <si>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</si>
  <si>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</si>
  <si>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</si>
  <si>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</si>
  <si>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</si>
  <si>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</si>
  <si>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</si>
  <si>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</si>
  <si>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</si>
  <si>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</si>
  <si>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</si>
  <si>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</si>
  <si>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</si>
  <si>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</si>
  <si>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</si>
  <si>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</si>
  <si>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</si>
  <si>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</si>
  <si>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</si>
  <si>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</si>
  <si>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</si>
  <si>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</si>
  <si>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</si>
  <si>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</si>
  <si>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</si>
  <si>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</si>
  <si>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</si>
  <si>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</si>
  <si>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</si>
  <si>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</si>
  <si>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</si>
  <si>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</si>
  <si>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</si>
  <si>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</si>
  <si>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</si>
  <si>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</si>
  <si>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</si>
  <si>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</si>
  <si>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</si>
  <si>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</si>
  <si>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</si>
  <si>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</si>
  <si>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</si>
  <si>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</si>
  <si>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</si>
  <si>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</si>
  <si>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</si>
  <si>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</si>
  <si>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</si>
  <si>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</si>
  <si>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</si>
  <si>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</si>
  <si>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</si>
  <si>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</si>
  <si>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</si>
  <si>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</si>
  <si>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</si>
  <si>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</si>
  <si>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</si>
  <si>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</si>
  <si>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</si>
  <si>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</si>
  <si>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</si>
  <si>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</si>
  <si>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</si>
  <si>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</si>
  <si>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</si>
  <si>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</si>
  <si>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</si>
  <si>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</si>
  <si>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</si>
  <si>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</si>
  <si>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</si>
  <si>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</si>
  <si>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</si>
  <si>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</si>
  <si>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</si>
  <si>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</si>
  <si>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</si>
  <si>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</si>
  <si>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</si>
  <si>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</si>
  <si>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</si>
  <si>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</si>
  <si>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</si>
  <si>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</si>
  <si>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</si>
  <si>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</si>
  <si>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</si>
  <si>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</si>
  <si>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</si>
  <si>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</si>
  <si>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</si>
  <si>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</si>
  <si>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</si>
  <si>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</si>
  <si>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</si>
  <si>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</si>
  <si>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</si>
  <si>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</si>
  <si>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</si>
  <si>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</si>
  <si>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</si>
  <si>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</si>
  <si>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</si>
  <si>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</si>
  <si>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</si>
  <si>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</si>
  <si>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</si>
  <si>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</si>
  <si>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</si>
  <si>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</si>
  <si>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</si>
  <si>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</si>
  <si>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</si>
  <si>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</si>
  <si>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</si>
  <si>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</si>
  <si>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</si>
  <si>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</si>
  <si>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</si>
  <si>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</si>
  <si>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</si>
  <si>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</si>
  <si>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</si>
  <si>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</si>
  <si>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</si>
  <si>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</si>
  <si>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</si>
  <si>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</si>
  <si>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</si>
  <si>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</si>
  <si>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</si>
  <si>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</si>
  <si>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</si>
  <si>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</si>
  <si>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</si>
  <si>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</si>
  <si>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</si>
  <si>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</si>
  <si>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</si>
  <si>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</si>
  <si>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</si>
  <si>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</si>
  <si>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</si>
  <si>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</si>
  <si>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</si>
  <si>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</si>
  <si>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</si>
  <si>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</si>
  <si>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</si>
  <si>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</si>
  <si>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</si>
  <si>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</si>
  <si>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</si>
  <si>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</si>
  <si>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</si>
  <si>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</si>
  <si>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</si>
  <si>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</si>
  <si>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</si>
  <si>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</si>
  <si>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</si>
  <si>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</si>
  <si>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</si>
  <si>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</si>
  <si>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</si>
  <si>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</si>
  <si>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</si>
  <si>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</si>
  <si>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</si>
  <si>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</si>
  <si>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</si>
  <si>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</si>
  <si>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</si>
  <si>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</si>
  <si>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</si>
  <si>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</si>
  <si>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</si>
  <si>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</si>
  <si>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</si>
  <si>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</si>
  <si>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</si>
  <si>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</si>
  <si>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</si>
  <si>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</si>
  <si>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</si>
  <si>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</si>
  <si>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</si>
  <si>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</si>
  <si>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</si>
  <si>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</si>
  <si>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</si>
  <si>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</si>
  <si>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</si>
  <si>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</si>
  <si>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</si>
  <si>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</si>
  <si>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</si>
  <si>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</si>
  <si>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</si>
  <si>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</si>
  <si>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</si>
  <si>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</si>
  <si>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</si>
  <si>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</si>
  <si>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</si>
  <si>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</si>
  <si>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</si>
  <si>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</si>
  <si>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</si>
  <si>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</si>
  <si>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</si>
  <si>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</si>
  <si>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</si>
  <si>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</si>
  <si>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</si>
  <si>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</si>
  <si>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</si>
  <si>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</si>
  <si>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</si>
  <si>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</si>
  <si>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</si>
  <si>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</si>
  <si>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</si>
  <si>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</si>
  <si>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</si>
  <si>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</si>
  <si>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</si>
  <si>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</si>
  <si>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</si>
  <si>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</si>
  <si>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</si>
  <si>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</si>
  <si>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</si>
  <si>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</si>
  <si>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</si>
  <si>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</si>
  <si>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</si>
  <si>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</si>
  <si>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</si>
  <si>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</si>
  <si>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</si>
  <si>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</si>
  <si>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</si>
  <si>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</si>
  <si>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</si>
  <si>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</si>
  <si>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</si>
  <si>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</si>
  <si>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</si>
  <si>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</si>
  <si>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</si>
  <si>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</si>
  <si>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</si>
  <si>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</si>
  <si>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</si>
  <si>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</si>
  <si>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</si>
  <si>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</si>
  <si>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</si>
  <si>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</si>
  <si>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</si>
  <si>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</si>
  <si>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</si>
  <si>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</si>
  <si>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</si>
  <si>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</si>
  <si>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</si>
  <si>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</si>
  <si>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</si>
  <si>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</si>
  <si>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</si>
  <si>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</si>
  <si>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</si>
  <si>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</si>
  <si>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</si>
  <si>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</si>
  <si>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</si>
  <si>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</si>
  <si>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</si>
  <si>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</si>
  <si>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</si>
  <si>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</si>
  <si>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</si>
  <si>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</si>
  <si>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</si>
  <si>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</si>
  <si>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</si>
  <si>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</si>
  <si>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</si>
  <si>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</si>
  <si>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</si>
  <si>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</si>
  <si>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</si>
  <si>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</si>
  <si>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</si>
  <si>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</si>
  <si>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</si>
  <si>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</si>
  <si>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</si>
  <si>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</si>
  <si>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</si>
  <si>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</si>
  <si>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</si>
  <si>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</si>
  <si>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</si>
  <si>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</si>
  <si>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</si>
  <si>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</si>
  <si>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</si>
  <si>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</si>
  <si>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</si>
  <si>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</si>
  <si>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</si>
  <si>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</si>
  <si>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</si>
  <si>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</si>
  <si>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</si>
  <si>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</si>
  <si>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</si>
  <si>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</si>
  <si>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</si>
  <si>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</si>
  <si>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</si>
  <si>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</si>
  <si>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</si>
  <si>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</si>
  <si>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</si>
  <si>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</si>
  <si>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</si>
  <si>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</si>
  <si>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</si>
  <si>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</si>
  <si>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</si>
  <si>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</si>
  <si>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</si>
  <si>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</si>
  <si>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</si>
  <si>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</si>
  <si>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</si>
  <si>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</si>
  <si>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</si>
  <si>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</si>
  <si>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</si>
  <si>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</si>
  <si>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</si>
  <si>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</si>
  <si>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</si>
  <si>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</si>
  <si>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</si>
  <si>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</si>
  <si>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</si>
  <si>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</si>
  <si>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</si>
  <si>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</si>
  <si>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</si>
  <si>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</si>
  <si>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</si>
  <si>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</si>
  <si>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</si>
  <si>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</si>
  <si>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</si>
  <si>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</si>
  <si>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</si>
  <si>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</si>
  <si>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</si>
  <si>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</si>
  <si>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</si>
  <si>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</si>
  <si>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</si>
  <si>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</si>
  <si>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</si>
  <si>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</si>
  <si>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</si>
  <si>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</si>
  <si>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</si>
  <si>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</si>
  <si>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</si>
  <si>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</si>
  <si>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</si>
  <si>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</si>
  <si>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</si>
  <si>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</si>
  <si>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</si>
  <si>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</si>
  <si>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</si>
  <si>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</si>
  <si>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</si>
  <si>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</si>
  <si>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</si>
  <si>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</si>
  <si>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</si>
  <si>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</si>
  <si>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</si>
  <si>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</si>
  <si>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</si>
  <si>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</si>
  <si>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</si>
  <si>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</si>
  <si>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</si>
  <si>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</si>
  <si>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</si>
  <si>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</si>
  <si>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</si>
  <si>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</si>
  <si>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</si>
  <si>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</si>
  <si>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</si>
  <si>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</si>
  <si>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</si>
  <si>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</si>
  <si>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</si>
  <si>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</si>
  <si>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</si>
  <si>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</si>
  <si>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</si>
  <si>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</si>
  <si>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</si>
  <si>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</si>
  <si>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</si>
  <si>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</si>
  <si>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</si>
  <si>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</si>
  <si>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</si>
  <si>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</si>
  <si>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</si>
  <si>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</si>
  <si>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</si>
  <si>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</si>
  <si>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</si>
  <si>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</si>
  <si>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</si>
  <si>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</si>
  <si>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</si>
  <si>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</si>
  <si>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</si>
  <si>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</si>
  <si>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</si>
  <si>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</si>
  <si>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</si>
  <si>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</si>
  <si>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</si>
  <si>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</si>
  <si>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</si>
  <si>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</si>
  <si>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</si>
  <si>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</si>
  <si>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</si>
  <si>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</si>
  <si>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</si>
  <si>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</si>
  <si>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</si>
  <si>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</si>
  <si>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</si>
  <si>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</si>
  <si>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</si>
  <si>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</si>
  <si>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</si>
  <si>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</si>
  <si>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</si>
  <si>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</si>
  <si>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</si>
  <si>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</si>
  <si>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</si>
  <si>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</si>
  <si>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</si>
  <si>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</si>
  <si>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</si>
  <si>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</si>
  <si>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</si>
  <si>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</si>
  <si>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</si>
  <si>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</si>
  <si>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</si>
  <si>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</si>
  <si>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</si>
  <si>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</si>
  <si>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</si>
  <si>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</si>
  <si>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</si>
  <si>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</si>
  <si>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</si>
  <si>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</si>
  <si>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</si>
  <si>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</si>
  <si>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</si>
  <si>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</si>
  <si>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</si>
  <si>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</si>
  <si>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</si>
  <si>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</si>
  <si>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</si>
  <si>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</si>
  <si>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</si>
  <si>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</si>
  <si>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</si>
  <si>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</si>
  <si>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</si>
  <si>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</si>
  <si>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</si>
  <si>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</si>
  <si>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</si>
  <si>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</si>
  <si>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</si>
  <si>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</si>
  <si>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</si>
  <si>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</si>
  <si>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</si>
  <si>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</si>
  <si>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</si>
  <si>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</si>
  <si>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</si>
  <si>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</si>
  <si>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</si>
  <si>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</si>
  <si>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</si>
  <si>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</si>
  <si>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</si>
  <si>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</si>
  <si>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</si>
  <si>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</si>
  <si>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</si>
  <si>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</si>
  <si>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</si>
  <si>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</si>
  <si>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</si>
  <si>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</si>
  <si>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</si>
  <si>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</si>
  <si>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</si>
  <si>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</si>
  <si>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</si>
  <si>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</si>
  <si>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</si>
  <si>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</si>
  <si>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</si>
  <si>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</si>
  <si>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</si>
  <si>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</si>
  <si>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</si>
  <si>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</si>
  <si>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</si>
  <si>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</si>
  <si>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</si>
  <si>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</si>
  <si>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</si>
  <si>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</si>
  <si>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</si>
  <si>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</si>
  <si>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</si>
  <si>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</si>
  <si>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</si>
  <si>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</si>
  <si>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</si>
  <si>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</si>
  <si>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</si>
  <si>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</si>
  <si>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</si>
  <si>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</si>
  <si>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</si>
  <si>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</si>
  <si>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</si>
  <si>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</si>
  <si>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</si>
  <si>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</si>
  <si>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</si>
  <si>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</si>
  <si>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</si>
  <si>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</si>
  <si>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</si>
  <si>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</si>
  <si>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</si>
  <si>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</si>
  <si>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</si>
  <si>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</si>
  <si>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</si>
  <si>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</si>
  <si>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</si>
  <si>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</si>
  <si>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</si>
  <si>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</si>
  <si>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</si>
  <si>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</si>
  <si>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</si>
  <si>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</si>
  <si>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</si>
  <si>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</si>
  <si>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</si>
  <si>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</si>
  <si>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</si>
  <si>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</si>
  <si>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</si>
  <si>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</si>
  <si>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</si>
  <si>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</si>
  <si>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</si>
  <si>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</si>
  <si>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</si>
  <si>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</si>
  <si>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</si>
  <si>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</si>
  <si>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</si>
  <si>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</si>
  <si>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</si>
  <si>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</si>
  <si>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</si>
  <si>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</si>
  <si>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</si>
  <si>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</si>
  <si>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</si>
  <si>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</si>
  <si>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</si>
  <si>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</si>
  <si>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</si>
  <si>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</si>
  <si>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</si>
  <si>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</si>
  <si>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</si>
  <si>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</si>
  <si>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</si>
  <si>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</si>
  <si>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</si>
  <si>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</si>
  <si>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</si>
  <si>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</si>
  <si>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</si>
  <si>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</si>
  <si>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</si>
  <si>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</si>
  <si>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</si>
  <si>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</si>
  <si>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</si>
  <si>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</si>
  <si>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</si>
  <si>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</si>
  <si>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</si>
  <si>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</si>
  <si>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</si>
  <si>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</si>
  <si>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</si>
  <si>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</si>
  <si>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</si>
  <si>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</si>
  <si>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</si>
  <si>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</si>
  <si>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</si>
  <si>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</si>
  <si>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</si>
  <si>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</si>
  <si>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</si>
  <si>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</si>
  <si>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</si>
  <si>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</si>
  <si>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</si>
  <si>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</si>
  <si>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</si>
  <si>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</si>
  <si>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</si>
  <si>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</si>
  <si>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</si>
  <si>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</si>
  <si>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</si>
  <si>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</si>
  <si>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</si>
  <si>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</si>
  <si>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</si>
  <si>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</si>
  <si>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</si>
  <si>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</si>
  <si>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</si>
  <si>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</si>
  <si>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</si>
  <si>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</si>
  <si>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</si>
  <si>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</si>
  <si>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</si>
  <si>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</si>
  <si>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</si>
  <si>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</si>
  <si>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</si>
  <si>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</si>
  <si>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</si>
  <si>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</si>
  <si>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</si>
  <si>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</si>
  <si>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</si>
  <si>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</si>
  <si>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</si>
  <si>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</si>
  <si>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</si>
  <si>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</si>
  <si>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</si>
  <si>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</si>
  <si>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</si>
  <si>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</si>
  <si>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</si>
  <si>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</si>
  <si>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</si>
  <si>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</si>
  <si>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</si>
  <si>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</si>
  <si>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</si>
  <si>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</si>
  <si>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</si>
  <si>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</si>
  <si>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</si>
  <si>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</si>
  <si>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</si>
  <si>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</si>
  <si>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</si>
  <si>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</si>
  <si>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</si>
  <si>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</si>
  <si>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</si>
  <si>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</si>
  <si>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</si>
  <si>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</si>
  <si>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</si>
  <si>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</si>
  <si>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</si>
  <si>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</si>
  <si>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</si>
  <si>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</si>
  <si>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</si>
  <si>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</si>
  <si>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</si>
  <si>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</si>
  <si>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</si>
  <si>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</si>
  <si>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</si>
  <si>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</si>
  <si>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</si>
  <si>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</si>
  <si>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</si>
  <si>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</si>
  <si>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</si>
  <si>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</si>
  <si>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</si>
  <si>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</si>
  <si>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</si>
  <si>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</si>
  <si>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</si>
  <si>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</si>
  <si>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</si>
  <si>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</si>
  <si>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</si>
  <si>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</si>
  <si>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</si>
  <si>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</si>
  <si>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</si>
  <si>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</si>
  <si>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</si>
  <si>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</si>
  <si>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</si>
  <si>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</si>
  <si>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</si>
  <si>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</si>
  <si>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</si>
  <si>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</si>
  <si>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</si>
  <si>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</si>
  <si>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</si>
  <si>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</si>
  <si>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</si>
  <si>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</si>
  <si>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</si>
  <si>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</si>
  <si>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</si>
  <si>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</si>
  <si>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</si>
  <si>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</si>
  <si>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</si>
  <si>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</si>
  <si>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</si>
  <si>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</si>
  <si>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</si>
  <si>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</si>
  <si>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</si>
  <si>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</si>
  <si>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</si>
  <si>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</si>
  <si>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</si>
  <si>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</si>
  <si>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</si>
  <si>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</si>
  <si>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</si>
  <si>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</si>
  <si>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</si>
  <si>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</si>
  <si>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</si>
  <si>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</si>
  <si>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</si>
  <si>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</si>
  <si>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</si>
  <si>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</si>
  <si>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</si>
  <si>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</si>
  <si>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</si>
  <si>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</si>
  <si>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</si>
  <si>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</si>
  <si>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</si>
  <si>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</si>
  <si>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</si>
  <si>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</si>
  <si>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</si>
  <si>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</si>
  <si>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</si>
  <si>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</si>
  <si>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</si>
  <si>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</si>
  <si>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</si>
  <si>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</si>
  <si>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</si>
  <si>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</si>
  <si>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</si>
  <si>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</si>
  <si>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</si>
  <si>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</si>
  <si>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</si>
  <si>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</si>
  <si>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</si>
  <si>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</si>
  <si>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</si>
  <si>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</si>
  <si>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</si>
  <si>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</si>
  <si>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</si>
  <si>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</si>
  <si>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</si>
  <si>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</si>
  <si>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</si>
  <si>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</si>
  <si>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</si>
  <si>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</si>
  <si>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</si>
  <si>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</si>
  <si>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</si>
  <si>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</si>
  <si>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</si>
  <si>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</si>
  <si>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</si>
  <si>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</si>
  <si>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</si>
  <si>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</si>
  <si>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</si>
  <si>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</si>
  <si>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</si>
  <si>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</si>
  <si>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</si>
  <si>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</si>
  <si>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</si>
  <si>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</si>
  <si>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</si>
  <si>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</si>
  <si>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</si>
  <si>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</si>
  <si>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</si>
  <si>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</si>
  <si>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</si>
  <si>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</si>
  <si>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</si>
  <si>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</si>
  <si>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</si>
  <si>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</si>
  <si>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</si>
  <si>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</si>
  <si>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</si>
  <si>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</si>
  <si>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</si>
  <si>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</si>
  <si>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</si>
  <si>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</si>
  <si>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</si>
  <si>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</si>
  <si>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</si>
  <si>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</si>
  <si>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</si>
  <si>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</si>
  <si>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</si>
  <si>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</si>
  <si>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</si>
  <si>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</si>
  <si>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</si>
  <si>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</si>
  <si>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</si>
  <si>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</si>
  <si>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</si>
  <si>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</si>
  <si>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</si>
  <si>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</si>
  <si>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</si>
  <si>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</si>
  <si>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</si>
  <si>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</si>
  <si>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</si>
  <si>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</si>
  <si>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</si>
  <si>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</si>
  <si>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</si>
  <si>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</si>
  <si>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</si>
  <si>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</si>
  <si>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</si>
  <si>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</si>
  <si>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</si>
  <si>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</si>
  <si>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</si>
  <si>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</si>
  <si>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</si>
  <si>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</si>
  <si>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</si>
  <si>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</si>
  <si>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</si>
  <si>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</si>
  <si>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</si>
  <si>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</si>
  <si>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</si>
  <si>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</si>
  <si>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</si>
  <si>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</si>
  <si>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</si>
  <si>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</si>
  <si>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</si>
  <si>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</si>
  <si>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</si>
  <si>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</si>
  <si>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</si>
  <si>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</si>
  <si>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</si>
  <si>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</si>
  <si>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</si>
  <si>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</si>
  <si>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</si>
  <si>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</si>
  <si>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</si>
  <si>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</si>
  <si>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</si>
  <si>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</si>
  <si>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</si>
  <si>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</si>
  <si>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</si>
  <si>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</si>
  <si>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</si>
  <si>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</si>
  <si>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</si>
  <si>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</si>
  <si>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</si>
  <si>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</si>
  <si>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</si>
  <si>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</si>
  <si>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</si>
  <si>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</si>
  <si>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</si>
  <si>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</si>
  <si>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</si>
  <si>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</si>
  <si>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</si>
  <si>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</si>
  <si>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</si>
  <si>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</si>
  <si>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</si>
  <si>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</si>
  <si>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</si>
  <si>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</si>
  <si>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</si>
  <si>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</si>
  <si>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</si>
  <si>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</si>
  <si>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</si>
  <si>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</si>
  <si>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</si>
  <si>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</si>
  <si>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</si>
  <si>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</si>
  <si>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</si>
  <si>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</si>
  <si>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</si>
  <si>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</si>
  <si>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</si>
  <si>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</si>
  <si>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</si>
  <si>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</si>
  <si>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</si>
  <si>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</si>
  <si>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</si>
  <si>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</si>
  <si>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</si>
  <si>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</si>
  <si>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</si>
  <si>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</si>
  <si>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</si>
  <si>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</si>
  <si>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</si>
  <si>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</si>
  <si>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</si>
  <si>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</si>
  <si>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</si>
  <si>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</si>
  <si>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</si>
  <si>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</si>
  <si>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</si>
  <si>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</si>
  <si>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</si>
  <si>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</si>
  <si>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</si>
  <si>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</si>
  <si>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</si>
  <si>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</si>
  <si>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</si>
  <si>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</si>
  <si>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</si>
  <si>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</si>
  <si>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</si>
  <si>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</si>
  <si>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</si>
  <si>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</si>
  <si>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</si>
  <si>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</si>
  <si>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</si>
  <si>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</si>
  <si>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</si>
  <si>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</si>
  <si>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</si>
  <si>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</si>
  <si>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</si>
  <si>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</si>
  <si>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</si>
  <si>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</si>
  <si>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</si>
  <si>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</si>
  <si>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</si>
  <si>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</si>
  <si>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</si>
  <si>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</si>
  <si>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</si>
  <si>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</si>
  <si>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</si>
  <si>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</si>
  <si>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</si>
  <si>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</si>
  <si>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</si>
  <si>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</si>
  <si>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</si>
  <si>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</si>
  <si>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</si>
  <si>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</si>
  <si>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</si>
  <si>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</si>
  <si>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</si>
  <si>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</si>
  <si>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</si>
  <si>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</si>
  <si>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</si>
  <si>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</si>
  <si>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</si>
  <si>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</si>
  <si>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</si>
  <si>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</si>
  <si>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</si>
  <si>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</si>
  <si>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</si>
  <si>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</si>
  <si>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</si>
  <si>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</si>
  <si>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</si>
  <si>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</si>
  <si>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</si>
  <si>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</si>
  <si>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</si>
  <si>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</si>
  <si>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</si>
  <si>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</si>
  <si>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</si>
  <si>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</si>
  <si>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</si>
  <si>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</si>
  <si>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</si>
  <si>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</si>
  <si>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</si>
  <si>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</si>
  <si>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</si>
  <si>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</si>
  <si>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</si>
  <si>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</si>
  <si>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</si>
  <si>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</si>
  <si>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</si>
  <si>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</si>
  <si>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</si>
  <si>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</si>
  <si>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</si>
  <si>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</si>
  <si>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</si>
  <si>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</si>
  <si>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</si>
  <si>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</si>
  <si>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</si>
  <si>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</si>
  <si>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</si>
  <si>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</si>
  <si>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</si>
  <si>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</si>
  <si>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</si>
  <si>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</si>
  <si>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</si>
  <si>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</si>
  <si>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</si>
  <si>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</si>
  <si>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</si>
  <si>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</si>
  <si>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</si>
  <si>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</si>
  <si>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</si>
  <si>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</si>
  <si>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</si>
  <si>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</si>
  <si>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</si>
  <si>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</si>
  <si>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</si>
  <si>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</si>
  <si>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</si>
  <si>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</si>
  <si>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</si>
  <si>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</si>
  <si>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</si>
  <si>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</si>
  <si>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</si>
  <si>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</si>
  <si>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</si>
  <si>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</si>
  <si>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</si>
  <si>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</si>
  <si>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</si>
  <si>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</si>
  <si>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</si>
  <si>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</si>
  <si>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</si>
  <si>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</si>
  <si>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</si>
  <si>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</si>
  <si>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</si>
  <si>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</si>
  <si>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</si>
  <si>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</si>
  <si>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</si>
  <si>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</si>
  <si>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</si>
  <si>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</si>
  <si>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</si>
  <si>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</si>
  <si>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</si>
  <si>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</si>
  <si>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</si>
  <si>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</si>
  <si>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</si>
  <si>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</si>
  <si>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</si>
  <si>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</si>
  <si>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</si>
  <si>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</si>
  <si>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</si>
  <si>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</si>
  <si>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</si>
  <si>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</si>
  <si>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</si>
  <si>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</si>
  <si>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</si>
  <si>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</si>
  <si>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</si>
  <si>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</si>
  <si>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</si>
  <si>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</si>
  <si>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</si>
  <si>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</si>
  <si>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</si>
  <si>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</si>
  <si>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</si>
  <si>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</si>
  <si>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</si>
  <si>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</si>
  <si>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</si>
  <si>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</si>
  <si>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</si>
  <si>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</si>
  <si>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</si>
  <si>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</si>
  <si>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</si>
  <si>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</si>
  <si>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</si>
  <si>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</si>
  <si>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</si>
  <si>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</si>
  <si>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</si>
  <si>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</si>
  <si>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</si>
  <si>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</si>
  <si>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</si>
  <si>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</si>
  <si>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</si>
  <si>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</si>
  <si>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</si>
  <si>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</si>
  <si>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</si>
  <si>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</si>
  <si>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</si>
  <si>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</si>
  <si>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</si>
  <si>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</si>
  <si>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</si>
  <si>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</si>
  <si>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</si>
  <si>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</si>
  <si>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</si>
  <si>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</si>
  <si>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</si>
  <si>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</si>
  <si>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</si>
  <si>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</si>
  <si>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</si>
  <si>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</si>
  <si>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</si>
  <si>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</si>
  <si>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</si>
  <si>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</si>
  <si>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</si>
  <si>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</si>
  <si>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</si>
  <si>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</si>
  <si>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</si>
  <si>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</si>
  <si>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</si>
  <si>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</si>
  <si>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</si>
  <si>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</si>
  <si>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</si>
  <si>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</si>
  <si>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</si>
  <si>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</si>
  <si>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</si>
  <si>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</si>
  <si>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</si>
  <si>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</si>
  <si>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</si>
  <si>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</si>
  <si>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</si>
  <si>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</si>
  <si>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</si>
  <si>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</si>
  <si>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</si>
  <si>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</si>
  <si>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</si>
  <si>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</si>
  <si>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</si>
  <si>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</si>
  <si>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</si>
  <si>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</si>
  <si>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</si>
  <si>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</si>
  <si>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</si>
  <si>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</si>
  <si>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</si>
  <si>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</si>
  <si>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</si>
  <si>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</si>
  <si>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</si>
  <si>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</si>
  <si>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</si>
  <si>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</si>
  <si>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</si>
  <si>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</si>
  <si>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</si>
  <si>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</si>
  <si>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</si>
  <si>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</si>
  <si>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</si>
  <si>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</si>
  <si>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</si>
  <si>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</si>
  <si>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</si>
  <si>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</si>
  <si>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</si>
  <si>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</si>
  <si>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</si>
  <si>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</si>
  <si>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</si>
  <si>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</si>
  <si>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</si>
  <si>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</si>
  <si>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</si>
  <si>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</si>
  <si>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</si>
  <si>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</si>
  <si>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</si>
  <si>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</si>
  <si>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</si>
  <si>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</si>
  <si>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</si>
  <si>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</si>
  <si>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</si>
  <si>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</si>
  <si>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</si>
  <si>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</si>
  <si>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</si>
  <si>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</si>
  <si>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</si>
  <si>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</si>
  <si>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</si>
  <si>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</si>
  <si>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</si>
  <si>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</si>
  <si>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</si>
  <si>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</si>
  <si>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</si>
  <si>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</si>
  <si>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</si>
  <si>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</si>
  <si>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</si>
  <si>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</si>
  <si>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</si>
  <si>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</si>
  <si>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</si>
  <si>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</si>
  <si>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</si>
  <si>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</si>
  <si>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</si>
  <si>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</si>
  <si>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</si>
  <si>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</si>
  <si>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</si>
  <si>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</si>
  <si>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</si>
  <si>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</si>
  <si>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</si>
  <si>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</si>
  <si>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</si>
  <si>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</si>
  <si>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</si>
  <si>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</si>
  <si>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</si>
  <si>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</si>
  <si>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</si>
  <si>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</si>
  <si>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</si>
  <si>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</si>
  <si>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</si>
  <si>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</si>
  <si>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</si>
  <si>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</si>
  <si>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</si>
  <si>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</si>
  <si>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</si>
  <si>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</si>
  <si>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</si>
  <si>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</si>
  <si>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</si>
  <si>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</si>
  <si>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</si>
  <si>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</si>
  <si>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</si>
  <si>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</si>
  <si>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</si>
  <si>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</si>
  <si>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</si>
  <si>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</si>
  <si>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</si>
  <si>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</si>
  <si>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</si>
  <si>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</si>
  <si>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</si>
  <si>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</si>
  <si>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</si>
  <si>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</si>
  <si>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</si>
  <si>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</si>
  <si>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</si>
  <si>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</si>
  <si>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</si>
  <si>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</si>
  <si>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</si>
  <si>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</si>
  <si>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</si>
  <si>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</si>
  <si>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</si>
  <si>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</si>
  <si>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</si>
  <si>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</si>
  <si>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</si>
  <si>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</si>
  <si>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</si>
  <si>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</si>
  <si>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</si>
  <si>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</si>
  <si>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</si>
  <si>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</si>
  <si>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</si>
  <si>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</si>
  <si>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</si>
  <si>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</si>
  <si>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</si>
  <si>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</si>
  <si>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</si>
  <si>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</si>
  <si>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</si>
  <si>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</si>
  <si>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</si>
  <si>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</si>
  <si>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</si>
  <si>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</si>
  <si>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</si>
  <si>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</si>
  <si>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</si>
  <si>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</si>
  <si>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</si>
  <si>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</si>
  <si>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</si>
  <si>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</si>
  <si>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</si>
  <si>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</si>
  <si>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</si>
  <si>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</si>
  <si>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</si>
  <si>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</si>
  <si>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</si>
  <si>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</si>
  <si>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</si>
  <si>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</si>
  <si>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</si>
  <si>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</si>
  <si>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</si>
  <si>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</si>
  <si>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</si>
  <si>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</si>
  <si>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</si>
  <si>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</si>
  <si>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</si>
  <si>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</si>
  <si>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</si>
  <si>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</si>
  <si>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</si>
  <si>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</si>
  <si>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</si>
  <si>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</si>
  <si>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</si>
  <si>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</si>
  <si>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</si>
  <si>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</si>
  <si>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</si>
  <si>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</si>
  <si>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</si>
  <si>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</si>
  <si>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</si>
  <si>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</si>
  <si>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</si>
  <si>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</si>
  <si>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</si>
  <si>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</si>
  <si>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</si>
  <si>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</si>
  <si>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</si>
  <si>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</si>
  <si>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</si>
  <si>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</si>
  <si>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</si>
  <si>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</si>
  <si>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</si>
  <si>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</si>
  <si>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</si>
  <si>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</si>
  <si>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</si>
  <si>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</si>
  <si>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</si>
  <si>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</si>
  <si>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</si>
  <si>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</si>
  <si>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</si>
  <si>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</si>
  <si>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</si>
  <si>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</si>
  <si>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</si>
  <si>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</si>
  <si>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</si>
  <si>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</si>
  <si>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</si>
  <si>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</si>
  <si>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</si>
  <si>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</si>
  <si>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</si>
  <si>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</si>
  <si>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</si>
  <si>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</si>
  <si>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</si>
  <si>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</si>
  <si>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</si>
  <si>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</si>
  <si>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</si>
  <si>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</si>
  <si>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</si>
  <si>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</si>
  <si>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</si>
  <si>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</si>
  <si>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</si>
  <si>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</si>
  <si>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</si>
  <si>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</si>
  <si>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</si>
  <si>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</si>
  <si>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</si>
  <si>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</si>
  <si>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</si>
  <si>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</si>
  <si>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</si>
  <si>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</si>
  <si>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</si>
  <si>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</si>
  <si>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</si>
  <si>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</si>
  <si>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</si>
  <si>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</si>
  <si>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</si>
  <si>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</si>
  <si>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</si>
  <si>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</si>
  <si>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</si>
  <si>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</si>
  <si>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</si>
  <si>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</si>
  <si>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</si>
  <si>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</si>
  <si>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</si>
  <si>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</si>
  <si>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</si>
  <si>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</si>
  <si>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</si>
  <si>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</si>
  <si>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</si>
  <si>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</si>
  <si>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</si>
  <si>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</si>
  <si>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</si>
  <si>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</si>
  <si>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</si>
  <si>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</si>
  <si>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</si>
  <si>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</si>
  <si>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</si>
  <si>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</si>
  <si>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</si>
  <si>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</si>
  <si>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</si>
  <si>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</si>
  <si>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</si>
  <si>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</si>
  <si>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</si>
  <si>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</si>
  <si>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</si>
  <si>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</si>
  <si>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</si>
  <si>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</si>
  <si>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</si>
  <si>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</si>
  <si>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</si>
  <si>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</si>
  <si>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</si>
  <si>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</si>
  <si>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</si>
  <si>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</si>
  <si>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</si>
  <si>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</si>
  <si>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</si>
  <si>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</si>
  <si>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</si>
  <si>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</si>
  <si>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</si>
  <si>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</si>
  <si>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</si>
  <si>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</si>
  <si>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</si>
  <si>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</si>
  <si>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</si>
  <si>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</si>
  <si>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</si>
  <si>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</si>
  <si>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</si>
  <si>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</si>
  <si>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</si>
  <si>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</si>
  <si>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</si>
  <si>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</si>
  <si>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</si>
  <si>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</si>
  <si>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</si>
  <si>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</si>
  <si>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</si>
  <si>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</si>
  <si>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</si>
  <si>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</si>
  <si>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</si>
  <si>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</si>
  <si>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</si>
  <si>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</si>
  <si>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</si>
  <si>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</si>
  <si>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</si>
  <si>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</si>
  <si>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</si>
  <si>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</si>
  <si>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</si>
  <si>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</si>
  <si>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</si>
  <si>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</si>
  <si>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</si>
  <si>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</si>
  <si>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</si>
  <si>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</si>
  <si>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</si>
  <si>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</si>
  <si>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</si>
  <si>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</si>
  <si>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</si>
  <si>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</si>
  <si>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</si>
  <si>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</si>
  <si>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</si>
  <si>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</si>
  <si>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</si>
  <si>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</si>
  <si>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</si>
  <si>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</si>
  <si>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</si>
  <si>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</si>
  <si>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</si>
  <si>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</si>
  <si>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</si>
  <si>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</si>
  <si>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</si>
  <si>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</si>
  <si>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</si>
  <si>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</si>
  <si>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</si>
  <si>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</si>
  <si>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</si>
  <si>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</si>
  <si>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</si>
  <si>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</si>
  <si>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</si>
  <si>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</si>
  <si>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</si>
  <si>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</si>
  <si>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</si>
  <si>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</si>
  <si>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</si>
  <si>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</si>
  <si>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</si>
  <si>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</si>
  <si>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</si>
  <si>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</si>
  <si>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</si>
  <si>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</si>
  <si>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</si>
  <si>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</si>
  <si>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</si>
  <si>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</si>
  <si>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</si>
  <si>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</si>
  <si>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</si>
  <si>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</si>
  <si>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</si>
  <si>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</si>
  <si>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</si>
  <si>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</si>
  <si>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</si>
  <si>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</si>
  <si>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</si>
  <si>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</si>
  <si>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</si>
  <si>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</si>
  <si>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</si>
  <si>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</si>
  <si>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</si>
  <si>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</si>
  <si>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</si>
  <si>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</si>
  <si>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</si>
  <si>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</si>
  <si>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</si>
  <si>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</si>
  <si>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</si>
  <si>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</si>
  <si>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</si>
  <si>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</si>
  <si>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</si>
  <si>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</si>
  <si>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</si>
  <si>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</si>
  <si>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</si>
  <si>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</si>
  <si>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</si>
  <si>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</si>
  <si>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</si>
  <si>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</si>
  <si>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</si>
  <si>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</si>
  <si>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</si>
  <si>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</si>
  <si>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</si>
  <si>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</si>
  <si>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</si>
  <si>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</si>
  <si>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</si>
  <si>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</si>
  <si>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</si>
  <si>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</si>
  <si>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</si>
  <si>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</si>
  <si>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</si>
  <si>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</si>
  <si>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</si>
  <si>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</si>
  <si>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</si>
  <si>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</si>
  <si>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</si>
  <si>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</si>
  <si>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</si>
  <si>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</si>
  <si>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</si>
  <si>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</si>
  <si>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</si>
  <si>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</si>
  <si>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</si>
  <si>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</si>
  <si>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</si>
  <si>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</si>
  <si>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</si>
  <si>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</si>
  <si>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</si>
  <si>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</si>
  <si>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</si>
  <si>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</si>
  <si>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</si>
  <si>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</si>
  <si>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</si>
  <si>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</si>
  <si>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</si>
  <si>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</si>
  <si>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</si>
  <si>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</si>
  <si>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</si>
  <si>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</si>
  <si>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</si>
  <si>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</si>
  <si>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</si>
  <si>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</si>
  <si>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</si>
  <si>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</si>
  <si>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</si>
  <si>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</si>
  <si>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</si>
  <si>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</si>
  <si>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</si>
  <si>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</si>
  <si>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</si>
  <si>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</si>
  <si>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</si>
  <si>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</si>
  <si>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</si>
  <si>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</si>
  <si>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</si>
  <si>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</si>
  <si>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</si>
  <si>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</si>
  <si>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</si>
  <si>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</si>
  <si>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</si>
  <si>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</si>
  <si>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</si>
  <si>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</si>
  <si>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</si>
  <si>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</si>
  <si>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</si>
  <si>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</si>
  <si>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</si>
  <si>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</si>
  <si>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</si>
  <si>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</si>
  <si>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</si>
  <si>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</si>
  <si>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</si>
  <si>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</si>
  <si>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</si>
  <si>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</si>
  <si>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</si>
  <si>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</si>
  <si>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</si>
  <si>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</si>
  <si>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</si>
  <si>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</si>
  <si>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</si>
  <si>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</si>
  <si>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</si>
  <si>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</si>
  <si>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</si>
  <si>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</si>
  <si>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</si>
  <si>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</si>
  <si>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</si>
  <si>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</si>
  <si>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</si>
  <si>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</si>
  <si>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</si>
  <si>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</si>
  <si>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</si>
  <si>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</si>
  <si>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</si>
  <si>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</si>
  <si>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</si>
  <si>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</si>
  <si>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</si>
  <si>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</si>
  <si>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</si>
  <si>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</si>
  <si>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</si>
  <si>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</si>
  <si>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</si>
  <si>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</si>
  <si>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</si>
  <si>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</si>
  <si>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</si>
  <si>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</si>
  <si>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</si>
  <si>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</si>
  <si>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</si>
  <si>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</si>
  <si>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</si>
  <si>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</si>
  <si>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</si>
  <si>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</si>
  <si>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</si>
  <si>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</si>
  <si>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</si>
  <si>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</si>
  <si>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</si>
  <si>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</si>
  <si>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</si>
  <si>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</si>
  <si>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</si>
  <si>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</si>
  <si>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</si>
  <si>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</si>
  <si>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</si>
  <si>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</si>
  <si>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</si>
  <si>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</si>
  <si>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</si>
  <si>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</si>
  <si>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成本法</t>
  </si>
  <si>
    <t>未包含在土地购买价格中</t>
  </si>
  <si>
    <t>已包含在土地取得成本中</t>
  </si>
  <si>
    <t>押一</t>
  </si>
  <si>
    <t>钢混</t>
  </si>
  <si>
    <t>非生产用房</t>
  </si>
  <si>
    <t>否</t>
  </si>
  <si>
    <t>普通装修</t>
  </si>
  <si>
    <t>专业物业</t>
  </si>
  <si>
    <t>《国有建设用地使用权出让合同》</t>
    <phoneticPr fontId="134" type="noConversion"/>
  </si>
  <si>
    <t>受让人</t>
    <phoneticPr fontId="134" type="noConversion"/>
  </si>
  <si>
    <t>北京骏盛企业管理咨询有限公司</t>
    <phoneticPr fontId="134" type="noConversion"/>
  </si>
  <si>
    <t>北京骏磊企业管理咨询有限公司</t>
    <phoneticPr fontId="134" type="noConversion"/>
  </si>
  <si>
    <t>天津兴辉企业管理咨询有限公司联合体</t>
    <phoneticPr fontId="134" type="noConversion"/>
  </si>
  <si>
    <t>宗地面积</t>
    <phoneticPr fontId="134" type="noConversion"/>
  </si>
  <si>
    <t>宗地坐落</t>
    <phoneticPr fontId="134" type="noConversion"/>
  </si>
  <si>
    <r>
      <t>北京市大兴区大兴新城核心区D、</t>
    </r>
    <r>
      <rPr>
        <sz val="11"/>
        <color theme="1"/>
        <rFont val="宋体"/>
        <family val="3"/>
        <charset val="134"/>
        <scheme val="minor"/>
      </rPr>
      <t>K组团土地一级开发DX00-0102-6006、6010、6018、6024、6026地块R2二类居住用地</t>
    </r>
    <phoneticPr fontId="134" type="noConversion"/>
  </si>
  <si>
    <t>DX00-0102-6002、6009、6015地块F3其他多功能用地</t>
    <phoneticPr fontId="134" type="noConversion"/>
  </si>
  <si>
    <t>DX00-0102-6005、6011、6019、6027地块B1商业设施用地</t>
    <phoneticPr fontId="134" type="noConversion"/>
  </si>
  <si>
    <t>DX00-0102-6037地块A334基础教育用地</t>
    <phoneticPr fontId="134" type="noConversion"/>
  </si>
  <si>
    <t>项目性质</t>
    <phoneticPr fontId="134" type="noConversion"/>
  </si>
  <si>
    <r>
      <t>3</t>
    </r>
    <r>
      <rPr>
        <sz val="11"/>
        <color theme="1"/>
        <rFont val="宋体"/>
        <family val="3"/>
        <charset val="134"/>
        <scheme val="minor"/>
      </rPr>
      <t>-A</t>
    </r>
    <phoneticPr fontId="134" type="noConversion"/>
  </si>
  <si>
    <t>总建筑面积</t>
    <phoneticPr fontId="134" type="noConversion"/>
  </si>
  <si>
    <t>地上</t>
    <phoneticPr fontId="134" type="noConversion"/>
  </si>
  <si>
    <t>小计</t>
    <phoneticPr fontId="134" type="noConversion"/>
  </si>
  <si>
    <t>地下</t>
    <phoneticPr fontId="134" type="noConversion"/>
  </si>
  <si>
    <t>商业</t>
    <phoneticPr fontId="134" type="noConversion"/>
  </si>
  <si>
    <t>楼层</t>
    <phoneticPr fontId="134" type="noConversion"/>
  </si>
  <si>
    <t>地下</t>
    <phoneticPr fontId="134" type="noConversion"/>
  </si>
  <si>
    <t>3-B</t>
    <phoneticPr fontId="134" type="noConversion"/>
  </si>
  <si>
    <t>3-C</t>
    <phoneticPr fontId="134" type="noConversion"/>
  </si>
  <si>
    <t>3地下车库</t>
    <phoneticPr fontId="134" type="noConversion"/>
  </si>
  <si>
    <r>
      <t>2</t>
    </r>
    <r>
      <rPr>
        <sz val="11"/>
        <color theme="1"/>
        <rFont val="宋体"/>
        <family val="3"/>
        <charset val="134"/>
        <scheme val="minor"/>
      </rPr>
      <t>-A</t>
    </r>
    <phoneticPr fontId="134" type="noConversion"/>
  </si>
  <si>
    <t>2-B</t>
    <phoneticPr fontId="134" type="noConversion"/>
  </si>
  <si>
    <t>2-C</t>
    <phoneticPr fontId="134" type="noConversion"/>
  </si>
  <si>
    <t>2-D</t>
    <phoneticPr fontId="134" type="noConversion"/>
  </si>
  <si>
    <t>2地下车库</t>
    <phoneticPr fontId="134" type="noConversion"/>
  </si>
  <si>
    <t>设备</t>
    <phoneticPr fontId="134" type="noConversion"/>
  </si>
  <si>
    <t>酒店</t>
    <phoneticPr fontId="134" type="noConversion"/>
  </si>
  <si>
    <t>人防</t>
    <phoneticPr fontId="134" type="noConversion"/>
  </si>
  <si>
    <t>车库</t>
    <phoneticPr fontId="134" type="noConversion"/>
  </si>
  <si>
    <t>人防</t>
    <phoneticPr fontId="134" type="noConversion"/>
  </si>
  <si>
    <t>商业</t>
    <phoneticPr fontId="134" type="noConversion"/>
  </si>
  <si>
    <t>是</t>
  </si>
  <si>
    <t>酒店</t>
  </si>
  <si>
    <t>地下</t>
  </si>
  <si>
    <t>独立商业</t>
  </si>
  <si>
    <t>长租公寓</t>
  </si>
  <si>
    <t>长租公寓</t>
    <phoneticPr fontId="7" type="noConversion"/>
  </si>
  <si>
    <t>1层商业</t>
  </si>
  <si>
    <t>1层商业</t>
    <phoneticPr fontId="7" type="noConversion"/>
  </si>
  <si>
    <t>地下车库</t>
  </si>
  <si>
    <t>地下车库</t>
    <phoneticPr fontId="7" type="noConversion"/>
  </si>
  <si>
    <t>收益法-长租公寓</t>
  </si>
  <si>
    <t>收益法-长租公寓</t>
    <phoneticPr fontId="16" type="noConversion"/>
  </si>
  <si>
    <t>收益法-商业</t>
  </si>
  <si>
    <t>收益法-商业</t>
    <phoneticPr fontId="16" type="noConversion"/>
  </si>
  <si>
    <t>收益法-车库</t>
  </si>
  <si>
    <t>收益法-车库</t>
    <phoneticPr fontId="16" type="noConversion"/>
  </si>
  <si>
    <t>估价对象容积率</t>
  </si>
  <si>
    <t>不临65条商业街</t>
  </si>
  <si>
    <t>通热</t>
  </si>
  <si>
    <t>与级别开发程度不一致</t>
  </si>
  <si>
    <t>中心城区以外</t>
  </si>
  <si>
    <t>商务金融用地</t>
  </si>
  <si>
    <t>Ⅶ-兴1</t>
  </si>
  <si>
    <t>一般</t>
  </si>
  <si>
    <t>一般</t>
    <phoneticPr fontId="24" type="noConversion"/>
  </si>
  <si>
    <t>一般</t>
    <phoneticPr fontId="40" type="noConversion"/>
  </si>
  <si>
    <t>较差</t>
  </si>
  <si>
    <t>好</t>
  </si>
  <si>
    <t>收益法（汇总）</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</si>
  <si>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</si>
  <si>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</si>
  <si>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</si>
  <si>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</si>
  <si>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</si>
  <si>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</si>
  <si>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</si>
  <si>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</si>
  <si>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</si>
  <si>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</si>
  <si>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</si>
  <si>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</si>
  <si>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</si>
  <si>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</si>
  <si>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</si>
  <si>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</si>
  <si>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</si>
  <si>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</si>
  <si>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</si>
  <si>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</si>
  <si>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</si>
  <si>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</si>
  <si>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</si>
  <si>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</si>
  <si>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</si>
  <si>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</si>
  <si>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</si>
  <si>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</si>
  <si>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</si>
  <si>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</si>
  <si>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</si>
  <si>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</si>
  <si>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</si>
  <si>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</si>
  <si>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</si>
  <si>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</si>
  <si>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</si>
  <si>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</si>
  <si>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</si>
  <si>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</si>
  <si>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</si>
  <si>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</si>
  <si>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</si>
  <si>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</si>
  <si>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</si>
  <si>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</si>
  <si>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</si>
  <si>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</si>
  <si>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</si>
  <si>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</si>
  <si>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</si>
  <si>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</si>
  <si>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大兴区西红门镇集体经营性建设用地2号地2-002A地块</t>
  </si>
  <si>
    <t>京规自集使挂(兴)[2023]002号</t>
  </si>
  <si>
    <t xml:space="preserve"> 北京</t>
  </si>
  <si>
    <t xml:space="preserve"> 大兴区</t>
  </si>
  <si>
    <t xml:space="preserve"> 西红门</t>
  </si>
  <si>
    <t xml:space="preserve"> 西红门镇</t>
  </si>
  <si>
    <t xml:space="preserve"> 商业/办公用地</t>
  </si>
  <si>
    <t xml:space="preserve"> 挂牌</t>
  </si>
  <si>
    <t xml:space="preserve"> F81集体产业用地</t>
  </si>
  <si>
    <t xml:space="preserve">-- </t>
  </si>
  <si>
    <t xml:space="preserve"> -- </t>
  </si>
  <si>
    <t xml:space="preserve"> --</t>
  </si>
  <si>
    <t xml:space="preserve"> 京规自集使挂(兴)[2023]002号</t>
  </si>
  <si>
    <t xml:space="preserve"> 已成交</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</si>
  <si>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</si>
  <si>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</si>
  <si>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</si>
  <si>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</si>
  <si>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</si>
  <si>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</si>
  <si>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</si>
  <si>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</si>
  <si>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</si>
  <si>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</si>
  <si>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</si>
  <si>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</si>
  <si>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</si>
  <si>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</si>
  <si>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</si>
  <si>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</si>
  <si>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</si>
  <si>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</si>
  <si>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F3其他类多功能用地</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</si>
  <si>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</si>
  <si>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</si>
  <si>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</si>
  <si>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</si>
  <si>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</si>
  <si>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</si>
  <si>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</si>
  <si>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</si>
  <si>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</si>
  <si>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≤2.2</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</si>
  <si>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</si>
  <si>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</si>
  <si>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</si>
  <si>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</si>
  <si>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</si>
  <si>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</si>
  <si>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</si>
  <si>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</si>
  <si>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</si>
  <si>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</si>
  <si>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</si>
  <si>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</si>
  <si>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</si>
  <si>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</si>
  <si>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</si>
  <si>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</si>
  <si>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</si>
  <si>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</si>
  <si>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</si>
  <si>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</si>
  <si>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</si>
  <si>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</si>
  <si>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</si>
  <si>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</si>
  <si>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</si>
  <si>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</si>
  <si>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</si>
  <si>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</si>
  <si>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</si>
  <si>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</si>
  <si>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</si>
  <si>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</si>
  <si>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</si>
  <si>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</si>
  <si>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</si>
  <si>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</si>
  <si>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</si>
  <si>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</si>
  <si>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</si>
  <si>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</si>
  <si>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</si>
  <si>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</si>
  <si>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</si>
  <si>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</si>
  <si>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</si>
  <si>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</si>
  <si>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</si>
  <si>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</si>
  <si>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</si>
  <si>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</si>
  <si>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</si>
  <si>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</si>
  <si>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</si>
  <si>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</si>
  <si>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</si>
  <si>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</si>
  <si>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</si>
  <si>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</si>
  <si>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</si>
  <si>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</si>
  <si>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</si>
  <si>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</si>
  <si>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</si>
  <si>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</si>
  <si>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</si>
  <si>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</si>
  <si>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</si>
  <si>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</si>
  <si>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</si>
  <si>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</si>
  <si>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</si>
  <si>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</si>
  <si>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</si>
  <si>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</si>
  <si>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</si>
  <si>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</si>
  <si>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</si>
  <si>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</si>
  <si>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</si>
  <si>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</si>
  <si>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</si>
  <si>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</si>
  <si>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</si>
  <si>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</si>
  <si>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</si>
  <si>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</si>
  <si>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</si>
  <si>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</si>
  <si>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</si>
  <si>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</si>
  <si>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</si>
  <si>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</si>
  <si>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</si>
  <si>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</si>
  <si>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</si>
  <si>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</si>
  <si>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r>
      <t>F3</t>
    </r>
    <r>
      <rPr>
        <sz val="11"/>
        <rFont val="宋体"/>
        <family val="3"/>
        <charset val="134"/>
      </rPr>
      <t>多功能</t>
    </r>
    <phoneticPr fontId="30" type="noConversion"/>
  </si>
  <si>
    <t>F3多功能</t>
  </si>
  <si>
    <t>50</t>
    <phoneticPr fontId="30" type="noConversion"/>
  </si>
  <si>
    <t>规则</t>
    <phoneticPr fontId="30" type="noConversion"/>
  </si>
  <si>
    <t>较规则</t>
    <phoneticPr fontId="30" type="noConversion"/>
  </si>
  <si>
    <t>一般</t>
    <phoneticPr fontId="30" type="noConversion"/>
  </si>
  <si>
    <t>适宜</t>
    <phoneticPr fontId="30" type="noConversion"/>
  </si>
  <si>
    <t>较适宜</t>
    <phoneticPr fontId="30" type="noConversion"/>
  </si>
  <si>
    <t>北京经济技术开发区亦庄新城0303街区C14C-3地块F3其他类多功能用地</t>
    <phoneticPr fontId="134" type="noConversion"/>
  </si>
  <si>
    <t>七通</t>
    <phoneticPr fontId="134" type="noConversion"/>
  </si>
  <si>
    <t>北京大兴国际机场临空经济区 DX12-0105-6006、6009 地块F3其他类多功能用地</t>
    <phoneticPr fontId="134" type="noConversion"/>
  </si>
  <si>
    <t>六通</t>
  </si>
  <si>
    <t>六通</t>
    <phoneticPr fontId="134" type="noConversion"/>
  </si>
  <si>
    <t>北京经济技术开发区亦庄新城0902街区JG01-07地块F3其他类多功能用地</t>
    <phoneticPr fontId="134" type="noConversion"/>
  </si>
  <si>
    <t>五通</t>
  </si>
  <si>
    <t>五通</t>
    <phoneticPr fontId="134" type="noConversion"/>
  </si>
  <si>
    <t>底商</t>
  </si>
  <si>
    <t>成本比率</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</si>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</sst>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5" borderId="0" xfId="0" applyFont="1" applyFill="1">
      <alignment vertical="center"/>
    </xf>
    <xf numFmtId="0" fontId="0" fillId="5" borderId="0" xfId="0" applyFill="1">
      <alignment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49" fontId="166" fillId="0" borderId="23" xfId="0" applyNumberFormat="1"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3393281"/>
          <a:ext cx="8504762" cy="4761905"/>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 y="8215313"/>
          <a:ext cx="8666667" cy="722857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0" y="15537656"/>
          <a:ext cx="8266667" cy="6419048"/>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 y="22145625"/>
          <a:ext cx="11066667" cy="5009524"/>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 y="27146250"/>
          <a:ext cx="11038096" cy="6352381"/>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99094" y="3750469"/>
          <a:ext cx="3161905" cy="1866667"/>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799094" y="5893594"/>
          <a:ext cx="4923810" cy="352381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9094" y="10358438"/>
          <a:ext cx="3180953"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9</xdr:col>
      <xdr:colOff>208781</xdr:colOff>
      <xdr:row>28</xdr:row>
      <xdr:rowOff>171064</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885950"/>
          <a:ext cx="6152381" cy="30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153287</xdr:colOff>
      <xdr:row>27</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953886" cy="4772025"/>
        </a:xfrm>
        <a:prstGeom prst="rect">
          <a:avLst/>
        </a:prstGeom>
      </xdr:spPr>
    </xdr:pic>
    <xdr:clientData/>
  </xdr:twoCellAnchor>
  <xdr:twoCellAnchor editAs="oneCell">
    <xdr:from>
      <xdr:col>0</xdr:col>
      <xdr:colOff>0</xdr:colOff>
      <xdr:row>28</xdr:row>
      <xdr:rowOff>1</xdr:rowOff>
    </xdr:from>
    <xdr:to>
      <xdr:col>7</xdr:col>
      <xdr:colOff>182525</xdr:colOff>
      <xdr:row>60</xdr:row>
      <xdr:rowOff>152401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1"/>
          <a:ext cx="4983125" cy="5638800"/>
        </a:xfrm>
        <a:prstGeom prst="rect">
          <a:avLst/>
        </a:prstGeom>
      </xdr:spPr>
    </xdr:pic>
    <xdr:clientData/>
  </xdr:twoCellAnchor>
  <xdr:twoCellAnchor editAs="oneCell">
    <xdr:from>
      <xdr:col>11</xdr:col>
      <xdr:colOff>333375</xdr:colOff>
      <xdr:row>0</xdr:row>
      <xdr:rowOff>0</xdr:rowOff>
    </xdr:from>
    <xdr:to>
      <xdr:col>18</xdr:col>
      <xdr:colOff>631463</xdr:colOff>
      <xdr:row>32</xdr:row>
      <xdr:rowOff>104774</xdr:rowOff>
    </xdr:to>
    <xdr:pic>
      <xdr:nvPicPr>
        <xdr:cNvPr id="4" name="图片 3"/>
        <xdr:cNvPicPr>
          <a:picLocks noChangeAspect="1"/>
        </xdr:cNvPicPr>
      </xdr:nvPicPr>
      <xdr:blipFill>
        <a:blip xmlns:r="http://schemas.openxmlformats.org/officeDocument/2006/relationships" r:embed="rId3"/>
        <a:stretch>
          <a:fillRect/>
        </a:stretch>
      </xdr:blipFill>
      <xdr:spPr>
        <a:xfrm>
          <a:off x="7877175" y="0"/>
          <a:ext cx="5098688" cy="5591174"/>
        </a:xfrm>
        <a:prstGeom prst="rect">
          <a:avLst/>
        </a:prstGeom>
      </xdr:spPr>
    </xdr:pic>
    <xdr:clientData/>
  </xdr:twoCellAnchor>
  <xdr:twoCellAnchor editAs="oneCell">
    <xdr:from>
      <xdr:col>20</xdr:col>
      <xdr:colOff>0</xdr:colOff>
      <xdr:row>0</xdr:row>
      <xdr:rowOff>0</xdr:rowOff>
    </xdr:from>
    <xdr:to>
      <xdr:col>29</xdr:col>
      <xdr:colOff>408753</xdr:colOff>
      <xdr:row>36</xdr:row>
      <xdr:rowOff>151610</xdr:rowOff>
    </xdr:to>
    <xdr:pic>
      <xdr:nvPicPr>
        <xdr:cNvPr id="8" name="图片 7"/>
        <xdr:cNvPicPr>
          <a:picLocks noChangeAspect="1"/>
        </xdr:cNvPicPr>
      </xdr:nvPicPr>
      <xdr:blipFill>
        <a:blip xmlns:r="http://schemas.openxmlformats.org/officeDocument/2006/relationships" r:embed="rId4"/>
        <a:stretch>
          <a:fillRect/>
        </a:stretch>
      </xdr:blipFill>
      <xdr:spPr>
        <a:xfrm>
          <a:off x="13716000" y="0"/>
          <a:ext cx="6580953" cy="6323810"/>
        </a:xfrm>
        <a:prstGeom prst="rect">
          <a:avLst/>
        </a:prstGeom>
      </xdr:spPr>
    </xdr:pic>
    <xdr:clientData/>
  </xdr:twoCellAnchor>
  <xdr:twoCellAnchor editAs="oneCell">
    <xdr:from>
      <xdr:col>20</xdr:col>
      <xdr:colOff>0</xdr:colOff>
      <xdr:row>37</xdr:row>
      <xdr:rowOff>0</xdr:rowOff>
    </xdr:from>
    <xdr:to>
      <xdr:col>29</xdr:col>
      <xdr:colOff>199229</xdr:colOff>
      <xdr:row>56</xdr:row>
      <xdr:rowOff>94831</xdr:rowOff>
    </xdr:to>
    <xdr:pic>
      <xdr:nvPicPr>
        <xdr:cNvPr id="9" name="图片 8"/>
        <xdr:cNvPicPr>
          <a:picLocks noChangeAspect="1"/>
        </xdr:cNvPicPr>
      </xdr:nvPicPr>
      <xdr:blipFill>
        <a:blip xmlns:r="http://schemas.openxmlformats.org/officeDocument/2006/relationships" r:embed="rId5"/>
        <a:stretch>
          <a:fillRect/>
        </a:stretch>
      </xdr:blipFill>
      <xdr:spPr>
        <a:xfrm>
          <a:off x="13716000" y="6343650"/>
          <a:ext cx="6371429" cy="3352381"/>
        </a:xfrm>
        <a:prstGeom prst="rect">
          <a:avLst/>
        </a:prstGeom>
      </xdr:spPr>
    </xdr:pic>
    <xdr:clientData/>
  </xdr:twoCellAnchor>
  <xdr:twoCellAnchor editAs="oneCell">
    <xdr:from>
      <xdr:col>20</xdr:col>
      <xdr:colOff>0</xdr:colOff>
      <xdr:row>57</xdr:row>
      <xdr:rowOff>0</xdr:rowOff>
    </xdr:from>
    <xdr:to>
      <xdr:col>29</xdr:col>
      <xdr:colOff>265896</xdr:colOff>
      <xdr:row>70</xdr:row>
      <xdr:rowOff>18769</xdr:rowOff>
    </xdr:to>
    <xdr:pic>
      <xdr:nvPicPr>
        <xdr:cNvPr id="10" name="图片 9"/>
        <xdr:cNvPicPr>
          <a:picLocks noChangeAspect="1"/>
        </xdr:cNvPicPr>
      </xdr:nvPicPr>
      <xdr:blipFill>
        <a:blip xmlns:r="http://schemas.openxmlformats.org/officeDocument/2006/relationships" r:embed="rId6"/>
        <a:stretch>
          <a:fillRect/>
        </a:stretch>
      </xdr:blipFill>
      <xdr:spPr>
        <a:xfrm>
          <a:off x="13716000" y="9772650"/>
          <a:ext cx="6438096" cy="2247619"/>
        </a:xfrm>
        <a:prstGeom prst="rect">
          <a:avLst/>
        </a:prstGeom>
      </xdr:spPr>
    </xdr:pic>
    <xdr:clientData/>
  </xdr:twoCellAnchor>
  <xdr:twoCellAnchor editAs="oneCell">
    <xdr:from>
      <xdr:col>20</xdr:col>
      <xdr:colOff>0</xdr:colOff>
      <xdr:row>70</xdr:row>
      <xdr:rowOff>0</xdr:rowOff>
    </xdr:from>
    <xdr:to>
      <xdr:col>29</xdr:col>
      <xdr:colOff>170658</xdr:colOff>
      <xdr:row>77</xdr:row>
      <xdr:rowOff>9374</xdr:rowOff>
    </xdr:to>
    <xdr:pic>
      <xdr:nvPicPr>
        <xdr:cNvPr id="11" name="图片 10"/>
        <xdr:cNvPicPr>
          <a:picLocks noChangeAspect="1"/>
        </xdr:cNvPicPr>
      </xdr:nvPicPr>
      <xdr:blipFill>
        <a:blip xmlns:r="http://schemas.openxmlformats.org/officeDocument/2006/relationships" r:embed="rId7"/>
        <a:stretch>
          <a:fillRect/>
        </a:stretch>
      </xdr:blipFill>
      <xdr:spPr>
        <a:xfrm>
          <a:off x="13716000" y="12001500"/>
          <a:ext cx="6342858" cy="1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估价对象为北京市房地产，为所有。根据《国有土地使用证》[]，估价对象（分摊）出让国有建设用地使用权面积为15955.89平方米，建筑面积为75416.17平方米。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估价对象为北京市房地产,属开发建设的，该项目尚在开发建设中。根据《国有土地使用证》[]，估价对象（分摊）出让国有建设用地使用权面积为15955.89平方米，规划建筑面积为75416.17平方米。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2023年8月22日（评估专业人员实地查勘之日）</v>
      </c>
    </row>
    <row r="13" spans="1:2" s="1202" customFormat="1">
      <c r="A13" s="1200" t="s">
        <v>529</v>
      </c>
      <c r="B13" s="1201"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155050</v>
      </c>
    </row>
    <row r="21" spans="1:2" s="1202" customFormat="1">
      <c r="A21" s="1200" t="s">
        <v>537</v>
      </c>
      <c r="B21" s="1201">
        <f ca="1">'预评函-2'!D7</f>
        <v>20559</v>
      </c>
    </row>
    <row r="22" spans="1:2" s="1202" customFormat="1">
      <c r="A22" s="1200" t="s">
        <v>538</v>
      </c>
      <c r="B22" s="1201" t="str">
        <f ca="1">'预评函-2'!D6</f>
        <v>壹拾伍亿伍仟零伍拾万元整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155050</v>
      </c>
    </row>
    <row r="31" spans="1:2" s="1202" customFormat="1">
      <c r="A31" s="1200" t="s">
        <v>576</v>
      </c>
      <c r="B31" s="1201">
        <f ca="1">'预评函-2'!D15</f>
        <v>20559</v>
      </c>
    </row>
    <row r="32" spans="1:2" s="1202" customFormat="1">
      <c r="A32" s="1200" t="s">
        <v>543</v>
      </c>
      <c r="B32" s="1201" t="str">
        <f ca="1">'预评函-2'!D14</f>
        <v>壹拾伍亿伍仟零伍拾万元整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75416.17</v>
      </c>
    </row>
    <row r="44" spans="1:2" s="1202" customFormat="1">
      <c r="A44" s="1200" t="s">
        <v>575</v>
      </c>
      <c r="B44" s="1201" t="str">
        <f>'预评函-3'!C2</f>
        <v>(分摊)土地面积</v>
      </c>
    </row>
    <row r="45" spans="1:2" s="1202" customFormat="1">
      <c r="A45" s="1200" t="s">
        <v>547</v>
      </c>
      <c r="B45" s="1201">
        <f>'预评函-3'!C4</f>
        <v>15955.89</v>
      </c>
    </row>
    <row r="46" spans="1:2" s="1202" customFormat="1">
      <c r="A46" s="1200" t="s">
        <v>573</v>
      </c>
      <c r="B46" s="1201" t="str">
        <f>'预评函-3'!D2</f>
        <v>出让国有建设用地使用权价值</v>
      </c>
    </row>
    <row r="47" spans="1:2" s="1202" customFormat="1">
      <c r="A47" s="1200" t="s">
        <v>548</v>
      </c>
      <c r="B47" s="1201">
        <f ca="1">'预评函-3'!D4</f>
        <v>103418</v>
      </c>
    </row>
    <row r="48" spans="1:2" s="1202" customFormat="1">
      <c r="A48" s="1200" t="s">
        <v>549</v>
      </c>
      <c r="B48" s="1201">
        <f ca="1">'预评函-3'!E4</f>
        <v>13713</v>
      </c>
    </row>
    <row r="49" spans="1:2" s="1202" customFormat="1">
      <c r="A49" s="1200" t="s">
        <v>550</v>
      </c>
      <c r="B49" s="1201" t="str">
        <f ca="1">'预评函-3'!D5</f>
        <v>壹拾亿叁仟肆佰壹拾捌万元整</v>
      </c>
    </row>
    <row r="50" spans="1:2" s="1202" customFormat="1">
      <c r="A50" s="1200" t="s">
        <v>574</v>
      </c>
      <c r="B50" s="1201" t="str">
        <f>'预评函-3'!F2</f>
        <v>在建建筑物价值</v>
      </c>
    </row>
    <row r="51" spans="1:2" s="1202" customFormat="1">
      <c r="A51" s="1200" t="s">
        <v>551</v>
      </c>
      <c r="B51" s="1201">
        <f ca="1">'预评函-3'!F4</f>
        <v>51632</v>
      </c>
    </row>
    <row r="52" spans="1:2" s="1202" customFormat="1">
      <c r="A52" s="1200" t="s">
        <v>552</v>
      </c>
      <c r="B52" s="1201">
        <f ca="1">'预评函-3'!G4</f>
        <v>6846</v>
      </c>
    </row>
    <row r="53" spans="1:2" s="1202" customFormat="1">
      <c r="A53" s="1200" t="s">
        <v>580</v>
      </c>
      <c r="B53" s="1201" t="str">
        <f ca="1">'预评函-3'!F5</f>
        <v>伍亿壹仟陆佰叁拾贰万元整</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2572</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2573</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2284</v>
      </c>
      <c r="C17" s="1546"/>
    </row>
    <row r="18" spans="1:3">
      <c r="A18" s="1545" t="s">
        <v>1046</v>
      </c>
      <c r="B18" s="1545" t="s">
        <v>2428</v>
      </c>
      <c r="C18" s="1546"/>
    </row>
    <row r="19" spans="1:3">
      <c r="A19" s="1545" t="s">
        <v>1047</v>
      </c>
      <c r="B19" s="1545" t="s">
        <v>3455</v>
      </c>
      <c r="C19" s="1546"/>
    </row>
    <row r="20" spans="1:3">
      <c r="A20" s="1545" t="s">
        <v>1048</v>
      </c>
      <c r="B20" s="1545" t="s">
        <v>3457</v>
      </c>
      <c r="C20" s="1546"/>
    </row>
    <row r="21" spans="1:3">
      <c r="A21" s="1545" t="s">
        <v>1049</v>
      </c>
      <c r="B21" s="1545" t="s">
        <v>3459</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2495</v>
      </c>
      <c r="B1" s="3006"/>
      <c r="C1" s="3006"/>
      <c r="D1" s="3006"/>
      <c r="E1" s="3006"/>
      <c r="F1" s="3007"/>
      <c r="I1" s="3429" t="s">
        <v>2588</v>
      </c>
      <c r="J1" s="3218"/>
      <c r="K1" s="3218"/>
      <c r="L1" s="3218"/>
      <c r="M1" s="3218"/>
      <c r="N1" s="3430"/>
      <c r="O1" s="3430"/>
      <c r="P1" s="3430"/>
      <c r="Q1" s="3430"/>
      <c r="R1" s="3430"/>
    </row>
    <row r="2" spans="1:18">
      <c r="A2" s="3009"/>
      <c r="B2" s="3010"/>
      <c r="C2" s="3010"/>
      <c r="D2" s="3010"/>
      <c r="E2" s="3010"/>
      <c r="F2" s="3011"/>
      <c r="I2" s="3510" t="s">
        <v>2575</v>
      </c>
      <c r="J2" s="3510"/>
      <c r="K2" s="3510"/>
      <c r="L2" s="3510"/>
      <c r="M2" s="3510"/>
      <c r="N2" s="3510"/>
      <c r="O2" s="3510"/>
      <c r="P2" s="3510"/>
      <c r="Q2" s="3510"/>
      <c r="R2" s="3510"/>
    </row>
    <row r="3" spans="1:18">
      <c r="A3" s="3012" t="s">
        <v>2496</v>
      </c>
      <c r="B3" s="3013">
        <f>项目基本情况!D3</f>
        <v>45160</v>
      </c>
      <c r="C3" s="3015"/>
      <c r="D3" s="3015"/>
      <c r="E3" s="3015"/>
      <c r="F3" s="3011"/>
      <c r="I3" s="3431"/>
      <c r="J3" s="3431" t="s">
        <v>2579</v>
      </c>
      <c r="K3" s="3431" t="s">
        <v>2580</v>
      </c>
      <c r="L3" s="3431" t="s">
        <v>2581</v>
      </c>
      <c r="M3" s="3431" t="s">
        <v>2582</v>
      </c>
      <c r="N3" s="3432" t="s">
        <v>2583</v>
      </c>
      <c r="O3" s="3432" t="s">
        <v>2584</v>
      </c>
      <c r="P3" s="3432" t="s">
        <v>2585</v>
      </c>
      <c r="Q3" s="3432" t="s">
        <v>2586</v>
      </c>
      <c r="R3" s="3432" t="s">
        <v>2587</v>
      </c>
    </row>
    <row r="4" spans="1:18">
      <c r="A4" s="3012" t="s">
        <v>2497</v>
      </c>
      <c r="B4" s="3015" t="s">
        <v>2498</v>
      </c>
      <c r="C4" s="3015" t="s">
        <v>2499</v>
      </c>
      <c r="D4" s="3015" t="s">
        <v>2500</v>
      </c>
      <c r="E4" s="3015" t="s">
        <v>2501</v>
      </c>
      <c r="F4" s="3011"/>
      <c r="I4" s="3431" t="s">
        <v>2576</v>
      </c>
      <c r="J4" s="3431">
        <v>80</v>
      </c>
      <c r="K4" s="3431">
        <v>70</v>
      </c>
      <c r="L4" s="3431">
        <v>20</v>
      </c>
      <c r="M4" s="3431">
        <v>30</v>
      </c>
      <c r="N4" s="3015">
        <v>45</v>
      </c>
      <c r="O4" s="3015">
        <v>60</v>
      </c>
      <c r="P4" s="3015">
        <v>50</v>
      </c>
      <c r="Q4" s="3015">
        <v>20</v>
      </c>
      <c r="R4" s="3015">
        <v>375</v>
      </c>
    </row>
    <row r="5" spans="1:18">
      <c r="A5" s="3016">
        <v>40</v>
      </c>
      <c r="B5" s="3013">
        <v>46375</v>
      </c>
      <c r="C5" s="3015">
        <f>ROUNDDOWN(MIN((B5-B3)/365,A5),2)</f>
        <v>3.32</v>
      </c>
      <c r="D5" s="3017">
        <f>IF(ISERROR(ROUND(POWER(1+E5,A5-C5)*(POWER(1+E5,C5)-1)/(POWER(1+E5,A5)-1),3)),0,ROUND(POWER(1+E5,A5-C5)*(POWER(1+E5,C5)-1)/(POWER(1+E5,A5)-1),4))</f>
        <v>0.1542</v>
      </c>
      <c r="E5" s="3018">
        <v>0.04</v>
      </c>
      <c r="F5" s="3011"/>
      <c r="I5" s="3431" t="s">
        <v>2577</v>
      </c>
      <c r="J5" s="3431">
        <v>70</v>
      </c>
      <c r="K5" s="3431">
        <v>60</v>
      </c>
      <c r="L5" s="3431">
        <v>15</v>
      </c>
      <c r="M5" s="3431">
        <v>25</v>
      </c>
      <c r="N5" s="3015">
        <v>40</v>
      </c>
      <c r="O5" s="3015">
        <v>50</v>
      </c>
      <c r="P5" s="3015">
        <v>40</v>
      </c>
      <c r="Q5" s="3015">
        <v>15</v>
      </c>
      <c r="R5" s="3015">
        <v>315</v>
      </c>
    </row>
    <row r="6" spans="1:18">
      <c r="A6" s="3016">
        <v>50</v>
      </c>
      <c r="B6" s="3013">
        <v>50028</v>
      </c>
      <c r="C6" s="3015">
        <f>ROUNDDOWN(MIN((B6-B3)/365,A6),2)</f>
        <v>13.33</v>
      </c>
      <c r="D6" s="3017">
        <f>IF(ISERROR(ROUND(POWER(1+E6,A6-C6)*(POWER(1+E6,C6)-1)/(POWER(1+E6,A6)-1),3)),0,ROUND(POWER(1+E6,A6-C6)*(POWER(1+E6,C6)-1)/(POWER(1+E6,A6)-1),4))</f>
        <v>0.4738</v>
      </c>
      <c r="E6" s="3018">
        <v>0.04</v>
      </c>
      <c r="F6" s="3011"/>
      <c r="I6" s="3431" t="s">
        <v>2578</v>
      </c>
      <c r="J6" s="3431">
        <v>60</v>
      </c>
      <c r="K6" s="3431">
        <v>50</v>
      </c>
      <c r="L6" s="3431">
        <v>10</v>
      </c>
      <c r="M6" s="3431">
        <v>20</v>
      </c>
      <c r="N6" s="3015">
        <v>35</v>
      </c>
      <c r="O6" s="3015">
        <v>40</v>
      </c>
      <c r="P6" s="3015">
        <v>30</v>
      </c>
      <c r="Q6" s="3015">
        <v>10</v>
      </c>
      <c r="R6" s="3015">
        <v>255</v>
      </c>
    </row>
    <row r="7" spans="1:18">
      <c r="A7" s="3016">
        <v>70</v>
      </c>
      <c r="B7" s="3013">
        <v>57333</v>
      </c>
      <c r="C7" s="3015">
        <f>ROUNDDOWN(MIN((B7-B3)/365,A7),2)</f>
        <v>33.35</v>
      </c>
      <c r="D7" s="3017">
        <f>IF(ISERROR(ROUND(POWER(1+E7,A7-C7)*(POWER(1+E7,C7)-1)/(POWER(1+E7,A7)-1),3)),0,ROUND(POWER(1+E7,A7-C7)*(POWER(1+E7,C7)-1)/(POWER(1+E7,A7)-1),4))</f>
        <v>0.77969999999999995</v>
      </c>
      <c r="E7" s="3018">
        <v>0.04</v>
      </c>
      <c r="F7" s="3011"/>
    </row>
    <row r="8" spans="1:18">
      <c r="A8" s="3009"/>
      <c r="B8" s="3010"/>
      <c r="C8" s="3010"/>
      <c r="D8" s="3010"/>
      <c r="E8" s="3010"/>
      <c r="F8" s="3011"/>
    </row>
    <row r="9" spans="1:18">
      <c r="A9" s="3012" t="s">
        <v>2502</v>
      </c>
      <c r="B9" s="3015"/>
      <c r="C9" s="3015"/>
      <c r="D9" s="3015"/>
      <c r="E9" s="3015"/>
      <c r="F9" s="3019"/>
    </row>
    <row r="10" spans="1:18">
      <c r="A10" s="3012" t="s">
        <v>2503</v>
      </c>
      <c r="B10" s="3015"/>
      <c r="C10" s="3015"/>
      <c r="D10" s="3015" t="s">
        <v>2501</v>
      </c>
      <c r="E10" s="3015"/>
      <c r="F10" s="3019" t="s">
        <v>2500</v>
      </c>
    </row>
    <row r="11" spans="1:18">
      <c r="A11" s="3012" t="s">
        <v>2504</v>
      </c>
      <c r="B11" s="3020">
        <v>70</v>
      </c>
      <c r="C11" s="3015" t="s">
        <v>2505</v>
      </c>
      <c r="D11" s="3021">
        <v>4.4999999999999998E-2</v>
      </c>
      <c r="E11" s="3015" t="s">
        <v>2506</v>
      </c>
      <c r="F11" s="3022">
        <f>ROUND(1-(1/(POWER(1+D11,B11))),4)</f>
        <v>0.95409999999999995</v>
      </c>
    </row>
    <row r="12" spans="1:18">
      <c r="A12" s="3012" t="s">
        <v>2507</v>
      </c>
      <c r="B12" s="3020">
        <v>40</v>
      </c>
      <c r="C12" s="3015" t="s">
        <v>2508</v>
      </c>
      <c r="D12" s="3021">
        <v>4.4999999999999998E-2</v>
      </c>
      <c r="E12" s="3015" t="s">
        <v>2509</v>
      </c>
      <c r="F12" s="3022">
        <f>ROUND(1-(1/(POWER(1+D12,B12))),4)</f>
        <v>0.82809999999999995</v>
      </c>
    </row>
    <row r="13" spans="1:18">
      <c r="A13" s="3012" t="s">
        <v>2510</v>
      </c>
      <c r="B13" s="3015"/>
      <c r="C13" s="3015"/>
      <c r="D13" s="3010"/>
      <c r="E13" s="3010"/>
      <c r="F13" s="3011"/>
    </row>
    <row r="14" spans="1:18">
      <c r="A14" s="3012" t="s">
        <v>2511</v>
      </c>
      <c r="B14" s="3020">
        <v>5000</v>
      </c>
      <c r="C14" s="3014"/>
      <c r="D14" s="3010"/>
      <c r="E14" s="3010"/>
      <c r="F14" s="3011"/>
    </row>
    <row r="15" spans="1:18">
      <c r="A15" s="3012" t="s">
        <v>2512</v>
      </c>
      <c r="B15" s="3015">
        <f>ROUND(B14*F12/F11,2)</f>
        <v>4339.6899999999996</v>
      </c>
      <c r="C15" s="3015">
        <f>ROUND(F12/F11,4)</f>
        <v>0.8679</v>
      </c>
      <c r="D15" s="3010"/>
      <c r="E15" s="3010"/>
      <c r="F15" s="3011"/>
    </row>
    <row r="16" spans="1:18">
      <c r="A16" s="3012" t="s">
        <v>2513</v>
      </c>
      <c r="B16" s="3015"/>
      <c r="C16" s="3015"/>
      <c r="D16" s="3010"/>
      <c r="E16" s="3010"/>
      <c r="F16" s="3011"/>
    </row>
    <row r="17" spans="1:13">
      <c r="A17" s="3012" t="s">
        <v>2512</v>
      </c>
      <c r="B17" s="3021">
        <v>4810</v>
      </c>
      <c r="C17" s="3014"/>
      <c r="D17" s="3010"/>
      <c r="E17" s="3010"/>
      <c r="F17" s="3011"/>
    </row>
    <row r="18" spans="1:13" ht="14.25" thickBot="1">
      <c r="A18" s="3023" t="s">
        <v>2511</v>
      </c>
      <c r="B18" s="3024">
        <f>ROUND(B17*F11/F12,2)</f>
        <v>5541.87</v>
      </c>
      <c r="C18" s="3024">
        <f>ROUND(F11/F12,4)</f>
        <v>1.1521999999999999</v>
      </c>
      <c r="D18" s="3025"/>
      <c r="E18" s="3025"/>
      <c r="F18" s="3026"/>
    </row>
    <row r="19" spans="1:13" ht="14.25" thickBot="1"/>
    <row r="20" spans="1:13" s="3061" customFormat="1" ht="14.25" thickTop="1">
      <c r="A20" s="3058" t="s">
        <v>2514</v>
      </c>
      <c r="B20" s="3059"/>
      <c r="C20" s="3059"/>
      <c r="D20" s="3059"/>
      <c r="E20" s="3059"/>
      <c r="F20" s="3059"/>
      <c r="G20" s="3060"/>
      <c r="I20" s="3062" t="s">
        <v>2559</v>
      </c>
      <c r="J20" s="3062" t="s">
        <v>2564</v>
      </c>
      <c r="K20" s="3062"/>
      <c r="L20" s="3062"/>
      <c r="M20" s="3062"/>
    </row>
    <row r="21" spans="1:13">
      <c r="A21" s="3027"/>
      <c r="B21" s="3028" t="s">
        <v>2515</v>
      </c>
      <c r="C21" s="3028" t="s">
        <v>2516</v>
      </c>
      <c r="D21" s="3028" t="s">
        <v>2517</v>
      </c>
      <c r="E21" s="3028" t="s">
        <v>2518</v>
      </c>
      <c r="F21" s="3028" t="s">
        <v>2519</v>
      </c>
      <c r="G21" s="3029" t="s">
        <v>2520</v>
      </c>
      <c r="I21" s="3050">
        <v>5</v>
      </c>
      <c r="J21" s="3050">
        <v>54.2</v>
      </c>
    </row>
    <row r="22" spans="1:13">
      <c r="A22" s="3027" t="s">
        <v>2521</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2522</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2562</v>
      </c>
      <c r="M23" s="3050" t="s">
        <v>2563</v>
      </c>
    </row>
    <row r="24" spans="1:13">
      <c r="A24" s="3027" t="s">
        <v>2523</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2561</v>
      </c>
      <c r="M24" s="3050">
        <v>10</v>
      </c>
    </row>
    <row r="25" spans="1:13">
      <c r="A25" s="3027" t="s">
        <v>2524</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2565</v>
      </c>
      <c r="M25" s="3050">
        <v>8</v>
      </c>
    </row>
    <row r="26" spans="1:13">
      <c r="A26" s="3032"/>
      <c r="B26" s="3033"/>
      <c r="C26" s="3033"/>
      <c r="D26" s="3033"/>
      <c r="E26" s="3033"/>
      <c r="F26" s="3033"/>
      <c r="G26" s="3034"/>
      <c r="I26" s="3050">
        <v>30</v>
      </c>
      <c r="J26" s="3050">
        <v>90.5</v>
      </c>
      <c r="K26" s="3050">
        <f t="shared" si="2"/>
        <v>4.2000000000000028</v>
      </c>
      <c r="L26" s="3050" t="s">
        <v>2566</v>
      </c>
      <c r="M26" s="3050">
        <v>5</v>
      </c>
    </row>
    <row r="27" spans="1:13">
      <c r="A27" s="3032" t="s">
        <v>2525</v>
      </c>
      <c r="B27" s="3033"/>
      <c r="C27" s="3033"/>
      <c r="D27" s="3033"/>
      <c r="E27" s="3033"/>
      <c r="F27" s="3033"/>
      <c r="G27" s="3034"/>
      <c r="I27" s="3050">
        <v>35</v>
      </c>
      <c r="J27" s="3050">
        <v>93.8</v>
      </c>
      <c r="K27" s="3050">
        <f t="shared" si="2"/>
        <v>3.2999999999999972</v>
      </c>
      <c r="L27" s="3050" t="s">
        <v>2567</v>
      </c>
      <c r="M27" s="3050">
        <v>3</v>
      </c>
    </row>
    <row r="28" spans="1:13">
      <c r="A28" s="3032" t="s">
        <v>2526</v>
      </c>
      <c r="B28" s="3033"/>
      <c r="C28" s="3033"/>
      <c r="D28" s="3033"/>
      <c r="E28" s="3033"/>
      <c r="F28" s="3033"/>
      <c r="G28" s="3034"/>
      <c r="I28" s="3050">
        <v>40</v>
      </c>
      <c r="J28" s="3050">
        <v>96.4</v>
      </c>
      <c r="K28" s="3050">
        <f t="shared" si="2"/>
        <v>2.6000000000000085</v>
      </c>
      <c r="L28" s="3050" t="s">
        <v>2568</v>
      </c>
      <c r="M28" s="3050">
        <v>2</v>
      </c>
    </row>
    <row r="29" spans="1:13">
      <c r="A29" s="3032" t="s">
        <v>2527</v>
      </c>
      <c r="B29" s="3033"/>
      <c r="C29" s="3033"/>
      <c r="D29" s="3033"/>
      <c r="E29" s="3033"/>
      <c r="F29" s="3033"/>
      <c r="G29" s="3034"/>
      <c r="I29" s="3050">
        <v>45</v>
      </c>
      <c r="J29" s="3050">
        <v>98.4</v>
      </c>
      <c r="K29" s="3050">
        <f t="shared" si="2"/>
        <v>2</v>
      </c>
    </row>
    <row r="30" spans="1:13">
      <c r="A30" s="3032" t="s">
        <v>2528</v>
      </c>
      <c r="B30" s="3033"/>
      <c r="C30" s="3033"/>
      <c r="D30" s="3033"/>
      <c r="E30" s="3033"/>
      <c r="F30" s="3033"/>
      <c r="G30" s="3034"/>
      <c r="I30" s="3050">
        <v>50</v>
      </c>
      <c r="J30" s="3050">
        <v>100</v>
      </c>
      <c r="K30" s="3050">
        <f t="shared" si="2"/>
        <v>1.5999999999999943</v>
      </c>
    </row>
    <row r="31" spans="1:13">
      <c r="A31" s="3032" t="s">
        <v>2529</v>
      </c>
      <c r="B31" s="3033"/>
      <c r="C31" s="3033"/>
      <c r="D31" s="3033"/>
      <c r="E31" s="3033"/>
      <c r="F31" s="3033"/>
      <c r="G31" s="3034"/>
      <c r="I31" s="3050" t="s">
        <v>2560</v>
      </c>
    </row>
    <row r="32" spans="1:13">
      <c r="A32" s="3032" t="s">
        <v>2530</v>
      </c>
      <c r="B32" s="3033"/>
      <c r="C32" s="3033"/>
      <c r="D32" s="3033"/>
      <c r="E32" s="3033"/>
      <c r="F32" s="3033"/>
      <c r="G32" s="3034"/>
    </row>
    <row r="33" spans="1:13">
      <c r="A33" s="3032" t="s">
        <v>2531</v>
      </c>
      <c r="B33" s="3033"/>
      <c r="C33" s="3033"/>
      <c r="D33" s="3033"/>
      <c r="E33" s="3033"/>
      <c r="F33" s="3033"/>
      <c r="G33" s="3034"/>
      <c r="I33" s="3050" t="s">
        <v>2559</v>
      </c>
      <c r="J33" s="3050" t="s">
        <v>2569</v>
      </c>
    </row>
    <row r="34" spans="1:13">
      <c r="A34" s="3032" t="s">
        <v>2532</v>
      </c>
      <c r="B34" s="3033"/>
      <c r="C34" s="3033"/>
      <c r="D34" s="3033"/>
      <c r="E34" s="3033"/>
      <c r="F34" s="3033"/>
      <c r="G34" s="3034"/>
      <c r="I34" s="3050">
        <v>5</v>
      </c>
      <c r="J34" s="3050">
        <v>55.1</v>
      </c>
    </row>
    <row r="35" spans="1:13">
      <c r="A35" s="3032" t="s">
        <v>2533</v>
      </c>
      <c r="B35" s="3033"/>
      <c r="C35" s="3033"/>
      <c r="D35" s="3033"/>
      <c r="E35" s="3033"/>
      <c r="F35" s="3033"/>
      <c r="G35" s="3034"/>
      <c r="I35" s="3050">
        <v>10</v>
      </c>
      <c r="J35" s="3050">
        <v>67</v>
      </c>
      <c r="K35" s="3050">
        <f>J35-J34</f>
        <v>11.899999999999999</v>
      </c>
    </row>
    <row r="36" spans="1:13">
      <c r="A36" s="3032" t="s">
        <v>2534</v>
      </c>
      <c r="B36" s="3033"/>
      <c r="C36" s="3033"/>
      <c r="D36" s="3033"/>
      <c r="E36" s="3033"/>
      <c r="F36" s="3033"/>
      <c r="G36" s="3034"/>
      <c r="I36" s="3050">
        <v>15</v>
      </c>
      <c r="J36" s="3050">
        <v>76.3</v>
      </c>
      <c r="K36" s="3050">
        <f t="shared" ref="K36:K41" si="3">J36-J35</f>
        <v>9.2999999999999972</v>
      </c>
      <c r="L36" s="3050" t="s">
        <v>2562</v>
      </c>
      <c r="M36" s="3050" t="s">
        <v>2563</v>
      </c>
    </row>
    <row r="37" spans="1:13">
      <c r="A37" s="3032" t="s">
        <v>2535</v>
      </c>
      <c r="B37" s="3033"/>
      <c r="C37" s="3033"/>
      <c r="D37" s="3033"/>
      <c r="E37" s="3033"/>
      <c r="F37" s="3033"/>
      <c r="G37" s="3034"/>
      <c r="I37" s="3050">
        <v>20</v>
      </c>
      <c r="J37" s="3050">
        <v>83.6</v>
      </c>
      <c r="K37" s="3050">
        <f t="shared" si="3"/>
        <v>7.2999999999999972</v>
      </c>
      <c r="L37" s="3050" t="s">
        <v>2561</v>
      </c>
      <c r="M37" s="3050">
        <v>10</v>
      </c>
    </row>
    <row r="38" spans="1:13">
      <c r="A38" s="3032" t="s">
        <v>2536</v>
      </c>
      <c r="B38" s="3033"/>
      <c r="C38" s="3033"/>
      <c r="D38" s="3033"/>
      <c r="E38" s="3033"/>
      <c r="F38" s="3033"/>
      <c r="G38" s="3034"/>
      <c r="I38" s="3050">
        <v>25</v>
      </c>
      <c r="J38" s="3050">
        <v>89.3</v>
      </c>
      <c r="K38" s="3050">
        <f t="shared" si="3"/>
        <v>5.7000000000000028</v>
      </c>
      <c r="L38" s="3050" t="s">
        <v>2565</v>
      </c>
      <c r="M38" s="3050">
        <v>8</v>
      </c>
    </row>
    <row r="39" spans="1:13">
      <c r="A39" s="3032"/>
      <c r="B39" s="3033"/>
      <c r="C39" s="3033"/>
      <c r="D39" s="3033"/>
      <c r="E39" s="3033"/>
      <c r="F39" s="3033"/>
      <c r="G39" s="3034"/>
      <c r="I39" s="3050">
        <v>30</v>
      </c>
      <c r="J39" s="3050">
        <v>93.8</v>
      </c>
      <c r="K39" s="3050">
        <f t="shared" si="3"/>
        <v>4.5</v>
      </c>
      <c r="L39" s="3050" t="s">
        <v>2566</v>
      </c>
      <c r="M39" s="3050">
        <v>6</v>
      </c>
    </row>
    <row r="40" spans="1:13">
      <c r="A40" s="3035" t="s">
        <v>2537</v>
      </c>
      <c r="B40" s="3036"/>
      <c r="C40" s="3036"/>
      <c r="D40" s="3036"/>
      <c r="E40" s="3036"/>
      <c r="F40" s="3036"/>
      <c r="G40" s="3037"/>
      <c r="I40" s="3050">
        <v>35</v>
      </c>
      <c r="J40" s="3050">
        <v>97.2</v>
      </c>
      <c r="K40" s="3050">
        <f t="shared" si="3"/>
        <v>3.4000000000000057</v>
      </c>
      <c r="L40" s="3050" t="s">
        <v>2567</v>
      </c>
      <c r="M40" s="3050">
        <v>3</v>
      </c>
    </row>
    <row r="41" spans="1:13">
      <c r="A41" s="3038" t="s">
        <v>2538</v>
      </c>
      <c r="B41" s="3039" t="s">
        <v>2539</v>
      </c>
      <c r="C41" s="3040" t="s">
        <v>2540</v>
      </c>
      <c r="D41" s="3040" t="s">
        <v>2541</v>
      </c>
      <c r="E41" s="3041"/>
      <c r="F41" s="3042"/>
      <c r="G41" s="3043"/>
      <c r="I41" s="3050">
        <v>40</v>
      </c>
      <c r="J41" s="3050">
        <v>100</v>
      </c>
      <c r="K41" s="3050">
        <f t="shared" si="3"/>
        <v>2.7999999999999972</v>
      </c>
    </row>
    <row r="42" spans="1:13">
      <c r="A42" s="3038" t="s">
        <v>2542</v>
      </c>
      <c r="B42" s="3039" t="s">
        <v>2543</v>
      </c>
      <c r="C42" s="3040" t="s">
        <v>2544</v>
      </c>
      <c r="D42" s="3044" t="s">
        <v>2545</v>
      </c>
      <c r="E42" s="3036" t="s">
        <v>2546</v>
      </c>
      <c r="F42" s="3036"/>
      <c r="G42" s="3037"/>
    </row>
    <row r="43" spans="1:13">
      <c r="A43" s="3038" t="s">
        <v>2547</v>
      </c>
      <c r="B43" s="3039" t="s">
        <v>2548</v>
      </c>
      <c r="C43" s="3040" t="s">
        <v>2549</v>
      </c>
      <c r="D43" s="3040" t="s">
        <v>2550</v>
      </c>
      <c r="E43" s="3041" t="s">
        <v>2551</v>
      </c>
      <c r="F43" s="3042"/>
      <c r="G43" s="3043"/>
      <c r="I43" s="3050" t="s">
        <v>2559</v>
      </c>
      <c r="J43" s="3050" t="s">
        <v>2570</v>
      </c>
    </row>
    <row r="44" spans="1:13">
      <c r="A44" s="3038" t="s">
        <v>2552</v>
      </c>
      <c r="B44" s="3039" t="s">
        <v>2553</v>
      </c>
      <c r="C44" s="3040" t="s">
        <v>2554</v>
      </c>
      <c r="D44" s="3044">
        <v>0.5</v>
      </c>
      <c r="E44" s="3041" t="s">
        <v>2555</v>
      </c>
      <c r="F44" s="3042"/>
      <c r="G44" s="3043"/>
      <c r="I44" s="3050">
        <v>30</v>
      </c>
      <c r="J44" s="3050">
        <v>81.7</v>
      </c>
    </row>
    <row r="45" spans="1:13" ht="14.25" thickBot="1">
      <c r="A45" s="3045" t="s">
        <v>2556</v>
      </c>
      <c r="B45" s="3046" t="s">
        <v>2543</v>
      </c>
      <c r="C45" s="3047" t="s">
        <v>2543</v>
      </c>
      <c r="D45" s="3047" t="s">
        <v>2557</v>
      </c>
      <c r="E45" s="3048" t="s">
        <v>2558</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0" customWidth="1"/>
    <col min="12" max="13" width="10" style="2621"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2168</v>
      </c>
      <c r="B1" s="3519" t="str">
        <f>IF(B10="北京市","北京市",C10)&amp;F10&amp;IF(结果表!G1="在建","出让国有建设用地使用权及在建建筑物",IF(结果表!G1="土地","出让国有建设用地使用权",))&amp;B9&amp;"预评估"</f>
        <v>北京市房地产市场价值预评估</v>
      </c>
      <c r="C1" s="3520"/>
      <c r="D1" s="3520"/>
      <c r="E1" s="3520"/>
      <c r="F1" s="3520"/>
      <c r="G1" s="3520"/>
      <c r="H1" s="3520"/>
      <c r="I1" s="3521"/>
      <c r="J1" s="2464"/>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4" t="s">
        <v>2169</v>
      </c>
      <c r="B2" s="2368"/>
      <c r="C2" s="2369"/>
      <c r="D2" s="2662"/>
      <c r="E2" s="2654"/>
      <c r="F2" s="2654"/>
      <c r="G2" s="2655"/>
      <c r="H2" s="2655"/>
      <c r="I2" s="2655"/>
      <c r="J2" s="2464"/>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0">
        <v>45160</v>
      </c>
      <c r="C3" s="2371" t="s">
        <v>2171</v>
      </c>
      <c r="D3" s="2370">
        <f>B3</f>
        <v>45160</v>
      </c>
      <c r="E3" s="2655"/>
      <c r="F3" s="2655"/>
      <c r="G3" s="2655"/>
      <c r="H3" s="2655"/>
      <c r="I3" s="2655"/>
      <c r="J3" s="2464"/>
      <c r="K3" s="2365"/>
      <c r="L3" s="2366"/>
      <c r="M3" s="2366"/>
      <c r="N3" s="2367"/>
      <c r="O3" s="1575"/>
      <c r="P3" s="2367"/>
      <c r="Q3" s="2367"/>
      <c r="R3" s="2367"/>
      <c r="S3" s="1681"/>
      <c r="T3" s="1744"/>
      <c r="U3" s="1744"/>
      <c r="V3" s="1744"/>
      <c r="W3" s="1744"/>
      <c r="X3" s="1744"/>
      <c r="Y3" s="1744"/>
      <c r="Z3" s="1744"/>
      <c r="AA3" s="1744"/>
      <c r="AB3" s="1744"/>
    </row>
    <row r="4" spans="1:30" ht="13.5" thickBot="1">
      <c r="A4" s="1090" t="s">
        <v>2172</v>
      </c>
      <c r="B4" s="2372" t="s">
        <v>3370</v>
      </c>
      <c r="C4" s="2373">
        <f ca="1">SUMIF(注册房地产估价师,B4,估价师及机构信息!B3:B24)</f>
        <v>1120100036</v>
      </c>
      <c r="D4" s="2372" t="s">
        <v>3371</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崔锴（注册号：1120100036)、郑燚（注册号：1120070131)</v>
      </c>
      <c r="L4" s="2366"/>
      <c r="M4" s="2366"/>
      <c r="N4" s="2367"/>
      <c r="O4" s="1575"/>
      <c r="P4" s="2367"/>
      <c r="Q4" s="2367"/>
      <c r="R4" s="2367"/>
      <c r="S4" s="1681"/>
      <c r="T4" s="1744"/>
      <c r="U4" s="1744"/>
      <c r="V4" s="1744"/>
      <c r="W4" s="1744"/>
      <c r="X4" s="1744"/>
      <c r="Y4" s="1744"/>
      <c r="Z4" s="1744"/>
      <c r="AA4" s="1744"/>
      <c r="AB4" s="1744"/>
    </row>
    <row r="5" spans="1:30" ht="13.5" thickTop="1">
      <c r="A5" s="2376" t="s">
        <v>2173</v>
      </c>
      <c r="B5" s="2377"/>
      <c r="C5" s="2378"/>
      <c r="D5" s="2379"/>
      <c r="E5" s="2656"/>
      <c r="F5" s="2656"/>
      <c r="G5" s="2656"/>
      <c r="H5" s="2656"/>
      <c r="I5" s="2656"/>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2174</v>
      </c>
      <c r="B6" s="2381"/>
      <c r="C6" s="2382"/>
      <c r="D6" s="2383"/>
      <c r="E6" s="2654"/>
      <c r="F6" s="2656"/>
      <c r="G6" s="2656"/>
      <c r="H6" s="2656"/>
      <c r="I6" s="2656"/>
      <c r="J6" s="2436"/>
      <c r="K6" s="2607" t="str">
        <f>IF(COUNTIF(B6,"*上海银行*"),"上海银行","")</f>
        <v/>
      </c>
      <c r="L6" s="2605"/>
      <c r="M6" s="2605"/>
      <c r="N6" s="2436"/>
      <c r="O6" s="2447"/>
      <c r="P6" s="2436"/>
      <c r="Q6" s="2436"/>
      <c r="R6" s="2436"/>
    </row>
    <row r="7" spans="1:30">
      <c r="A7" s="2380" t="s">
        <v>2175</v>
      </c>
      <c r="B7" s="2384"/>
      <c r="C7" s="2382"/>
      <c r="D7" s="2383"/>
      <c r="E7" s="2654"/>
      <c r="F7" s="2656"/>
      <c r="G7" s="2656"/>
      <c r="H7" s="2656"/>
      <c r="I7" s="2656"/>
      <c r="J7" s="2436"/>
      <c r="K7" s="2608"/>
      <c r="L7" s="2605"/>
      <c r="M7" s="2605"/>
      <c r="N7" s="2436"/>
      <c r="O7" s="2447"/>
      <c r="P7" s="2436"/>
      <c r="Q7" s="2436"/>
      <c r="R7" s="2436"/>
    </row>
    <row r="8" spans="1:30">
      <c r="A8" s="2385" t="s">
        <v>2176</v>
      </c>
      <c r="B8" s="2386" t="s">
        <v>3372</v>
      </c>
      <c r="C8" s="2387"/>
      <c r="D8" s="3522" t="s">
        <v>2177</v>
      </c>
      <c r="E8" s="2388" t="s">
        <v>3374</v>
      </c>
      <c r="F8" s="2389"/>
      <c r="G8" s="2655"/>
      <c r="H8" s="2655"/>
      <c r="I8" s="2655"/>
      <c r="J8" s="2436"/>
      <c r="K8" s="2606"/>
      <c r="L8" s="2605"/>
      <c r="M8" s="2605"/>
      <c r="N8" s="2436"/>
      <c r="O8" s="2447"/>
      <c r="P8" s="2436"/>
      <c r="Q8" s="2436"/>
      <c r="R8" s="2436"/>
    </row>
    <row r="9" spans="1:30" ht="13.5" thickBot="1">
      <c r="A9" s="2390" t="s">
        <v>2178</v>
      </c>
      <c r="B9" s="2391" t="s">
        <v>3373</v>
      </c>
      <c r="C9" s="2392"/>
      <c r="D9" s="3523"/>
      <c r="E9" s="2391" t="s">
        <v>43</v>
      </c>
      <c r="F9" s="2393"/>
      <c r="G9" s="2657"/>
      <c r="H9" s="2657"/>
      <c r="I9" s="2657"/>
      <c r="J9" s="2436"/>
      <c r="K9" s="2608"/>
      <c r="L9" s="2605"/>
      <c r="M9" s="2605"/>
      <c r="N9" s="2436"/>
      <c r="O9" s="2447"/>
      <c r="P9" s="2436"/>
      <c r="Q9" s="2436"/>
      <c r="R9" s="2436"/>
    </row>
    <row r="10" spans="1:30" ht="13.5" thickTop="1">
      <c r="A10" s="2394" t="s">
        <v>2179</v>
      </c>
      <c r="B10" s="2395" t="s">
        <v>3375</v>
      </c>
      <c r="C10" s="2396"/>
      <c r="D10" s="2379"/>
      <c r="E10" s="2397" t="s">
        <v>2180</v>
      </c>
      <c r="F10" s="2658"/>
      <c r="G10" s="2659"/>
      <c r="H10" s="2660"/>
      <c r="I10" s="2661"/>
      <c r="J10" s="2436"/>
      <c r="K10" s="2608"/>
      <c r="L10" s="2605"/>
      <c r="M10" s="2605"/>
      <c r="N10" s="2436"/>
      <c r="O10" s="2447"/>
      <c r="P10" s="2436"/>
      <c r="Q10" s="2436"/>
      <c r="R10" s="2436"/>
    </row>
    <row r="11" spans="1:30">
      <c r="A11" s="2398" t="s">
        <v>2181</v>
      </c>
      <c r="B11" s="2399" t="s">
        <v>3376</v>
      </c>
      <c r="C11" s="2400"/>
      <c r="D11" s="2401"/>
      <c r="E11" s="2367"/>
      <c r="F11" s="2367"/>
      <c r="G11" s="2367"/>
      <c r="H11" s="2367"/>
      <c r="I11" s="2367"/>
      <c r="J11" s="3053"/>
      <c r="K11" s="3052"/>
      <c r="L11" s="2605"/>
      <c r="M11" s="2605"/>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1" t="s">
        <v>2571</v>
      </c>
      <c r="J12" s="3054"/>
      <c r="K12" s="2605"/>
      <c r="L12" s="2605"/>
      <c r="M12" s="2436"/>
      <c r="N12" s="2447"/>
      <c r="O12" s="2436"/>
      <c r="P12" s="2436"/>
      <c r="Q12" s="2436"/>
      <c r="AD12" s="1744"/>
    </row>
    <row r="13" spans="1:30">
      <c r="A13" s="3415" t="s">
        <v>3328</v>
      </c>
      <c r="B13" s="2404" t="s">
        <v>2190</v>
      </c>
      <c r="C13" s="856"/>
      <c r="D13" s="856">
        <v>58939</v>
      </c>
      <c r="E13" s="856">
        <v>62591</v>
      </c>
      <c r="F13" s="856">
        <f>E13</f>
        <v>62591</v>
      </c>
      <c r="G13" s="856"/>
      <c r="H13" s="856"/>
      <c r="I13" s="856"/>
      <c r="J13" s="3054"/>
      <c r="K13" s="2605"/>
      <c r="L13" s="2605"/>
      <c r="M13" s="2436"/>
      <c r="N13" s="2447"/>
      <c r="O13" s="2436"/>
      <c r="P13" s="2436"/>
      <c r="Q13" s="2436"/>
      <c r="AD13" s="1744"/>
    </row>
    <row r="14" spans="1:30">
      <c r="A14" s="1081"/>
      <c r="B14" s="2404" t="s">
        <v>2191</v>
      </c>
      <c r="C14" s="2405">
        <v>70</v>
      </c>
      <c r="D14" s="2405">
        <v>40</v>
      </c>
      <c r="E14" s="2405">
        <v>50</v>
      </c>
      <c r="F14" s="2405">
        <v>50</v>
      </c>
      <c r="G14" s="2405">
        <v>50</v>
      </c>
      <c r="H14" s="2405">
        <v>50</v>
      </c>
      <c r="I14" s="2405">
        <v>50</v>
      </c>
      <c r="J14" s="3055"/>
      <c r="K14" s="2605"/>
      <c r="L14" s="2605"/>
      <c r="M14" s="2436"/>
      <c r="N14" s="2447"/>
      <c r="O14" s="2436"/>
      <c r="P14" s="2436"/>
      <c r="Q14" s="2436"/>
      <c r="AD14" s="1744"/>
    </row>
    <row r="15" spans="1:30">
      <c r="A15" s="320"/>
      <c r="B15" s="2406" t="s">
        <v>2192</v>
      </c>
      <c r="C15" s="2407" t="str">
        <f>IF(A13="出让",IF(C13="","",ROUNDDOWN(MIN((C13-$D$3)/365,C14),2)),C14)</f>
        <v/>
      </c>
      <c r="D15" s="2407">
        <f>IF(A13="出让",IF(D13="","",ROUNDDOWN(MIN((D13-$D$3)/365,D14),2)),D14)</f>
        <v>37.75</v>
      </c>
      <c r="E15" s="2407">
        <f>IF(A13="出让",IF(E13="","",ROUNDDOWN(MIN((E13-$D$3)/365,E14),2)),E14)</f>
        <v>47.75</v>
      </c>
      <c r="F15" s="2407">
        <f>IF(A13="出让",IF(F13="","",ROUNDDOWN(MIN((F13-$D$3)/365,F14),2)),F14)</f>
        <v>47.75</v>
      </c>
      <c r="G15" s="2407" t="str">
        <f>IF(A13="出让",IF(G13="","",ROUNDDOWN(MIN((G13-$D$3)/365,G14),2)),G14)</f>
        <v/>
      </c>
      <c r="H15" s="2407" t="str">
        <f>IF(A13="出让",IF(H13="","",ROUNDDOWN(MIN((H13-$D$3)/365,H14),2)),H14)</f>
        <v/>
      </c>
      <c r="I15" s="2407" t="str">
        <f>IF(A13="出让",IF(I13="","",ROUNDDOWN(MIN((I13-$D$3)/365,I14),2)),I14)</f>
        <v/>
      </c>
      <c r="J15" s="3056"/>
      <c r="K15" s="2448"/>
      <c r="L15" s="2448"/>
      <c r="M15" s="2501"/>
      <c r="N15" s="2448"/>
      <c r="O15" s="2501"/>
      <c r="P15" s="2436"/>
      <c r="Q15" s="2436"/>
      <c r="AD15" s="1744"/>
    </row>
    <row r="16" spans="1:30">
      <c r="A16" s="2397" t="s">
        <v>2193</v>
      </c>
      <c r="B16" s="3529"/>
      <c r="C16" s="3530"/>
      <c r="D16" s="3531"/>
      <c r="E16" s="2410" t="s">
        <v>2194</v>
      </c>
      <c r="F16" s="3532"/>
      <c r="G16" s="3533"/>
      <c r="H16" s="3533"/>
      <c r="I16" s="3534"/>
      <c r="J16" s="2436"/>
      <c r="K16" s="2609"/>
      <c r="L16" s="2448"/>
      <c r="M16" s="2448"/>
      <c r="N16" s="2501"/>
      <c r="O16" s="2448"/>
      <c r="P16" s="2501"/>
      <c r="Q16" s="2436"/>
      <c r="R16" s="2436"/>
    </row>
    <row r="17" spans="1:28">
      <c r="A17" s="313" t="s">
        <v>2195</v>
      </c>
      <c r="B17" s="302" t="s">
        <v>2196</v>
      </c>
      <c r="C17" s="8">
        <f>'数据-汇总表'!E3</f>
        <v>75416.17</v>
      </c>
      <c r="D17" s="2319" t="s">
        <v>2197</v>
      </c>
      <c r="E17" s="3535" t="s">
        <v>2198</v>
      </c>
      <c r="F17" s="3536"/>
      <c r="G17" s="3536"/>
      <c r="H17" s="3536"/>
      <c r="I17" s="3537"/>
      <c r="J17" s="2436"/>
      <c r="K17" s="2610"/>
      <c r="L17" s="2448"/>
      <c r="M17" s="2448"/>
      <c r="N17" s="2501"/>
      <c r="O17" s="2448"/>
      <c r="P17" s="2501"/>
      <c r="Q17" s="2436"/>
      <c r="R17" s="2436"/>
      <c r="S17" s="2436"/>
      <c r="T17" s="2436"/>
      <c r="U17" s="2436"/>
      <c r="V17" s="2436"/>
    </row>
    <row r="18" spans="1:28" ht="24.75" thickBot="1">
      <c r="A18" s="2411" t="s">
        <v>2199</v>
      </c>
      <c r="B18" s="1090" t="s">
        <v>2200</v>
      </c>
      <c r="C18" s="2412">
        <f>'数据-汇总表'!D3</f>
        <v>15955.89</v>
      </c>
      <c r="D18" s="1092" t="s">
        <v>2201</v>
      </c>
      <c r="E18" s="3538" t="s">
        <v>2202</v>
      </c>
      <c r="F18" s="3539"/>
      <c r="G18" s="3539"/>
      <c r="H18" s="3539"/>
      <c r="I18" s="3540"/>
      <c r="J18" s="2436"/>
      <c r="K18" s="2610"/>
      <c r="L18" s="2448"/>
      <c r="M18" s="2448"/>
      <c r="N18" s="2501"/>
      <c r="O18" s="2448"/>
      <c r="P18" s="2501"/>
      <c r="Q18" s="2436"/>
      <c r="R18" s="2436"/>
      <c r="S18" s="2436"/>
      <c r="T18" s="2436"/>
      <c r="U18" s="2436"/>
      <c r="V18" s="2436"/>
    </row>
    <row r="19" spans="1:28" ht="37.5" thickTop="1" thickBot="1">
      <c r="A19" s="327" t="s">
        <v>1055</v>
      </c>
      <c r="B19" s="307" t="s">
        <v>2203</v>
      </c>
      <c r="C19" s="1562"/>
      <c r="D19" s="1563" t="s">
        <v>2204</v>
      </c>
      <c r="E19" s="1564"/>
      <c r="F19" s="1565" t="str">
        <f>IF(AND(C19="是",E19="否"),"是否提供他项权证或相关说明","")</f>
        <v/>
      </c>
      <c r="G19" s="1566"/>
      <c r="H19" s="2656"/>
      <c r="I19" s="2656"/>
      <c r="J19" s="2436"/>
      <c r="K19" s="2608"/>
      <c r="L19" s="2605"/>
      <c r="M19" s="2605"/>
      <c r="N19" s="2501"/>
      <c r="O19" s="2448"/>
      <c r="P19" s="2501"/>
      <c r="Q19" s="2436"/>
      <c r="R19" s="2436"/>
      <c r="S19" s="2436"/>
      <c r="T19" s="2436"/>
      <c r="U19" s="2436"/>
      <c r="V19" s="2436"/>
    </row>
    <row r="20" spans="1:28">
      <c r="A20" s="2624" t="s">
        <v>2205</v>
      </c>
      <c r="B20" s="3525" t="s">
        <v>2206</v>
      </c>
      <c r="C20" s="3526"/>
      <c r="D20" s="3527" t="s">
        <v>2207</v>
      </c>
      <c r="E20" s="3528"/>
      <c r="F20" s="2639" t="s">
        <v>1056</v>
      </c>
      <c r="G20" s="2656"/>
      <c r="H20" s="2656"/>
      <c r="I20" s="2656"/>
      <c r="J20" s="2436"/>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4"/>
      <c r="B21" s="2625" t="s">
        <v>2209</v>
      </c>
      <c r="C21" s="2626" t="s">
        <v>1057</v>
      </c>
      <c r="D21" s="1567" t="s">
        <v>2210</v>
      </c>
      <c r="E21" s="2627" t="s">
        <v>1057</v>
      </c>
      <c r="F21" s="2640"/>
      <c r="G21" s="2656"/>
      <c r="H21" s="2656"/>
      <c r="I21" s="2656"/>
      <c r="J21" s="2436"/>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4"/>
      <c r="B22" s="2628" t="s">
        <v>2211</v>
      </c>
      <c r="C22" s="2626" t="s">
        <v>1058</v>
      </c>
      <c r="D22" s="2655"/>
      <c r="E22" s="2655"/>
      <c r="F22" s="2655"/>
      <c r="G22" s="2656"/>
      <c r="H22" s="2656"/>
      <c r="I22" s="2656"/>
      <c r="J22" s="2436"/>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29" t="s">
        <v>2212</v>
      </c>
      <c r="B23" s="2494" t="s">
        <v>2213</v>
      </c>
      <c r="C23" s="2630"/>
      <c r="D23" s="2631" t="s">
        <v>2213</v>
      </c>
      <c r="E23" s="2632"/>
      <c r="F23" s="2655"/>
      <c r="G23" s="2656"/>
      <c r="H23" s="2656"/>
      <c r="I23" s="2656"/>
      <c r="J23" s="2436"/>
      <c r="K23" s="2611"/>
      <c r="L23" s="2467"/>
      <c r="M23" s="2605"/>
      <c r="N23" s="2501"/>
      <c r="O23" s="2448"/>
      <c r="P23" s="2501"/>
      <c r="Q23" s="2436"/>
      <c r="R23" s="2436"/>
      <c r="S23" s="2436"/>
      <c r="T23" s="2436"/>
      <c r="U23" s="2436"/>
      <c r="V23" s="2436"/>
    </row>
    <row r="24" spans="1:28">
      <c r="A24" s="2629"/>
      <c r="B24" s="2494" t="s">
        <v>1059</v>
      </c>
      <c r="C24" s="2633"/>
      <c r="D24" s="2629" t="s">
        <v>1059</v>
      </c>
      <c r="E24" s="2634"/>
      <c r="F24" s="2655"/>
      <c r="G24" s="2656"/>
      <c r="H24" s="2656"/>
      <c r="I24" s="2656"/>
      <c r="J24" s="2436"/>
      <c r="K24" s="2611"/>
      <c r="L24" s="2467"/>
      <c r="M24" s="2605"/>
      <c r="N24" s="2501"/>
      <c r="O24" s="2448"/>
      <c r="P24" s="2501"/>
      <c r="Q24" s="2436"/>
      <c r="R24" s="2436"/>
      <c r="S24" s="2436"/>
      <c r="T24" s="2436"/>
      <c r="U24" s="2436"/>
      <c r="V24" s="2436"/>
    </row>
    <row r="25" spans="1:28">
      <c r="A25" s="2629"/>
      <c r="B25" s="2494" t="s">
        <v>1060</v>
      </c>
      <c r="C25" s="2633"/>
      <c r="D25" s="2629" t="s">
        <v>1060</v>
      </c>
      <c r="E25" s="2634"/>
      <c r="F25" s="2655"/>
      <c r="G25" s="2656"/>
      <c r="H25" s="2656"/>
      <c r="I25" s="2656"/>
      <c r="J25" s="2436"/>
      <c r="K25" s="2608"/>
      <c r="L25" s="2605"/>
      <c r="M25" s="2605"/>
      <c r="N25" s="2501"/>
      <c r="O25" s="2448"/>
      <c r="P25" s="2501"/>
      <c r="Q25" s="2436"/>
      <c r="R25" s="2436"/>
      <c r="S25" s="2436"/>
      <c r="T25" s="2436"/>
      <c r="U25" s="2436"/>
      <c r="V25" s="2436"/>
    </row>
    <row r="26" spans="1:28" ht="13.5" thickBot="1">
      <c r="A26" s="2635"/>
      <c r="B26" s="2636" t="s">
        <v>1061</v>
      </c>
      <c r="C26" s="2637"/>
      <c r="D26" s="2635" t="s">
        <v>1061</v>
      </c>
      <c r="E26" s="2638"/>
      <c r="F26" s="2657"/>
      <c r="G26" s="2657"/>
      <c r="H26" s="2657"/>
      <c r="I26" s="2657"/>
      <c r="J26" s="2436"/>
      <c r="K26" s="2608"/>
      <c r="L26" s="2605"/>
      <c r="M26" s="2605"/>
      <c r="N26" s="2501"/>
      <c r="O26" s="2448"/>
      <c r="P26" s="2501"/>
      <c r="Q26" s="2436"/>
      <c r="R26" s="2436"/>
      <c r="S26" s="2436"/>
      <c r="T26" s="2436"/>
      <c r="U26" s="2436"/>
      <c r="V26" s="2436"/>
    </row>
    <row r="27" spans="1:28" ht="13.5" thickTop="1">
      <c r="A27" s="3512" t="s">
        <v>2214</v>
      </c>
      <c r="B27" s="320" t="s">
        <v>2215</v>
      </c>
      <c r="C27" s="2413"/>
      <c r="D27" s="2414"/>
      <c r="E27" s="2656"/>
      <c r="F27" s="2656"/>
      <c r="G27" s="2656"/>
      <c r="H27" s="2656"/>
      <c r="I27" s="2656"/>
      <c r="J27" s="2436"/>
      <c r="K27" s="2609"/>
      <c r="L27" s="2448"/>
      <c r="M27" s="2448"/>
      <c r="N27" s="2501"/>
      <c r="O27" s="2448"/>
      <c r="P27" s="2501"/>
      <c r="Q27" s="2436"/>
      <c r="R27" s="2436"/>
      <c r="S27" s="2436"/>
      <c r="T27" s="2436"/>
      <c r="U27" s="2436"/>
      <c r="V27" s="2436"/>
    </row>
    <row r="28" spans="1:28">
      <c r="A28" s="3512"/>
      <c r="B28" s="302" t="s">
        <v>2216</v>
      </c>
      <c r="C28" s="2415"/>
      <c r="D28" s="2416"/>
      <c r="E28" s="2656"/>
      <c r="F28" s="2656"/>
      <c r="G28" s="2656"/>
      <c r="H28" s="2656"/>
      <c r="I28" s="2656"/>
      <c r="J28" s="2436"/>
      <c r="K28" s="2608"/>
      <c r="L28" s="2605"/>
      <c r="M28" s="2605"/>
      <c r="N28" s="2436"/>
      <c r="O28" s="2447"/>
      <c r="P28" s="2436"/>
      <c r="Q28" s="2436"/>
      <c r="R28" s="2436"/>
      <c r="S28" s="2436"/>
      <c r="T28" s="2436"/>
      <c r="U28" s="2436"/>
      <c r="V28" s="2436"/>
    </row>
    <row r="29" spans="1:28">
      <c r="A29" s="3512"/>
      <c r="B29" s="302" t="s">
        <v>2217</v>
      </c>
      <c r="C29" s="2417"/>
      <c r="D29" s="2418"/>
      <c r="E29" s="2656"/>
      <c r="F29" s="2656"/>
      <c r="G29" s="2656"/>
      <c r="H29" s="2656"/>
      <c r="I29" s="2656"/>
      <c r="J29" s="2436"/>
      <c r="K29" s="2608"/>
      <c r="L29" s="2605"/>
      <c r="M29" s="2605"/>
      <c r="N29" s="2436"/>
      <c r="O29" s="2447"/>
      <c r="P29" s="2436"/>
      <c r="Q29" s="2436"/>
      <c r="R29" s="2436"/>
      <c r="S29" s="2436"/>
      <c r="T29" s="2436"/>
      <c r="U29" s="2436"/>
      <c r="V29" s="2436"/>
    </row>
    <row r="30" spans="1:28">
      <c r="A30" s="3513"/>
      <c r="B30" s="302" t="s">
        <v>2218</v>
      </c>
      <c r="C30" s="3514"/>
      <c r="D30" s="3515"/>
      <c r="E30" s="2656"/>
      <c r="F30" s="2656"/>
      <c r="G30" s="2656"/>
      <c r="H30" s="2656"/>
      <c r="I30" s="2656"/>
      <c r="J30" s="2436"/>
      <c r="K30" s="2608"/>
      <c r="L30" s="2605"/>
      <c r="M30" s="2605"/>
      <c r="N30" s="2436"/>
      <c r="O30" s="2447"/>
      <c r="P30" s="2436"/>
      <c r="Q30" s="2436"/>
      <c r="R30" s="2436"/>
      <c r="S30" s="2436"/>
      <c r="T30" s="2436"/>
      <c r="U30" s="2436"/>
      <c r="V30" s="2436"/>
    </row>
    <row r="31" spans="1:28">
      <c r="A31" s="3516" t="s">
        <v>2219</v>
      </c>
      <c r="B31" s="2419" t="s">
        <v>3377</v>
      </c>
      <c r="C31" s="2320" t="str">
        <f>IF(B31="现房","成新及维护状况正常否",IF(B31="在建","工程状态是否正常",IF(B31="土地","是否闲置","-")))</f>
        <v>成新及维护状况正常否</v>
      </c>
      <c r="D31" s="1372"/>
      <c r="E31" s="2420"/>
      <c r="F31" s="2656"/>
      <c r="G31" s="2656"/>
      <c r="H31" s="2656"/>
      <c r="I31" s="2656"/>
      <c r="J31" s="2436"/>
      <c r="K31" s="2607"/>
      <c r="L31" s="2605"/>
      <c r="M31" s="2605"/>
      <c r="N31" s="2436"/>
      <c r="O31" s="2447"/>
      <c r="P31" s="2436"/>
      <c r="Q31" s="2436"/>
      <c r="R31" s="2436"/>
      <c r="S31" s="2436"/>
      <c r="T31" s="2436"/>
      <c r="U31" s="2436"/>
      <c r="V31" s="2436"/>
    </row>
    <row r="32" spans="1:28">
      <c r="A32" s="3517"/>
      <c r="B32" s="2419"/>
      <c r="C32" s="2320" t="str">
        <f>IF(B32="现房","成新及维护状况是否正常",IF(B32="在建","工程状态是否正常",IF(B32="土地","是否闲置","-")))</f>
        <v>-</v>
      </c>
      <c r="D32" s="1372"/>
      <c r="E32" s="2420"/>
      <c r="F32" s="2656"/>
      <c r="G32" s="2656"/>
      <c r="H32" s="2656"/>
      <c r="I32" s="2656"/>
      <c r="J32" s="2436"/>
      <c r="K32" s="2608"/>
      <c r="L32" s="2605"/>
      <c r="M32" s="2605"/>
      <c r="N32" s="2436"/>
      <c r="O32" s="2447"/>
      <c r="P32" s="2436"/>
      <c r="Q32" s="2436"/>
      <c r="R32" s="2436"/>
      <c r="S32" s="2436"/>
      <c r="T32" s="2436"/>
      <c r="U32" s="2436"/>
      <c r="V32" s="2436"/>
    </row>
    <row r="33" spans="1:30">
      <c r="A33" s="3517"/>
      <c r="B33" s="2422"/>
      <c r="C33" s="1589" t="str">
        <f>IF(B33="现房","成新及维护状况是否正常",IF(B33="在建","工程状态是否正常",IF(B33="土地","是否闲置","-")))</f>
        <v>-</v>
      </c>
      <c r="D33" s="1364"/>
      <c r="E33" s="2423"/>
      <c r="F33" s="2656"/>
      <c r="G33" s="2656"/>
      <c r="H33" s="2656"/>
      <c r="I33" s="2656"/>
      <c r="J33" s="2436"/>
      <c r="K33" s="2608"/>
      <c r="L33" s="2605"/>
      <c r="M33" s="2605"/>
      <c r="N33" s="2436"/>
      <c r="O33" s="2447"/>
      <c r="P33" s="2436"/>
      <c r="Q33" s="2436"/>
      <c r="R33" s="2436"/>
      <c r="S33" s="2436"/>
      <c r="T33" s="2436"/>
      <c r="U33" s="2436"/>
      <c r="V33" s="2436"/>
    </row>
    <row r="34" spans="1:30">
      <c r="A34" s="302" t="s">
        <v>2220</v>
      </c>
      <c r="B34" s="2023" t="s">
        <v>3378</v>
      </c>
      <c r="C34" s="2023" t="s">
        <v>3379</v>
      </c>
      <c r="D34" s="2023" t="s">
        <v>3380</v>
      </c>
      <c r="E34" s="2023" t="s">
        <v>3381</v>
      </c>
      <c r="F34" s="2023" t="s">
        <v>3382</v>
      </c>
      <c r="G34" s="2023" t="s">
        <v>3383</v>
      </c>
      <c r="H34" s="2023"/>
      <c r="I34" s="2656"/>
      <c r="J34" s="2436"/>
      <c r="K34" s="2424">
        <f>COUNTIF(B34:H34,"——")</f>
        <v>0</v>
      </c>
      <c r="L34" s="323" t="s">
        <v>2221</v>
      </c>
      <c r="M34" s="323" t="s">
        <v>2222</v>
      </c>
      <c r="N34" s="323" t="s">
        <v>2223</v>
      </c>
      <c r="O34" s="323" t="s">
        <v>2224</v>
      </c>
      <c r="P34" s="323" t="s">
        <v>2225</v>
      </c>
      <c r="Q34" s="323" t="s">
        <v>2226</v>
      </c>
      <c r="R34" s="323" t="s">
        <v>2227</v>
      </c>
      <c r="S34" s="3511" t="s">
        <v>2228</v>
      </c>
      <c r="T34" s="2425" t="str">
        <f>NUMBERSTRING(7-K34,1)&amp;"通"</f>
        <v>七通</v>
      </c>
      <c r="U34" s="2436"/>
      <c r="V34" s="2436"/>
    </row>
    <row r="35" spans="1:30">
      <c r="A35" s="2426"/>
      <c r="B35" s="3518" t="s">
        <v>2229</v>
      </c>
      <c r="C35" s="3518"/>
      <c r="D35" s="3518"/>
      <c r="E35" s="3518"/>
      <c r="F35" s="664">
        <f>C10</f>
        <v>0</v>
      </c>
      <c r="G35" s="2656"/>
      <c r="H35" s="2656"/>
      <c r="I35" s="2656"/>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1"/>
      <c r="T35" s="329" t="str">
        <f>IF(T34="一通",L35,IF(T34="二通",M35,IF(T34="三通",N35,IF(T34="四通",O35,IF(T34="五通",P35,IF(T34="六通",Q35,R35))))))</f>
        <v>通路、通电、通讯、通上水、通下水、平整、</v>
      </c>
      <c r="U35" s="2436"/>
      <c r="V35" s="2436"/>
    </row>
    <row r="36" spans="1:30">
      <c r="A36" s="2427"/>
      <c r="B36" s="664" t="s">
        <v>2185</v>
      </c>
      <c r="C36" s="664" t="s">
        <v>2186</v>
      </c>
      <c r="D36" s="664" t="s">
        <v>2184</v>
      </c>
      <c r="E36" s="664" t="s">
        <v>2189</v>
      </c>
      <c r="F36" s="3057" t="s">
        <v>2574</v>
      </c>
      <c r="G36" s="2656"/>
      <c r="H36" s="2656"/>
      <c r="I36" s="2656"/>
      <c r="J36" s="2436"/>
      <c r="K36" s="2608"/>
      <c r="L36" s="2605"/>
      <c r="M36" s="2605"/>
      <c r="N36" s="2436"/>
      <c r="O36" s="2447"/>
      <c r="P36" s="2436"/>
      <c r="Q36" s="2436"/>
      <c r="R36" s="2436"/>
      <c r="S36" s="2436"/>
      <c r="T36" s="2436"/>
      <c r="U36" s="2436"/>
      <c r="V36" s="2436"/>
    </row>
    <row r="37" spans="1:30">
      <c r="A37" s="2622" t="s">
        <v>2230</v>
      </c>
      <c r="B37" s="2428" t="s">
        <v>304</v>
      </c>
      <c r="C37" s="2428" t="s">
        <v>304</v>
      </c>
      <c r="D37" s="2428" t="s">
        <v>304</v>
      </c>
      <c r="E37" s="2428" t="s">
        <v>304</v>
      </c>
      <c r="F37" s="2428" t="s">
        <v>304</v>
      </c>
      <c r="G37" s="2656"/>
      <c r="H37" s="2656"/>
      <c r="I37" s="2656"/>
      <c r="J37" s="2436"/>
      <c r="K37" s="2608"/>
      <c r="L37" s="2605"/>
      <c r="M37" s="2605"/>
      <c r="N37" s="2436"/>
      <c r="O37" s="2447"/>
      <c r="P37" s="2436"/>
      <c r="Q37" s="2436"/>
      <c r="R37" s="2436"/>
      <c r="S37" s="2436"/>
      <c r="T37" s="2436"/>
      <c r="U37" s="2436"/>
      <c r="V37" s="2436"/>
    </row>
    <row r="38" spans="1:30" ht="13.5" thickBot="1">
      <c r="A38" s="2623" t="s">
        <v>2231</v>
      </c>
      <c r="B38" s="2429" t="s">
        <v>3466</v>
      </c>
      <c r="C38" s="2429" t="s">
        <v>3466</v>
      </c>
      <c r="D38" s="2429" t="s">
        <v>3466</v>
      </c>
      <c r="E38" s="2429" t="s">
        <v>3466</v>
      </c>
      <c r="F38" s="2429" t="s">
        <v>3466</v>
      </c>
      <c r="G38" s="2657"/>
      <c r="H38" s="2657"/>
      <c r="I38" s="2657"/>
      <c r="J38" s="2436"/>
      <c r="K38" s="2608"/>
      <c r="L38" s="2605"/>
      <c r="M38" s="2605"/>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7"/>
      <c r="B40" s="2367"/>
      <c r="C40" s="2367"/>
      <c r="D40" s="2367"/>
      <c r="E40" s="2367"/>
      <c r="F40" s="2367"/>
      <c r="G40" s="2367"/>
      <c r="H40" s="2367"/>
      <c r="I40" s="1577"/>
      <c r="J40" s="2501"/>
      <c r="K40" s="2607"/>
      <c r="L40" s="2448"/>
      <c r="M40" s="2448"/>
      <c r="N40" s="2501"/>
      <c r="O40" s="2448"/>
      <c r="P40" s="2436"/>
      <c r="Q40" s="2436"/>
      <c r="R40" s="2436"/>
      <c r="S40" s="2436"/>
      <c r="T40" s="2436"/>
      <c r="U40" s="2436"/>
      <c r="V40" s="2436"/>
    </row>
    <row r="41" spans="1:30">
      <c r="A41" s="2433" t="s">
        <v>2233</v>
      </c>
      <c r="B41" s="1756"/>
      <c r="C41" s="1372"/>
      <c r="D41" s="2367"/>
      <c r="E41" s="2367"/>
      <c r="F41" s="2367"/>
      <c r="G41" s="2367"/>
      <c r="H41" s="2367"/>
      <c r="I41" s="1575"/>
      <c r="J41" s="2436"/>
      <c r="K41" s="2608"/>
      <c r="L41" s="2605"/>
      <c r="M41" s="2605"/>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hidden="1" customWidth="1"/>
    <col min="31" max="31" width="9.75" style="1572" hidden="1" customWidth="1"/>
    <col min="32" max="37" width="9.5" style="1572" hidden="1" customWidth="1"/>
    <col min="38" max="41" width="9.5" style="1572" customWidth="1"/>
    <col min="42" max="45" width="9.5" style="1572" hidden="1" customWidth="1"/>
    <col min="46"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16569.86</v>
      </c>
      <c r="B3" s="11">
        <f>IF(C3="否",G5-AT5,G5)</f>
        <v>78318.14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85327.14</v>
      </c>
      <c r="H5" s="13">
        <f t="shared" ref="H5:AT5" si="0">SUM(H13:H656)</f>
        <v>72928.58</v>
      </c>
      <c r="I5" s="13">
        <f t="shared" si="0"/>
        <v>58017.94</v>
      </c>
      <c r="J5" s="13">
        <f t="shared" si="0"/>
        <v>0</v>
      </c>
      <c r="K5" s="13">
        <f t="shared" si="0"/>
        <v>6651.1</v>
      </c>
      <c r="L5" s="13">
        <f t="shared" si="0"/>
        <v>0</v>
      </c>
      <c r="M5" s="13">
        <f t="shared" si="0"/>
        <v>8259.5399999999991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5389.56</v>
      </c>
      <c r="AD5" s="13">
        <f t="shared" si="0"/>
        <v>0</v>
      </c>
      <c r="AE5" s="13">
        <f t="shared" si="0"/>
        <v>0</v>
      </c>
      <c r="AF5" s="13">
        <f t="shared" si="0"/>
        <v>0</v>
      </c>
      <c r="AG5" s="13">
        <f t="shared" si="0"/>
        <v>0</v>
      </c>
      <c r="AH5" s="13">
        <f t="shared" si="0"/>
        <v>0</v>
      </c>
      <c r="AI5" s="13">
        <f t="shared" si="0"/>
        <v>0</v>
      </c>
      <c r="AJ5" s="13">
        <f t="shared" si="0"/>
        <v>0</v>
      </c>
      <c r="AK5" s="13">
        <f t="shared" si="0"/>
        <v>0</v>
      </c>
      <c r="AL5" s="13">
        <f t="shared" si="0"/>
        <v>312.69</v>
      </c>
      <c r="AM5" s="13">
        <f t="shared" si="0"/>
        <v>0</v>
      </c>
      <c r="AN5" s="13">
        <f t="shared" si="0"/>
        <v>5076.8700000000008</v>
      </c>
      <c r="AO5" s="13">
        <f t="shared" si="0"/>
        <v>0</v>
      </c>
      <c r="AP5" s="13">
        <f t="shared" si="0"/>
        <v>0</v>
      </c>
      <c r="AQ5" s="13">
        <f t="shared" si="0"/>
        <v>0</v>
      </c>
      <c r="AR5" s="13">
        <f t="shared" si="0"/>
        <v>0</v>
      </c>
      <c r="AS5" s="13">
        <f t="shared" si="0"/>
        <v>0</v>
      </c>
      <c r="AT5" s="13">
        <f t="shared" si="0"/>
        <v>7009</v>
      </c>
      <c r="AU5" s="1345"/>
      <c r="AV5" s="12" t="s">
        <v>1071</v>
      </c>
      <c r="AW5" s="1346"/>
      <c r="AX5" s="1346"/>
      <c r="AY5" s="14" t="s">
        <v>2</v>
      </c>
      <c r="AZ5" s="15">
        <f t="shared" ref="AZ5:BT5" si="1">SUM(AZ13:AZ656)</f>
        <v>75416.17</v>
      </c>
      <c r="BA5" s="15">
        <f t="shared" si="1"/>
        <v>70277.48</v>
      </c>
      <c r="BB5" s="15">
        <f t="shared" si="1"/>
        <v>58017.94</v>
      </c>
      <c r="BC5" s="15">
        <f t="shared" si="1"/>
        <v>4000</v>
      </c>
      <c r="BD5" s="15">
        <f t="shared" si="1"/>
        <v>8259.5399999999991</v>
      </c>
      <c r="BE5" s="15">
        <f t="shared" si="1"/>
        <v>0</v>
      </c>
      <c r="BF5" s="15">
        <f t="shared" si="1"/>
        <v>0</v>
      </c>
      <c r="BG5" s="15">
        <f t="shared" si="1"/>
        <v>0</v>
      </c>
      <c r="BH5" s="15">
        <f t="shared" si="1"/>
        <v>0</v>
      </c>
      <c r="BI5" s="15">
        <f t="shared" si="1"/>
        <v>0</v>
      </c>
      <c r="BJ5" s="15">
        <f t="shared" si="1"/>
        <v>0</v>
      </c>
      <c r="BK5" s="15">
        <f t="shared" si="1"/>
        <v>0</v>
      </c>
      <c r="BL5" s="15">
        <f t="shared" si="1"/>
        <v>5138.6900000000005</v>
      </c>
      <c r="BM5" s="15">
        <f t="shared" si="1"/>
        <v>0</v>
      </c>
      <c r="BN5" s="15">
        <f t="shared" si="1"/>
        <v>0</v>
      </c>
      <c r="BO5" s="15">
        <f t="shared" si="1"/>
        <v>0</v>
      </c>
      <c r="BP5" s="15">
        <f t="shared" si="1"/>
        <v>0</v>
      </c>
      <c r="BQ5" s="15">
        <f t="shared" si="1"/>
        <v>61.82</v>
      </c>
      <c r="BR5" s="15">
        <f t="shared" si="1"/>
        <v>5076.8700000000008</v>
      </c>
      <c r="BS5" s="15">
        <f t="shared" si="1"/>
        <v>0</v>
      </c>
      <c r="BT5" s="16">
        <f t="shared" si="1"/>
        <v>0</v>
      </c>
    </row>
    <row r="6" spans="1:72" s="1588" customFormat="1" ht="12.75">
      <c r="A6" s="12" t="s">
        <v>1072</v>
      </c>
      <c r="B6" s="1585"/>
      <c r="C6" s="1585"/>
      <c r="D6" s="1586"/>
      <c r="E6" s="13">
        <f>H6+AC6+AT6</f>
        <v>16569.86</v>
      </c>
      <c r="F6" s="13" t="s">
        <v>0</v>
      </c>
      <c r="G6" s="13" t="s">
        <v>1</v>
      </c>
      <c r="H6" s="17">
        <f>SUMIF(I$12:AB$12,"总值",I6:AB6)</f>
        <v>15429.58</v>
      </c>
      <c r="I6" s="13">
        <f t="shared" ref="I6:AB6" si="2">ROUND($A$3*I5/$B$3,2)</f>
        <v>12274.92</v>
      </c>
      <c r="J6" s="13">
        <f t="shared" si="2"/>
        <v>0</v>
      </c>
      <c r="K6" s="13">
        <f t="shared" si="2"/>
        <v>1407.18</v>
      </c>
      <c r="L6" s="13">
        <f t="shared" si="2"/>
        <v>0</v>
      </c>
      <c r="M6" s="13">
        <f t="shared" si="2"/>
        <v>1747.48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1140.28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66.16</v>
      </c>
      <c r="AM6" s="13">
        <f t="shared" si="3"/>
        <v>0</v>
      </c>
      <c r="AN6" s="13">
        <f t="shared" si="3"/>
        <v>1074.1199999999999</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15955.89</v>
      </c>
      <c r="AZ6" s="13" t="s">
        <v>2</v>
      </c>
      <c r="BA6" s="13">
        <f>ROUND($AY$6*BA5/$AZ$5,2)</f>
        <v>14868.69</v>
      </c>
      <c r="BB6" s="13">
        <f>ROUND($AY$6*BB5/$AZ$5,2)</f>
        <v>12274.93</v>
      </c>
      <c r="BC6" s="13">
        <f t="shared" ref="BC6:BH6" si="4">ROUND($AY$6*BC5/$AZ$5,2)</f>
        <v>846.28</v>
      </c>
      <c r="BD6" s="13">
        <f t="shared" si="4"/>
        <v>1747.48</v>
      </c>
      <c r="BE6" s="13">
        <f t="shared" si="4"/>
        <v>0</v>
      </c>
      <c r="BF6" s="13">
        <f t="shared" si="4"/>
        <v>0</v>
      </c>
      <c r="BG6" s="13">
        <f t="shared" si="4"/>
        <v>0</v>
      </c>
      <c r="BH6" s="13">
        <f t="shared" si="4"/>
        <v>0</v>
      </c>
      <c r="BI6" s="13">
        <f t="shared" ref="BI6:BT6" si="5">ROUND($AY$6*BI5/$AZ$5,2)</f>
        <v>0</v>
      </c>
      <c r="BJ6" s="13">
        <f t="shared" si="5"/>
        <v>0</v>
      </c>
      <c r="BK6" s="13">
        <f t="shared" si="5"/>
        <v>0</v>
      </c>
      <c r="BL6" s="13">
        <f t="shared" si="5"/>
        <v>1087.2</v>
      </c>
      <c r="BM6" s="13">
        <f t="shared" si="5"/>
        <v>0</v>
      </c>
      <c r="BN6" s="13">
        <f t="shared" si="5"/>
        <v>0</v>
      </c>
      <c r="BO6" s="13">
        <f t="shared" si="5"/>
        <v>0</v>
      </c>
      <c r="BP6" s="13">
        <f t="shared" si="5"/>
        <v>0</v>
      </c>
      <c r="BQ6" s="13">
        <f t="shared" si="5"/>
        <v>13.08</v>
      </c>
      <c r="BR6" s="13">
        <f t="shared" si="5"/>
        <v>1074.1199999999999</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3384</v>
      </c>
      <c r="J9" s="809"/>
      <c r="K9" s="1602" t="s">
        <v>3384</v>
      </c>
      <c r="L9" s="809"/>
      <c r="M9" s="1602" t="s">
        <v>3446</v>
      </c>
      <c r="N9" s="809"/>
      <c r="O9" s="1602" t="s">
        <v>3446</v>
      </c>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673</v>
      </c>
      <c r="L10" s="809"/>
      <c r="M10" s="1608" t="s">
        <v>3329</v>
      </c>
      <c r="N10" s="809"/>
      <c r="O10" s="1608" t="s">
        <v>673</v>
      </c>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3445</v>
      </c>
      <c r="J11" s="1614"/>
      <c r="K11" s="1613" t="s">
        <v>3447</v>
      </c>
      <c r="L11" s="1614"/>
      <c r="M11" s="1613" t="s">
        <v>3329</v>
      </c>
      <c r="N11" s="1614"/>
      <c r="O11" s="1613" t="s">
        <v>3680</v>
      </c>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商业</v>
      </c>
      <c r="BD11" s="1598" t="str">
        <f>M10</f>
        <v>车库</v>
      </c>
      <c r="BE11" s="1598" t="str">
        <f>O10</f>
        <v>商业</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酒店</v>
      </c>
      <c r="BC12" s="1623" t="str">
        <f>K11</f>
        <v>独立商业</v>
      </c>
      <c r="BD12" s="1623" t="str">
        <f>M11</f>
        <v>车库</v>
      </c>
      <c r="BE12" s="1598" t="str">
        <f>O11</f>
        <v>底商</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t="str">
        <f>'指标-规证'!A8</f>
        <v>2-A</v>
      </c>
      <c r="D13" s="1624" t="s">
        <v>3444</v>
      </c>
      <c r="E13" s="13">
        <f>IF($C$3="是",ROUND($A$3*G13/$B$3,2),ROUND($A$3*(G13-AT13)/$B$3,2))</f>
        <v>6523.94</v>
      </c>
      <c r="F13" s="29"/>
      <c r="G13" s="30">
        <f>H13+AC13+AT13</f>
        <v>30835.68</v>
      </c>
      <c r="H13" s="17">
        <f>SUMIF(I$12:AB$12,"总值",I13:AB13)</f>
        <v>30773.86</v>
      </c>
      <c r="I13" s="1625">
        <f>'指标-规证'!D8</f>
        <v>29008.86</v>
      </c>
      <c r="J13" s="1625"/>
      <c r="K13" s="1625">
        <f>'指标-规证'!E8</f>
        <v>1765</v>
      </c>
      <c r="L13" s="1625"/>
      <c r="M13" s="1625"/>
      <c r="N13" s="1625"/>
      <c r="O13" s="1625"/>
      <c r="P13" s="1625"/>
      <c r="Q13" s="1625"/>
      <c r="R13" s="1625"/>
      <c r="S13" s="1625"/>
      <c r="T13" s="1625"/>
      <c r="U13" s="1625"/>
      <c r="V13" s="1625"/>
      <c r="W13" s="1625"/>
      <c r="X13" s="1625"/>
      <c r="Y13" s="1625"/>
      <c r="Z13" s="1625"/>
      <c r="AA13" s="1625"/>
      <c r="AB13" s="1625"/>
      <c r="AC13" s="13">
        <f>SUMIF(AD$12:AS$12,"总值",AD13:AS13)</f>
        <v>61.82</v>
      </c>
      <c r="AD13" s="1626"/>
      <c r="AE13" s="1626"/>
      <c r="AF13" s="1626"/>
      <c r="AG13" s="1626"/>
      <c r="AH13" s="1626"/>
      <c r="AI13" s="1626"/>
      <c r="AJ13" s="1626"/>
      <c r="AK13" s="1626"/>
      <c r="AL13" s="1626">
        <f>'指标-规证'!F8</f>
        <v>61.82</v>
      </c>
      <c r="AM13" s="1626"/>
      <c r="AN13" s="1626"/>
      <c r="AO13" s="1626"/>
      <c r="AP13" s="1626"/>
      <c r="AQ13" s="1626"/>
      <c r="AR13" s="1626"/>
      <c r="AS13" s="1626"/>
      <c r="AT13" s="1627"/>
      <c r="AU13" s="1628"/>
      <c r="AV13" s="8">
        <f t="shared" ref="AV13:AX17" si="6">A13</f>
        <v>0</v>
      </c>
      <c r="AW13" s="8">
        <f t="shared" si="6"/>
        <v>0</v>
      </c>
      <c r="AX13" s="8" t="str">
        <f t="shared" si="6"/>
        <v>2-A</v>
      </c>
      <c r="AY13" s="1348">
        <f>ROUND($AY$6*AZ13/$AZ$5,2)</f>
        <v>6523.94</v>
      </c>
      <c r="AZ13" s="13">
        <f>BA13+BL13</f>
        <v>30835.68</v>
      </c>
      <c r="BA13" s="13">
        <f>SUM(BB13:BK13)</f>
        <v>30773.86</v>
      </c>
      <c r="BB13" s="13">
        <f>IF($D13="是",I13-J13,0)</f>
        <v>29008.86</v>
      </c>
      <c r="BC13" s="13">
        <f>IF($D13="是",K13-L13,0)</f>
        <v>1765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61.82</v>
      </c>
      <c r="BM13" s="13">
        <f>IF($D13="是",AD13-AE13,0)</f>
        <v>0</v>
      </c>
      <c r="BN13" s="13">
        <f>IF($D13="是",AF13-AG13,0)</f>
        <v>0</v>
      </c>
      <c r="BO13" s="13">
        <f>IF($D13="是",AH13-AI13,0)</f>
        <v>0</v>
      </c>
      <c r="BP13" s="13">
        <f>IF($D13="是",AJ13-AK13,0)</f>
        <v>0</v>
      </c>
      <c r="BQ13" s="13">
        <f>IF($D13="是",AL13-AM13,0)</f>
        <v>61.82</v>
      </c>
      <c r="BR13" s="13">
        <f>IF($D13="是",AN13-AO13,0)</f>
        <v>0</v>
      </c>
      <c r="BS13" s="13">
        <f>IF($D13="是",AP13-AQ13,0)</f>
        <v>0</v>
      </c>
      <c r="BT13" s="19">
        <f>IF($D13="是",AR13-AS13,0)</f>
        <v>0</v>
      </c>
    </row>
    <row r="14" spans="1:72" s="1578" customFormat="1" ht="12.75">
      <c r="A14" s="1051"/>
      <c r="B14" s="1051"/>
      <c r="C14" s="1051" t="str">
        <f>'指标-规证'!A9</f>
        <v>2-B</v>
      </c>
      <c r="D14" s="1624" t="s">
        <v>3444</v>
      </c>
      <c r="E14" s="13">
        <f>IF($C$3="是",ROUND($A$3*G14/$B$3,2),ROUND($A$3*(G14-AT14)/$B$3,2))</f>
        <v>6610.35</v>
      </c>
      <c r="F14" s="29"/>
      <c r="G14" s="30">
        <f>H14+AC14+AT14</f>
        <v>31244.080000000002</v>
      </c>
      <c r="H14" s="17">
        <f>SUMIF(I$12:AB$12,"总值",I14:AB14)</f>
        <v>31244.080000000002</v>
      </c>
      <c r="I14" s="1625">
        <f>'指标-规证'!D9</f>
        <v>29009.08</v>
      </c>
      <c r="J14" s="1625"/>
      <c r="K14" s="1625">
        <f>'指标-规证'!E9</f>
        <v>2235</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2-B</v>
      </c>
      <c r="AY14" s="1348">
        <f>ROUND($AY$6*AZ14/$AZ$5,2)</f>
        <v>6610.35</v>
      </c>
      <c r="AZ14" s="13">
        <f>BA14+BL14</f>
        <v>31244.080000000002</v>
      </c>
      <c r="BA14" s="13">
        <f>SUM(BB14:BK14)</f>
        <v>31244.080000000002</v>
      </c>
      <c r="BB14" s="13">
        <f>IF($D14="是",I14-J14,0)</f>
        <v>29009.08</v>
      </c>
      <c r="BC14" s="13">
        <f>IF($D14="是",K14-L14,0)</f>
        <v>2235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051" t="str">
        <f>'指标-规证'!A10</f>
        <v>2-C</v>
      </c>
      <c r="D15" s="1624" t="s">
        <v>3407</v>
      </c>
      <c r="E15" s="13">
        <f>IF($C$3="是",ROUND($A$3*G15/$B$3,2),ROUND($A$3*(G15-AT15)/$B$3,2))</f>
        <v>339.58</v>
      </c>
      <c r="F15" s="29"/>
      <c r="G15" s="30">
        <f>H15+AC15+AT15</f>
        <v>1605.04</v>
      </c>
      <c r="H15" s="17">
        <f>SUMIF(I$12:AB$12,"总值",I15:AB15)</f>
        <v>1605.04</v>
      </c>
      <c r="I15" s="1625"/>
      <c r="J15" s="1625"/>
      <c r="K15" s="1625">
        <f>'指标-规证'!E10</f>
        <v>1605.04</v>
      </c>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2-C</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c r="A16" s="1051"/>
      <c r="B16" s="1051"/>
      <c r="C16" s="1051" t="str">
        <f>'指标-规证'!A11</f>
        <v>2-D</v>
      </c>
      <c r="D16" s="1624" t="s">
        <v>3407</v>
      </c>
      <c r="E16" s="13">
        <f>IF($C$3="是",ROUND($A$3*G16/$B$3,2),ROUND($A$3*(G16-AT16)/$B$3,2))</f>
        <v>274.39</v>
      </c>
      <c r="F16" s="29"/>
      <c r="G16" s="30">
        <f>H16+AC16+AT16</f>
        <v>1305.9299999999998</v>
      </c>
      <c r="H16" s="17">
        <f>SUMIF(I$12:AB$12,"总值",I16:AB16)</f>
        <v>1046.06</v>
      </c>
      <c r="I16" s="1625"/>
      <c r="J16" s="1625"/>
      <c r="K16" s="1625">
        <f>'指标-规证'!E11</f>
        <v>1046.06</v>
      </c>
      <c r="L16" s="1625"/>
      <c r="M16" s="36"/>
      <c r="N16" s="1625"/>
      <c r="O16" s="1625"/>
      <c r="P16" s="1625"/>
      <c r="Q16" s="1625"/>
      <c r="R16" s="1625"/>
      <c r="S16" s="1625"/>
      <c r="T16" s="1625"/>
      <c r="U16" s="1625"/>
      <c r="V16" s="1625"/>
      <c r="W16" s="1625"/>
      <c r="X16" s="1625"/>
      <c r="Y16" s="1625"/>
      <c r="Z16" s="1625"/>
      <c r="AA16" s="1625"/>
      <c r="AB16" s="1625"/>
      <c r="AC16" s="13">
        <f>SUMIF(AD$12:AS$12,"总值",AD16:AS16)</f>
        <v>250.87</v>
      </c>
      <c r="AD16" s="1626"/>
      <c r="AE16" s="1626"/>
      <c r="AF16" s="1626"/>
      <c r="AG16" s="1626"/>
      <c r="AH16" s="1626"/>
      <c r="AI16" s="1626"/>
      <c r="AJ16" s="1626"/>
      <c r="AK16" s="1626"/>
      <c r="AL16" s="1626">
        <f>'指标-规证'!F11</f>
        <v>250.87</v>
      </c>
      <c r="AM16" s="1626"/>
      <c r="AN16" s="1626"/>
      <c r="AO16" s="1626"/>
      <c r="AP16" s="1626"/>
      <c r="AQ16" s="1626"/>
      <c r="AR16" s="1626"/>
      <c r="AS16" s="1626"/>
      <c r="AT16" s="1627">
        <f>'指标-规证'!G9</f>
        <v>9</v>
      </c>
      <c r="AU16" s="1628"/>
      <c r="AV16" s="8">
        <f t="shared" si="6"/>
        <v>0</v>
      </c>
      <c r="AW16" s="8">
        <f t="shared" si="6"/>
        <v>0</v>
      </c>
      <c r="AX16" s="8" t="str">
        <f t="shared" si="6"/>
        <v>2-D</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051" t="str">
        <f>'指标-规证'!A12</f>
        <v>2地下车库</v>
      </c>
      <c r="D17" s="1624" t="s">
        <v>3444</v>
      </c>
      <c r="E17" s="13">
        <f>IF($C$3="是",ROUND($A$3*G17/$B$3,2),ROUND($A$3*(G17-AT17)/$B$3,2))</f>
        <v>2821.6</v>
      </c>
      <c r="F17" s="29"/>
      <c r="G17" s="30">
        <f>H17+AC17+AT17</f>
        <v>20336.41</v>
      </c>
      <c r="H17" s="17">
        <f>SUMIF(I$12:AB$12,"总值",I17:AB17)</f>
        <v>8259.5399999999991</v>
      </c>
      <c r="I17" s="1625"/>
      <c r="J17" s="1625"/>
      <c r="K17" s="1625"/>
      <c r="L17" s="1625"/>
      <c r="M17" s="1625">
        <f>'指标-规证'!J12</f>
        <v>8259.5399999999991</v>
      </c>
      <c r="N17" s="1625"/>
      <c r="O17" s="1625"/>
      <c r="P17" s="1625"/>
      <c r="Q17" s="1625"/>
      <c r="R17" s="1625"/>
      <c r="S17" s="1625"/>
      <c r="T17" s="1625"/>
      <c r="U17" s="1625"/>
      <c r="V17" s="1625"/>
      <c r="W17" s="1625"/>
      <c r="X17" s="1625"/>
      <c r="Y17" s="1625"/>
      <c r="Z17" s="1625"/>
      <c r="AA17" s="1625"/>
      <c r="AB17" s="1625"/>
      <c r="AC17" s="13">
        <f>SUMIF(AD$12:AS$12,"总值",AD17:AS17)</f>
        <v>5076.8700000000008</v>
      </c>
      <c r="AD17" s="1626"/>
      <c r="AE17" s="1626"/>
      <c r="AF17" s="1626"/>
      <c r="AG17" s="1626"/>
      <c r="AH17" s="1626"/>
      <c r="AI17" s="1626"/>
      <c r="AJ17" s="1626"/>
      <c r="AK17" s="1626"/>
      <c r="AL17" s="1626"/>
      <c r="AM17" s="1626"/>
      <c r="AN17" s="1626">
        <f>'指标-规证'!K12+'指标-规证'!I12</f>
        <v>5076.8700000000008</v>
      </c>
      <c r="AO17" s="1626"/>
      <c r="AP17" s="1626"/>
      <c r="AQ17" s="1626"/>
      <c r="AR17" s="1626"/>
      <c r="AS17" s="1626"/>
      <c r="AT17" s="1627">
        <f>'指标-规证'!G12+'指标-规证'!L12</f>
        <v>7000</v>
      </c>
      <c r="AU17" s="1628"/>
      <c r="AV17" s="8">
        <f t="shared" si="6"/>
        <v>0</v>
      </c>
      <c r="AW17" s="8">
        <f t="shared" si="6"/>
        <v>0</v>
      </c>
      <c r="AX17" s="8" t="str">
        <f t="shared" si="6"/>
        <v>2地下车库</v>
      </c>
      <c r="AY17" s="1348">
        <f>ROUND($AY$6*AZ17/$AZ$5,2)</f>
        <v>2821.6</v>
      </c>
      <c r="AZ17" s="13">
        <f>BA17+BL17</f>
        <v>13336.41</v>
      </c>
      <c r="BA17" s="13">
        <f>SUM(BB17:BK17)</f>
        <v>8259.5399999999991</v>
      </c>
      <c r="BB17" s="13">
        <f>IF($D17="是",I17-J17,0)</f>
        <v>0</v>
      </c>
      <c r="BC17" s="13">
        <f>IF($D17="是",K17-L17,0)</f>
        <v>0</v>
      </c>
      <c r="BD17" s="13">
        <f>IF($D17="是",M17-N17,0)</f>
        <v>8259.5399999999991</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5076.8700000000008</v>
      </c>
      <c r="BM17" s="13">
        <f>IF($D17="是",AD17-AE17,0)</f>
        <v>0</v>
      </c>
      <c r="BN17" s="13">
        <f>IF($D17="是",AF17-AG17,0)</f>
        <v>0</v>
      </c>
      <c r="BO17" s="13">
        <f>IF($D17="是",AH17-AI17,0)</f>
        <v>0</v>
      </c>
      <c r="BP17" s="13">
        <f>IF($D17="是",AJ17-AK17,0)</f>
        <v>0</v>
      </c>
      <c r="BQ17" s="13">
        <f>IF($D17="是",AL17-AM17,0)</f>
        <v>0</v>
      </c>
      <c r="BR17" s="13">
        <f>IF($D17="是",AN17-AO17,0)</f>
        <v>5076.8700000000008</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G9" activeCellId="2" sqref="G12 L12 G9"/>
    </sheetView>
  </sheetViews>
  <sheetFormatPr defaultRowHeight="13.5"/>
  <cols>
    <col min="2" max="2" width="11.125" customWidth="1"/>
  </cols>
  <sheetData>
    <row r="1" spans="1:16">
      <c r="A1" s="3449" t="s">
        <v>3421</v>
      </c>
      <c r="B1" s="3449" t="s">
        <v>3423</v>
      </c>
      <c r="C1" s="3449" t="s">
        <v>3424</v>
      </c>
      <c r="D1" s="3449"/>
      <c r="H1" s="3449" t="s">
        <v>3426</v>
      </c>
      <c r="I1" s="3449"/>
      <c r="M1" s="3449" t="s">
        <v>3428</v>
      </c>
    </row>
    <row r="2" spans="1:16">
      <c r="C2" s="3449" t="s">
        <v>3425</v>
      </c>
      <c r="D2" s="3449" t="s">
        <v>3439</v>
      </c>
      <c r="E2" s="3449" t="s">
        <v>3427</v>
      </c>
      <c r="F2" s="3449" t="s">
        <v>3438</v>
      </c>
      <c r="G2" s="3449" t="s">
        <v>3440</v>
      </c>
      <c r="H2" s="3449" t="s">
        <v>3425</v>
      </c>
      <c r="I2" s="3449" t="s">
        <v>3443</v>
      </c>
      <c r="J2" s="3449" t="s">
        <v>3441</v>
      </c>
      <c r="K2" s="3449" t="s">
        <v>3438</v>
      </c>
      <c r="L2" s="3449" t="s">
        <v>3442</v>
      </c>
      <c r="M2" s="3449" t="s">
        <v>3424</v>
      </c>
      <c r="N2" s="3449" t="s">
        <v>3429</v>
      </c>
    </row>
    <row r="3" spans="1:16">
      <c r="A3" s="3449" t="s">
        <v>3422</v>
      </c>
      <c r="B3">
        <f>C3+H3</f>
        <v>1069.8499999999999</v>
      </c>
      <c r="C3">
        <f>SUM(D3:G3)</f>
        <v>1069.8499999999999</v>
      </c>
      <c r="E3">
        <v>1069.8499999999999</v>
      </c>
      <c r="H3">
        <f>SUM(I3:L3)</f>
        <v>0</v>
      </c>
      <c r="M3">
        <v>1</v>
      </c>
      <c r="N3">
        <v>-1</v>
      </c>
    </row>
    <row r="4" spans="1:16">
      <c r="A4" s="3449" t="s">
        <v>3430</v>
      </c>
      <c r="B4">
        <f t="shared" ref="B4:B12" si="0">C4+H4</f>
        <v>2266.98</v>
      </c>
      <c r="C4">
        <f t="shared" ref="C4:C12" si="1">SUM(D4:G4)</f>
        <v>2266.98</v>
      </c>
      <c r="E4">
        <v>2156.15</v>
      </c>
      <c r="F4">
        <f>58.56+52.27</f>
        <v>110.83000000000001</v>
      </c>
      <c r="H4">
        <f t="shared" ref="H4:H12" si="2">SUM(I4:L4)</f>
        <v>0</v>
      </c>
      <c r="M4">
        <v>2</v>
      </c>
      <c r="N4">
        <v>-1</v>
      </c>
    </row>
    <row r="5" spans="1:16" s="3462" customFormat="1">
      <c r="A5" s="3461" t="s">
        <v>3431</v>
      </c>
      <c r="B5" s="3462">
        <f t="shared" si="0"/>
        <v>34675.24</v>
      </c>
      <c r="C5" s="3462">
        <f t="shared" si="1"/>
        <v>34675.24</v>
      </c>
      <c r="D5" s="3462">
        <f>34675.24-F5</f>
        <v>34621.879999999997</v>
      </c>
      <c r="F5" s="3462">
        <v>53.36</v>
      </c>
      <c r="H5" s="3462">
        <f t="shared" si="2"/>
        <v>0</v>
      </c>
      <c r="M5" s="3462">
        <v>23</v>
      </c>
      <c r="N5" s="3462">
        <v>-1</v>
      </c>
    </row>
    <row r="6" spans="1:16">
      <c r="A6" s="3449" t="s">
        <v>3432</v>
      </c>
      <c r="B6">
        <f t="shared" si="0"/>
        <v>6998.12</v>
      </c>
      <c r="C6">
        <f t="shared" si="1"/>
        <v>81.040000000000006</v>
      </c>
      <c r="G6">
        <v>81.040000000000006</v>
      </c>
      <c r="H6">
        <f t="shared" si="2"/>
        <v>6917.08</v>
      </c>
      <c r="J6">
        <f>5035.67-L6</f>
        <v>842.71</v>
      </c>
      <c r="K6">
        <f>1683.41+198</f>
        <v>1881.41</v>
      </c>
      <c r="L6">
        <v>4192.96</v>
      </c>
      <c r="M6">
        <v>1</v>
      </c>
      <c r="N6">
        <v>-1</v>
      </c>
      <c r="P6">
        <f>120-112</f>
        <v>8</v>
      </c>
    </row>
    <row r="7" spans="1:16">
      <c r="B7">
        <f t="shared" si="0"/>
        <v>0</v>
      </c>
      <c r="C7">
        <f t="shared" si="1"/>
        <v>0</v>
      </c>
      <c r="H7">
        <f t="shared" si="2"/>
        <v>0</v>
      </c>
    </row>
    <row r="8" spans="1:16" s="3462" customFormat="1">
      <c r="A8" s="3461" t="s">
        <v>3433</v>
      </c>
      <c r="B8" s="3462">
        <f t="shared" si="0"/>
        <v>30835.68</v>
      </c>
      <c r="C8" s="3462">
        <f t="shared" si="1"/>
        <v>30835.68</v>
      </c>
      <c r="D8" s="3462">
        <f>29070.68-F8</f>
        <v>29008.86</v>
      </c>
      <c r="E8" s="3462">
        <v>1765</v>
      </c>
      <c r="F8" s="3462">
        <v>61.82</v>
      </c>
      <c r="H8" s="3462">
        <f t="shared" si="2"/>
        <v>0</v>
      </c>
      <c r="M8" s="3462">
        <v>25</v>
      </c>
      <c r="N8" s="3462">
        <v>-2</v>
      </c>
    </row>
    <row r="9" spans="1:16" s="3462" customFormat="1">
      <c r="A9" s="3461" t="s">
        <v>3434</v>
      </c>
      <c r="B9" s="3462">
        <f t="shared" si="0"/>
        <v>31253.08</v>
      </c>
      <c r="C9" s="3462">
        <f t="shared" si="1"/>
        <v>31253.08</v>
      </c>
      <c r="D9" s="3462">
        <v>29009.08</v>
      </c>
      <c r="E9" s="3462">
        <v>2235</v>
      </c>
      <c r="G9" s="3462">
        <v>9</v>
      </c>
      <c r="H9" s="3462">
        <f t="shared" si="2"/>
        <v>0</v>
      </c>
      <c r="M9" s="3462">
        <v>25</v>
      </c>
      <c r="N9" s="3462">
        <v>-2</v>
      </c>
    </row>
    <row r="10" spans="1:16">
      <c r="A10" s="3449" t="s">
        <v>3435</v>
      </c>
      <c r="B10">
        <f t="shared" si="0"/>
        <v>1605.04</v>
      </c>
      <c r="C10">
        <f t="shared" si="1"/>
        <v>1605.04</v>
      </c>
      <c r="E10">
        <v>1605.04</v>
      </c>
      <c r="H10">
        <f t="shared" si="2"/>
        <v>0</v>
      </c>
      <c r="M10">
        <v>2</v>
      </c>
      <c r="N10">
        <v>-2</v>
      </c>
    </row>
    <row r="11" spans="1:16">
      <c r="A11" s="3449" t="s">
        <v>3436</v>
      </c>
      <c r="B11">
        <f t="shared" si="0"/>
        <v>1296.9299999999998</v>
      </c>
      <c r="C11">
        <f t="shared" si="1"/>
        <v>1296.9299999999998</v>
      </c>
      <c r="E11">
        <v>1046.06</v>
      </c>
      <c r="F11">
        <v>250.87</v>
      </c>
      <c r="H11">
        <f t="shared" si="2"/>
        <v>0</v>
      </c>
      <c r="M11">
        <v>1</v>
      </c>
      <c r="N11">
        <v>-2</v>
      </c>
    </row>
    <row r="12" spans="1:16">
      <c r="A12" s="3449" t="s">
        <v>3437</v>
      </c>
      <c r="B12">
        <f t="shared" si="0"/>
        <v>20336.409999999996</v>
      </c>
      <c r="C12">
        <f t="shared" si="1"/>
        <v>215.17</v>
      </c>
      <c r="G12">
        <v>215.17</v>
      </c>
      <c r="H12">
        <f t="shared" si="2"/>
        <v>20121.239999999998</v>
      </c>
      <c r="I12">
        <v>1766.23</v>
      </c>
      <c r="J12">
        <f>6792.53+8251.84-L12</f>
        <v>8259.5399999999991</v>
      </c>
      <c r="K12">
        <f>1343.19+1646.45+321</f>
        <v>3310.6400000000003</v>
      </c>
      <c r="L12">
        <v>6784.83</v>
      </c>
      <c r="M12">
        <v>1</v>
      </c>
      <c r="N12">
        <v>-2</v>
      </c>
      <c r="P12">
        <f>161+197-178</f>
        <v>180</v>
      </c>
    </row>
    <row r="13" spans="1:16">
      <c r="B13">
        <f>SUM(B3:B12)</f>
        <v>130337.32999999999</v>
      </c>
    </row>
  </sheetData>
  <phoneticPr fontId="134" type="noConversion"/>
  <pageMargins left="0.7" right="0.7" top="0.75" bottom="0.75" header="0.3" footer="0.3"/>
  <pageSetup paperSize="9" orientation="portrait" verticalDpi="0" r:id="rId1"/>
  <ignoredErrors>
    <ignoredError sqref="H3:H5 H8:H11"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1"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8" t="s">
        <v>1108</v>
      </c>
      <c r="F2" s="2651"/>
      <c r="G2" s="2642"/>
      <c r="H2" s="2643"/>
      <c r="I2" s="2322" t="s">
        <v>1132</v>
      </c>
      <c r="J2" s="2651"/>
      <c r="K2" s="2651"/>
      <c r="L2" s="2651"/>
      <c r="M2" s="2651"/>
      <c r="N2" s="2653"/>
      <c r="O2" s="2651"/>
      <c r="P2" s="2651"/>
    </row>
    <row r="3" spans="1:16" ht="15.75" thickBot="1">
      <c r="A3" s="3551" t="s">
        <v>1105</v>
      </c>
      <c r="B3" s="3551"/>
      <c r="C3" s="3551"/>
      <c r="D3" s="43">
        <f>'数据-基础表'!AY6</f>
        <v>15955.89</v>
      </c>
      <c r="E3" s="43">
        <f>'数据-基础表'!AZ5</f>
        <v>75416.17</v>
      </c>
      <c r="F3" s="2651"/>
      <c r="G3" s="1145"/>
      <c r="H3" s="1026" t="s">
        <v>1106</v>
      </c>
      <c r="I3" s="855">
        <f>ROUND('数据-基础表'!B3/'数据-基础表'!A3,2)</f>
        <v>4.7300000000000004</v>
      </c>
      <c r="J3" s="2651"/>
      <c r="K3" s="2651"/>
      <c r="L3" s="2651"/>
      <c r="M3" s="2651"/>
      <c r="N3" s="2653"/>
      <c r="O3" s="2651"/>
      <c r="P3" s="2651"/>
    </row>
    <row r="4" spans="1:16" ht="15">
      <c r="A4" s="3552"/>
      <c r="B4" s="3553"/>
      <c r="C4" s="3554"/>
      <c r="D4" s="1640" t="s">
        <v>1107</v>
      </c>
      <c r="E4" s="1641" t="s">
        <v>1108</v>
      </c>
      <c r="F4" s="2651"/>
      <c r="G4" s="2644" t="s">
        <v>1133</v>
      </c>
      <c r="H4" s="1026" t="s">
        <v>1113</v>
      </c>
      <c r="I4" s="855">
        <f>ROUND(SUMIF('数据-基础表'!I9:AS9,"地上",'数据-基础表'!I5:AS5)/'数据-基础表'!A3,2)</f>
        <v>3.92</v>
      </c>
      <c r="J4" s="2651"/>
      <c r="K4" s="2651"/>
      <c r="L4" s="2651"/>
      <c r="M4" s="2651"/>
      <c r="N4" s="2653"/>
      <c r="O4" s="2651"/>
      <c r="P4" s="2651"/>
    </row>
    <row r="5" spans="1:16">
      <c r="A5" s="44" t="s">
        <v>1109</v>
      </c>
      <c r="B5" s="3555" t="s">
        <v>1110</v>
      </c>
      <c r="C5" s="3555"/>
      <c r="D5" s="45">
        <f>ROUND($D$3*E5/$E$3,2)</f>
        <v>0</v>
      </c>
      <c r="E5" s="46">
        <f>SUMIF('数据-基础表'!$11:$11,"住宅",'数据-基础表'!$5:$5)</f>
        <v>0</v>
      </c>
      <c r="F5" s="2651"/>
      <c r="G5" s="1145"/>
      <c r="H5" s="1026" t="s">
        <v>1106</v>
      </c>
      <c r="I5" s="855">
        <f>ROUND(E31/D31,2)</f>
        <v>4.7300000000000004</v>
      </c>
      <c r="J5" s="2651"/>
      <c r="K5" s="2651"/>
      <c r="L5" s="2651"/>
      <c r="M5" s="2651"/>
      <c r="N5" s="2651"/>
      <c r="O5" s="2651"/>
      <c r="P5" s="2651"/>
    </row>
    <row r="6" spans="1:16" ht="15" thickBot="1">
      <c r="A6" s="1643"/>
      <c r="B6" s="3555" t="s">
        <v>1111</v>
      </c>
      <c r="C6" s="3555"/>
      <c r="D6" s="45">
        <f>ROUND($D$3*E6/$E$3,2)</f>
        <v>15955.89</v>
      </c>
      <c r="E6" s="46">
        <f>E3-E5</f>
        <v>75416.17</v>
      </c>
      <c r="F6" s="2651"/>
      <c r="G6" s="2645" t="s">
        <v>1112</v>
      </c>
      <c r="H6" s="1146" t="s">
        <v>1113</v>
      </c>
      <c r="I6" s="2646">
        <f>ROUND(F31/D31,2)</f>
        <v>3.89</v>
      </c>
      <c r="J6" s="2651"/>
      <c r="K6" s="2651"/>
      <c r="L6" s="2651"/>
      <c r="M6" s="2651"/>
      <c r="N6" s="2651"/>
      <c r="O6" s="2651"/>
      <c r="P6" s="2651"/>
    </row>
    <row r="7" spans="1:16" ht="15.75" thickBot="1">
      <c r="A7" s="3547"/>
      <c r="B7" s="3548"/>
      <c r="C7" s="3549"/>
      <c r="D7" s="1640" t="s">
        <v>1107</v>
      </c>
      <c r="E7" s="1644"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13121.21</v>
      </c>
      <c r="E8" s="48">
        <f>SUMIF('数据-基础表'!BB10:BK10,"地上",'数据-基础表'!BB5:BK5)</f>
        <v>62017.94</v>
      </c>
      <c r="F8" s="2651"/>
      <c r="G8" s="2652"/>
      <c r="H8" s="2652"/>
      <c r="I8" s="2651"/>
      <c r="J8" s="2651"/>
      <c r="K8" s="2651"/>
      <c r="L8" s="2651"/>
      <c r="M8" s="2651"/>
      <c r="N8" s="2651"/>
      <c r="O8" s="2651"/>
      <c r="P8" s="2651"/>
    </row>
    <row r="9" spans="1:16">
      <c r="A9" s="1645"/>
      <c r="B9" s="1646"/>
      <c r="C9" s="45" t="s">
        <v>1119</v>
      </c>
      <c r="D9" s="45">
        <f t="shared" si="0"/>
        <v>0</v>
      </c>
      <c r="E9" s="49">
        <v>0</v>
      </c>
      <c r="F9" s="2651"/>
      <c r="G9" s="2652"/>
      <c r="H9" s="2652"/>
      <c r="I9" s="2651"/>
      <c r="J9" s="2651"/>
      <c r="K9" s="2651"/>
      <c r="L9" s="2651"/>
      <c r="M9" s="2651"/>
      <c r="N9" s="2651"/>
      <c r="O9" s="2651"/>
      <c r="P9" s="2651"/>
    </row>
    <row r="10" spans="1:16">
      <c r="A10" s="1645"/>
      <c r="B10" s="1646"/>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5"/>
      <c r="B11" s="1646"/>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5"/>
      <c r="B12" s="1646"/>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5"/>
      <c r="B13" s="1646"/>
      <c r="C13" s="45" t="s">
        <v>1122</v>
      </c>
      <c r="D13" s="45">
        <f t="shared" si="0"/>
        <v>1747.48</v>
      </c>
      <c r="E13" s="48">
        <f>SUMPRODUCT(('数据-基础表'!BB10:BK10="地下")*('数据-基础表'!BB11:BK11="车库")*('数据-基础表'!BB5:BK5))</f>
        <v>8259.5399999999991</v>
      </c>
      <c r="F13" s="2651"/>
      <c r="G13" s="2652"/>
      <c r="H13" s="2652"/>
      <c r="I13" s="2651"/>
      <c r="J13" s="2651"/>
      <c r="K13" s="2651"/>
      <c r="L13" s="2651"/>
      <c r="M13" s="2651"/>
      <c r="N13" s="2651"/>
      <c r="O13" s="2651"/>
      <c r="P13" s="2651"/>
    </row>
    <row r="14" spans="1:16">
      <c r="A14" s="1645"/>
      <c r="B14" s="1646"/>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5"/>
      <c r="B15" s="1646"/>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3"/>
      <c r="B16" s="1646"/>
      <c r="C16" s="47" t="s">
        <v>1123</v>
      </c>
      <c r="D16" s="47">
        <f>SUM(D8:D15)</f>
        <v>14868.689999999999</v>
      </c>
      <c r="E16" s="50">
        <f>SUM(E8:E15)</f>
        <v>70277.48</v>
      </c>
      <c r="F16" s="2651"/>
      <c r="G16" s="2652"/>
      <c r="H16" s="1647" t="s">
        <v>1135</v>
      </c>
      <c r="I16" s="1648"/>
      <c r="J16" s="1139"/>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9"/>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09" t="s">
        <v>3449</v>
      </c>
      <c r="D19" s="45">
        <f>ROUND($D$3*E19/$E$3,2)</f>
        <v>12274.93</v>
      </c>
      <c r="E19" s="53">
        <f t="shared" ref="E19:E26" si="1">SUM(F19:G19)</f>
        <v>58017.94</v>
      </c>
      <c r="F19" s="2787">
        <f>'数据-基础表'!BB5</f>
        <v>58017.94</v>
      </c>
      <c r="G19" s="2788"/>
      <c r="H19" s="670">
        <f>ROUND($D$3*I19/$E$3,2)</f>
        <v>897.54</v>
      </c>
      <c r="I19" s="48">
        <f t="shared" ref="I19:I26" si="2">IF($I$17="自定义",P19,M19)</f>
        <v>4242.2700000000004</v>
      </c>
      <c r="J19" s="1139"/>
      <c r="K19" s="1138">
        <f t="shared" ref="K19:K26" si="3">ROUND(E$28*E19/E$27,2)</f>
        <v>4242.2700000000004</v>
      </c>
      <c r="L19" s="1026">
        <f t="shared" ref="L19:L26" si="4">ROUND(IF(COUNTIF(C19,"*住宅*")&gt;0,E$29*E19/E$32,0),2)</f>
        <v>0</v>
      </c>
      <c r="M19" s="1150">
        <f>K19+L19</f>
        <v>4242.2700000000004</v>
      </c>
      <c r="N19" s="1667"/>
      <c r="O19" s="1668"/>
      <c r="P19" s="1150">
        <f>N19+O19</f>
        <v>0</v>
      </c>
      <c r="R19" s="1026">
        <f t="shared" ref="R19:S26" si="5">D19+H19</f>
        <v>13172.470000000001</v>
      </c>
      <c r="S19" s="1027">
        <f t="shared" si="5"/>
        <v>62260.210000000006</v>
      </c>
    </row>
    <row r="20" spans="1:19">
      <c r="A20" s="1669"/>
      <c r="B20" s="47" t="s">
        <v>1153</v>
      </c>
      <c r="C20" s="3409" t="s">
        <v>3451</v>
      </c>
      <c r="D20" s="45">
        <f t="shared" ref="D20:D26" si="6">ROUND($D$3*E20/$E$3,2)</f>
        <v>846.28</v>
      </c>
      <c r="E20" s="53">
        <f t="shared" si="1"/>
        <v>4000</v>
      </c>
      <c r="F20" s="2787">
        <f>'数据-基础表'!BC5</f>
        <v>4000</v>
      </c>
      <c r="G20" s="2788"/>
      <c r="H20" s="670">
        <f t="shared" ref="H20:H26" si="7">ROUND($D$3*I20/$E$3,2)</f>
        <v>61.88</v>
      </c>
      <c r="I20" s="48">
        <f t="shared" si="2"/>
        <v>292.48</v>
      </c>
      <c r="J20" s="1139"/>
      <c r="K20" s="1138">
        <f t="shared" si="3"/>
        <v>292.48</v>
      </c>
      <c r="L20" s="1026">
        <f t="shared" si="4"/>
        <v>0</v>
      </c>
      <c r="M20" s="1150">
        <f t="shared" ref="M20:M26" si="8">K20+L20</f>
        <v>292.48</v>
      </c>
      <c r="N20" s="1667"/>
      <c r="O20" s="1668"/>
      <c r="P20" s="1150">
        <f t="shared" ref="P20:P26" si="9">N20+O20</f>
        <v>0</v>
      </c>
      <c r="R20" s="1026">
        <f t="shared" si="5"/>
        <v>908.16</v>
      </c>
      <c r="S20" s="1027">
        <f t="shared" si="5"/>
        <v>4292.4799999999996</v>
      </c>
    </row>
    <row r="21" spans="1:19">
      <c r="A21" s="1669"/>
      <c r="B21" s="47" t="s">
        <v>1153</v>
      </c>
      <c r="C21" s="3409" t="s">
        <v>3453</v>
      </c>
      <c r="D21" s="45">
        <f t="shared" si="6"/>
        <v>1747.48</v>
      </c>
      <c r="E21" s="53">
        <f t="shared" si="1"/>
        <v>8259.5399999999991</v>
      </c>
      <c r="F21" s="2787"/>
      <c r="G21" s="2788">
        <f>'数据-基础表'!BD5</f>
        <v>8259.5399999999991</v>
      </c>
      <c r="H21" s="670">
        <f t="shared" si="7"/>
        <v>127.78</v>
      </c>
      <c r="I21" s="48">
        <f t="shared" si="2"/>
        <v>603.94000000000005</v>
      </c>
      <c r="J21" s="1139"/>
      <c r="K21" s="1138">
        <f t="shared" si="3"/>
        <v>603.94000000000005</v>
      </c>
      <c r="L21" s="1026">
        <f t="shared" si="4"/>
        <v>0</v>
      </c>
      <c r="M21" s="1150">
        <f t="shared" si="8"/>
        <v>603.94000000000005</v>
      </c>
      <c r="N21" s="1667"/>
      <c r="O21" s="1668"/>
      <c r="P21" s="1150">
        <f t="shared" si="9"/>
        <v>0</v>
      </c>
      <c r="R21" s="1026">
        <f t="shared" si="5"/>
        <v>1875.26</v>
      </c>
      <c r="S21" s="1027">
        <f t="shared" si="5"/>
        <v>8863.48</v>
      </c>
    </row>
    <row r="22" spans="1:19">
      <c r="A22" s="1669"/>
      <c r="B22" s="47" t="s">
        <v>1153</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14868.69</v>
      </c>
      <c r="E27" s="1141">
        <f>IF(SUM(E19:E26)='数据-基础表'!BA5,SUM(E19:E26),IF(F27="地上面积有误","面积有误","地下面积有误"))</f>
        <v>70277.48</v>
      </c>
      <c r="F27" s="1140">
        <f>IF(SUM(F19:F26)=E8,SUM(F19:F26),"地上面积有误")</f>
        <v>62017.94</v>
      </c>
      <c r="G27" s="1142">
        <f>SUM(G19:G26)</f>
        <v>8259.5399999999991</v>
      </c>
      <c r="H27" s="1143">
        <f>SUM(H19:H26)</f>
        <v>1087.2</v>
      </c>
      <c r="I27" s="1144">
        <f>SUM(I19:I26)</f>
        <v>5138.6900000000005</v>
      </c>
      <c r="J27" s="1139"/>
      <c r="K27" s="1147">
        <f>SUM(K19:K26)</f>
        <v>5138.6900000000005</v>
      </c>
      <c r="L27" s="1148">
        <f>SUM(L19:L26)</f>
        <v>0</v>
      </c>
      <c r="M27" s="1151">
        <f>SUM(M19:M26)</f>
        <v>5138.6900000000005</v>
      </c>
      <c r="N27" s="1147">
        <f t="shared" ref="N27:O27" si="10">SUM(N19:N26)</f>
        <v>0</v>
      </c>
      <c r="O27" s="1148">
        <f t="shared" si="10"/>
        <v>0</v>
      </c>
      <c r="P27" s="1149">
        <f>SUM(P19:P26)</f>
        <v>0</v>
      </c>
      <c r="R27" s="1028">
        <f>IF(SUM(R19:R26)=$D$3,SUM(R19:R26),SUM(R19:R26)&amp;"误差"&amp;ROUND(SUM(R19:R26)-$D$3,2))</f>
        <v>15955.890000000001</v>
      </c>
      <c r="S27" s="1026">
        <f>IF(SUM(S19:S26)=$E$3,SUM(S19:S26),SUM(S19:S26)&amp;"误差"&amp;ROUND(SUM(S19:S26)-E3,2))</f>
        <v>75416.17</v>
      </c>
    </row>
    <row r="28" spans="1:19">
      <c r="A28" s="1669"/>
      <c r="B28" s="47" t="s">
        <v>1155</v>
      </c>
      <c r="C28" s="1038" t="s">
        <v>1156</v>
      </c>
      <c r="D28" s="45">
        <f>ROUND($D$3*E28/$E$3,2)</f>
        <v>1087.2</v>
      </c>
      <c r="E28" s="53">
        <f>SUM(F28:G28)</f>
        <v>5138.6900000000005</v>
      </c>
      <c r="F28" s="56">
        <f>'数据-基础表'!BQ5+'数据-基础表'!BS5</f>
        <v>61.82</v>
      </c>
      <c r="G28" s="57">
        <f>'数据-基础表'!BR5+'数据-基础表'!BT5</f>
        <v>5076.8700000000008</v>
      </c>
      <c r="H28" s="2651"/>
      <c r="I28" s="2651"/>
      <c r="J28" s="2651"/>
      <c r="K28" s="2651"/>
      <c r="L28" s="2651"/>
      <c r="M28" s="2651"/>
      <c r="N28" s="2651"/>
      <c r="O28" s="2651"/>
      <c r="P28" s="2651"/>
    </row>
    <row r="29" spans="1:19">
      <c r="A29" s="1669"/>
      <c r="B29" s="47" t="s">
        <v>1155</v>
      </c>
      <c r="C29" s="1673"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9"/>
      <c r="B30" s="47"/>
      <c r="C30" s="1674" t="s">
        <v>1154</v>
      </c>
      <c r="D30" s="1140">
        <f>SUM(D28:D29)</f>
        <v>1087.2</v>
      </c>
      <c r="E30" s="1140">
        <f>SUM(E28:E29)</f>
        <v>5138.6900000000005</v>
      </c>
      <c r="F30" s="1140">
        <f>SUM(F28:F29)</f>
        <v>61.82</v>
      </c>
      <c r="G30" s="1142">
        <f>SUM(G28:G29)</f>
        <v>5076.8700000000008</v>
      </c>
      <c r="H30" s="2651"/>
      <c r="I30" s="2651"/>
      <c r="J30" s="2651"/>
      <c r="K30" s="2651"/>
      <c r="L30" s="2651"/>
      <c r="M30" s="2651"/>
      <c r="N30" s="2651"/>
      <c r="O30" s="2651"/>
      <c r="P30" s="2651"/>
    </row>
    <row r="31" spans="1:19" ht="15.75" thickBot="1">
      <c r="A31" s="1675"/>
      <c r="B31" s="1676"/>
      <c r="C31" s="835" t="s">
        <v>1158</v>
      </c>
      <c r="D31" s="676">
        <f>D27+D30</f>
        <v>15955.890000000001</v>
      </c>
      <c r="E31" s="676">
        <f>E27+E30</f>
        <v>75416.17</v>
      </c>
      <c r="F31" s="677">
        <f>F27+F30</f>
        <v>62079.76</v>
      </c>
      <c r="G31" s="678">
        <f>G27+G30</f>
        <v>13336.41</v>
      </c>
      <c r="H31" s="2651"/>
      <c r="I31" s="2651"/>
      <c r="J31" s="2651"/>
      <c r="K31" s="2651"/>
      <c r="L31" s="2651"/>
      <c r="M31" s="2651"/>
      <c r="N31" s="2651"/>
      <c r="O31" s="2651"/>
      <c r="P31" s="2651"/>
    </row>
    <row r="32" spans="1:19">
      <c r="A32" s="1642"/>
      <c r="B32" s="1642" t="s">
        <v>1159</v>
      </c>
      <c r="C32" s="1642"/>
      <c r="D32" s="1642"/>
      <c r="E32" s="1053">
        <f>SUMIF(C19:C26,"*住宅*",E19:E26)</f>
        <v>0</v>
      </c>
      <c r="F32" s="1642"/>
      <c r="G32" s="1642"/>
      <c r="H32" s="2651"/>
      <c r="I32" s="2651"/>
      <c r="J32" s="2651"/>
      <c r="K32" s="2651"/>
      <c r="L32" s="2651"/>
      <c r="M32" s="2651"/>
      <c r="N32" s="2651"/>
      <c r="O32" s="2651"/>
      <c r="P32" s="2651"/>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3"/>
      <c r="AO1" s="2663"/>
      <c r="AP1" s="2663"/>
      <c r="AQ1" s="2663"/>
      <c r="AR1" s="2663"/>
    </row>
    <row r="2" spans="1:67" s="1558" customFormat="1" ht="15.75" thickBot="1">
      <c r="A2" s="1682" t="s">
        <v>1161</v>
      </c>
      <c r="B2" s="1045">
        <f>项目基本情况!D3</f>
        <v>45160</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5"/>
      <c r="AO2" s="2665"/>
      <c r="AP2" s="2665"/>
      <c r="AQ2" s="2665"/>
      <c r="AR2" s="2665"/>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5"/>
      <c r="AO3" s="2665"/>
      <c r="AP3" s="2665"/>
      <c r="AQ3" s="2665"/>
      <c r="AR3" s="2665"/>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0"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5"/>
      <c r="AO4" s="2665"/>
      <c r="AP4" s="2665"/>
      <c r="AQ4" s="2665"/>
      <c r="AR4" s="2665"/>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长租公寓</v>
      </c>
      <c r="B6" s="1712" t="str">
        <f>IF(A6=0,"","经营性")</f>
        <v>经营性</v>
      </c>
      <c r="C6" s="1713" t="s">
        <v>21</v>
      </c>
      <c r="D6" s="858">
        <f>SUMIF(项目基本情况!C$12:I$12,C6,项目基本情况!C$14:I$14)</f>
        <v>50</v>
      </c>
      <c r="E6" s="857">
        <f>IF(B6="","",SUMIF(项目基本情况!C$12:I$12,C6,项目基本情况!C$13:I$13))</f>
        <v>62591</v>
      </c>
      <c r="F6" s="64">
        <f>SUMIF(项目基本情况!C$12:I$12,C6,项目基本情况!C$15:I$15)</f>
        <v>47.75</v>
      </c>
      <c r="G6" s="65">
        <f>IF(ISERROR(ROUND(POWER(1+H6,D6-F6)*(POWER(1+H6,F6)-1)/(POWER(1+H6,D6)-1),3)),0,ROUND(POWER(1+H6,D6-F6)*(POWER(1+H6,F6)-1)/(POWER(1+H6,D6)-1),3))</f>
        <v>0.98899999999999999</v>
      </c>
      <c r="H6" s="732">
        <v>0.05</v>
      </c>
      <c r="I6" s="732">
        <v>5.5E-2</v>
      </c>
      <c r="J6" s="66">
        <v>7.0000000000000007E-2</v>
      </c>
      <c r="K6" s="1030">
        <f>SUMIF('数据-汇总表'!C$19:C$33,A6,'数据-汇总表'!E$19:E$33)</f>
        <v>58017.94</v>
      </c>
      <c r="L6" s="733">
        <v>4800</v>
      </c>
      <c r="M6" s="67">
        <f t="shared" ref="M6:M14" si="0">ROUND(K6*L6/10000,0)</f>
        <v>27849</v>
      </c>
      <c r="N6" s="731">
        <f>N19</f>
        <v>1</v>
      </c>
      <c r="O6" s="67" t="str">
        <f>IF($N$5="成新度","——",ROUND(M6*N6,0))</f>
        <v>——</v>
      </c>
      <c r="P6" s="68" t="str">
        <f>IF($N$5="成新度","——",M6-O6)</f>
        <v>——</v>
      </c>
      <c r="Q6" s="734">
        <v>0.15</v>
      </c>
      <c r="R6" s="69">
        <f ca="1">SUMIF('数据-汇总表'!C$19:C$33,A6,'数据-汇总表'!R$19:R$27)</f>
        <v>13172.470000000001</v>
      </c>
      <c r="S6" s="51">
        <f>IF('数据-汇总表'!$I$17="按面积比例",SUMIF('数据-汇总表'!C$19:C$33,A6,'数据-汇总表'!K$19:K$33),SUMIF('数据-汇总表'!C$19:C$33,A6,'数据-汇总表'!N$19:N$33))</f>
        <v>4242.2700000000004</v>
      </c>
      <c r="T6" s="1172">
        <f>ROUND($L$14*S6/10000,0)</f>
        <v>1697</v>
      </c>
      <c r="U6" s="3420">
        <v>4</v>
      </c>
      <c r="V6" s="70">
        <v>2.5000000000000001E-2</v>
      </c>
      <c r="W6" s="70">
        <v>0.1</v>
      </c>
      <c r="X6" s="1040"/>
      <c r="Y6" s="71">
        <f>N6</f>
        <v>1</v>
      </c>
      <c r="Z6" s="72"/>
      <c r="AA6" s="66"/>
      <c r="AB6" s="66"/>
      <c r="AC6" s="1040"/>
      <c r="AD6" s="73"/>
      <c r="AE6" s="1041">
        <f ca="1">IF(AN6="",0,SUMIF(INDIRECT("'"&amp;AN6&amp;"'"&amp;"!E:E"),$AE$5,INDIRECT("'"&amp;AN6&amp;"'"&amp;"!F:F")))</f>
        <v>47.75</v>
      </c>
      <c r="AF6" s="1347"/>
      <c r="AG6" s="138">
        <f>IF(AF6="",0,AE6-AF6)</f>
        <v>0</v>
      </c>
      <c r="AH6" s="74"/>
      <c r="AI6" s="76">
        <v>365</v>
      </c>
      <c r="AJ6" s="77"/>
      <c r="AK6" s="78">
        <v>5.0000000000000001E-3</v>
      </c>
      <c r="AL6" s="79">
        <v>1E-3</v>
      </c>
      <c r="AM6" s="80">
        <v>0.01</v>
      </c>
      <c r="AN6" s="1714" t="s">
        <v>3454</v>
      </c>
      <c r="AO6" s="52">
        <f ca="1">SUMIF(INDIRECT("'"&amp;AN6&amp;"'"&amp;"!A:A"),"总价",INDIRECT("'"&amp;AN6&amp;"'"&amp;"!B:B"))</f>
        <v>150763</v>
      </c>
      <c r="AP6" s="1715">
        <f>IF(C6="住宅",K6*L6,0)</f>
        <v>0</v>
      </c>
      <c r="AQ6" s="52">
        <f>ROUND($L$14*$N$14*S6/10000,0)</f>
        <v>1697</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1层商业</v>
      </c>
      <c r="B7" s="1712" t="str">
        <f t="shared" ref="B7:B13" si="1">IF(A7=0,"","经营性")</f>
        <v>经营性</v>
      </c>
      <c r="C7" s="1713" t="s">
        <v>673</v>
      </c>
      <c r="D7" s="858">
        <f>SUMIF(项目基本情况!C$12:I$12,C7,项目基本情况!C$14:I$14)</f>
        <v>40</v>
      </c>
      <c r="E7" s="857">
        <f>IF(B7="","",SUMIF(项目基本情况!C$12:I$12,C7,项目基本情况!C$13:I$13))</f>
        <v>58939</v>
      </c>
      <c r="F7" s="64">
        <f>SUMIF(项目基本情况!C$12:I$12,C7,项目基本情况!C$15:I$15)</f>
        <v>37.75</v>
      </c>
      <c r="G7" s="65">
        <f t="shared" ref="G7:G11" si="2">IF(ISERROR(ROUND(POWER(1+H7,D7-F7)*(POWER(1+H7,F7)-1)/(POWER(1+H7,D7)-1),3)),0,ROUND(POWER(1+H7,D7-F7)*(POWER(1+H7,F7)-1)/(POWER(1+H7,D7)-1),3))</f>
        <v>0.98299999999999998</v>
      </c>
      <c r="H7" s="732">
        <v>5.5E-2</v>
      </c>
      <c r="I7" s="732">
        <v>0.06</v>
      </c>
      <c r="J7" s="66">
        <f>J6</f>
        <v>7.0000000000000007E-2</v>
      </c>
      <c r="K7" s="1030">
        <f>SUMIF('数据-汇总表'!C$19:C$33,A7,'数据-汇总表'!E$19:E$33)</f>
        <v>4000</v>
      </c>
      <c r="L7" s="733">
        <v>4000</v>
      </c>
      <c r="M7" s="67">
        <f t="shared" si="0"/>
        <v>1600</v>
      </c>
      <c r="N7" s="731">
        <f>N6</f>
        <v>1</v>
      </c>
      <c r="O7" s="67" t="str">
        <f t="shared" ref="O7:O14" si="3">IF($N$5="成新度","——",ROUND(M7*N7,0))</f>
        <v>——</v>
      </c>
      <c r="P7" s="68" t="str">
        <f t="shared" ref="P7:P14" si="4">IF($N$5="成新度","——",M7-O7)</f>
        <v>——</v>
      </c>
      <c r="Q7" s="734">
        <v>0.2</v>
      </c>
      <c r="R7" s="69">
        <f ca="1">SUMIF('数据-汇总表'!C$19:C$33,A7,'数据-汇总表'!R$19:R$27)</f>
        <v>908.16</v>
      </c>
      <c r="S7" s="51">
        <f>IF('数据-汇总表'!$I$17="按面积比例",SUMIF('数据-汇总表'!C$19:C$33,A7,'数据-汇总表'!K$19:K$33),SUMIF('数据-汇总表'!C$19:C$33,A7,'数据-汇总表'!N$19:N$33))</f>
        <v>292.48</v>
      </c>
      <c r="T7" s="1172">
        <f t="shared" ref="T7:T13" si="5">ROUND($L$14*S7/10000,0)</f>
        <v>117</v>
      </c>
      <c r="U7" s="3420">
        <v>5</v>
      </c>
      <c r="V7" s="70">
        <f>V6</f>
        <v>2.5000000000000001E-2</v>
      </c>
      <c r="W7" s="70">
        <f>W6</f>
        <v>0.1</v>
      </c>
      <c r="X7" s="1040"/>
      <c r="Y7" s="71">
        <f>N7</f>
        <v>1</v>
      </c>
      <c r="Z7" s="72"/>
      <c r="AA7" s="66"/>
      <c r="AB7" s="66"/>
      <c r="AC7" s="1040"/>
      <c r="AD7" s="73"/>
      <c r="AE7" s="1041">
        <f t="shared" ref="AE7:AE13" ca="1" si="6">IF(AN7="",0,SUMIF(INDIRECT("'"&amp;AN7&amp;"'"&amp;"!E:E"),$AE$5,INDIRECT("'"&amp;AN7&amp;"'"&amp;"!F:F")))</f>
        <v>37.75</v>
      </c>
      <c r="AF7" s="1347"/>
      <c r="AG7" s="138">
        <f t="shared" ref="AG7:AG13" si="7">IF(AF7="",0,AE7-AF7)</f>
        <v>0</v>
      </c>
      <c r="AH7" s="74"/>
      <c r="AI7" s="76">
        <v>365</v>
      </c>
      <c r="AJ7" s="77"/>
      <c r="AK7" s="78">
        <f>AK6</f>
        <v>5.0000000000000001E-3</v>
      </c>
      <c r="AL7" s="79">
        <f>AL6</f>
        <v>1E-3</v>
      </c>
      <c r="AM7" s="80">
        <f>AM6</f>
        <v>0.01</v>
      </c>
      <c r="AN7" s="1714" t="s">
        <v>3456</v>
      </c>
      <c r="AO7" s="52">
        <f t="shared" ref="AO7:AO13" ca="1" si="8">SUMIF(INDIRECT("'"&amp;AN7&amp;"'"&amp;"!A:A"),"总价",INDIRECT("'"&amp;AN7&amp;"'"&amp;"!B:B"))</f>
        <v>10865</v>
      </c>
      <c r="AP7" s="1715">
        <f t="shared" ref="AP7:AP13" si="9">IF(C7="住宅",K7*L7,0)</f>
        <v>0</v>
      </c>
      <c r="AQ7" s="52">
        <f t="shared" ref="AQ7:AQ13" si="10">ROUND($L$14*$N$14*S7/10000,0)</f>
        <v>117</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地下车库</v>
      </c>
      <c r="B8" s="1712" t="str">
        <f t="shared" si="1"/>
        <v>经营性</v>
      </c>
      <c r="C8" s="1713" t="s">
        <v>3329</v>
      </c>
      <c r="D8" s="858">
        <f>SUMIF(项目基本情况!C$12:I$12,C8,项目基本情况!C$14:I$14)</f>
        <v>50</v>
      </c>
      <c r="E8" s="857">
        <f>IF(B8="","",SUMIF(项目基本情况!C$12:I$12,C8,项目基本情况!C$13:I$13))</f>
        <v>62591</v>
      </c>
      <c r="F8" s="64">
        <f>SUMIF(项目基本情况!C$12:I$12,C8,项目基本情况!C$15:I$15)</f>
        <v>47.75</v>
      </c>
      <c r="G8" s="65">
        <f t="shared" si="2"/>
        <v>0.98699999999999999</v>
      </c>
      <c r="H8" s="732">
        <v>4.4999999999999998E-2</v>
      </c>
      <c r="I8" s="732">
        <v>0.05</v>
      </c>
      <c r="J8" s="66">
        <f>J6</f>
        <v>7.0000000000000007E-2</v>
      </c>
      <c r="K8" s="1030">
        <f>SUMIF('数据-汇总表'!C$19:C$33,A8,'数据-汇总表'!E$19:E$33)</f>
        <v>8259.5399999999991</v>
      </c>
      <c r="L8" s="733">
        <v>4000</v>
      </c>
      <c r="M8" s="67">
        <f>ROUND(K8*L8/10000,0)</f>
        <v>3304</v>
      </c>
      <c r="N8" s="731">
        <f>N6</f>
        <v>1</v>
      </c>
      <c r="O8" s="67" t="str">
        <f t="shared" si="3"/>
        <v>——</v>
      </c>
      <c r="P8" s="68" t="str">
        <f t="shared" si="4"/>
        <v>——</v>
      </c>
      <c r="Q8" s="734">
        <v>0.05</v>
      </c>
      <c r="R8" s="69">
        <f ca="1">SUMIF('数据-汇总表'!C$19:C$33,A8,'数据-汇总表'!R$19:R$27)</f>
        <v>1875.26</v>
      </c>
      <c r="S8" s="51">
        <f>IF('数据-汇总表'!$I$17="按面积比例",SUMIF('数据-汇总表'!C$19:C$33,A8,'数据-汇总表'!K$19:K$33),SUMIF('数据-汇总表'!C$19:C$33,A8,'数据-汇总表'!N$19:N$33))</f>
        <v>603.94000000000005</v>
      </c>
      <c r="T8" s="1172">
        <f t="shared" si="5"/>
        <v>242</v>
      </c>
      <c r="U8" s="3421">
        <v>350</v>
      </c>
      <c r="V8" s="735">
        <f>V6</f>
        <v>2.5000000000000001E-2</v>
      </c>
      <c r="W8" s="735">
        <f>W6</f>
        <v>0.1</v>
      </c>
      <c r="X8" s="1040"/>
      <c r="Y8" s="71">
        <f>N8</f>
        <v>1</v>
      </c>
      <c r="Z8" s="72"/>
      <c r="AA8" s="66"/>
      <c r="AB8" s="66"/>
      <c r="AC8" s="1040"/>
      <c r="AD8" s="73"/>
      <c r="AE8" s="1041">
        <f t="shared" ca="1" si="6"/>
        <v>47.75</v>
      </c>
      <c r="AF8" s="1347"/>
      <c r="AG8" s="138">
        <f t="shared" si="7"/>
        <v>0</v>
      </c>
      <c r="AH8" s="736">
        <f>'指标-规证'!P12</f>
        <v>180</v>
      </c>
      <c r="AI8" s="76">
        <v>12</v>
      </c>
      <c r="AJ8" s="77"/>
      <c r="AK8" s="737">
        <v>5.0000000000000001E-3</v>
      </c>
      <c r="AL8" s="738">
        <v>1E-3</v>
      </c>
      <c r="AM8" s="739">
        <v>5.0000000000000001E-3</v>
      </c>
      <c r="AN8" s="1714" t="s">
        <v>3458</v>
      </c>
      <c r="AO8" s="52">
        <f t="shared" ca="1" si="8"/>
        <v>825</v>
      </c>
      <c r="AP8" s="1715">
        <f t="shared" si="9"/>
        <v>0</v>
      </c>
      <c r="AQ8" s="52">
        <f t="shared" si="10"/>
        <v>242</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5138.6900000000005</v>
      </c>
      <c r="L14" s="82">
        <v>4000</v>
      </c>
      <c r="M14" s="67">
        <f t="shared" si="0"/>
        <v>2055</v>
      </c>
      <c r="N14" s="83">
        <f>N6</f>
        <v>1</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3"/>
      <c r="AO14" s="2665"/>
      <c r="AP14" s="2665"/>
      <c r="AQ14" s="2665"/>
      <c r="AR14" s="2665"/>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3"/>
      <c r="AO15" s="2665"/>
      <c r="AP15" s="2665"/>
      <c r="AQ15" s="2665"/>
      <c r="AR15" s="2665"/>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0.98799999999999999</v>
      </c>
      <c r="H16" s="90">
        <f>ROUND(SUMPRODUCT(H6:H13,K6:K13)/SUMPRODUCT((H6:H13&gt;0)*(K6:K13)),3)</f>
        <v>0.05</v>
      </c>
      <c r="I16" s="91"/>
      <c r="J16" s="91"/>
      <c r="K16" s="92">
        <f>SUM(K6:K15)</f>
        <v>75416.17</v>
      </c>
      <c r="L16" s="93">
        <f>ROUND(M16*10000/SUM(K6:K14),0)</f>
        <v>4615</v>
      </c>
      <c r="M16" s="93">
        <f>SUM(M6:M14)</f>
        <v>34808</v>
      </c>
      <c r="N16" s="94">
        <f>ROUND(SUMPRODUCT(M6:M14,N6:N14)/M16,3)</f>
        <v>1</v>
      </c>
      <c r="O16" s="93">
        <f>SUM(O6:O14)</f>
        <v>0</v>
      </c>
      <c r="P16" s="93">
        <f>SUM(P6:P14)</f>
        <v>0</v>
      </c>
      <c r="Q16" s="95">
        <f>ROUND(SUMPRODUCT(Q6:Q13,K6:K13)/SUMPRODUCT((Q6:Q13&gt;0)*(K6:K13)),2)</f>
        <v>0.14000000000000001</v>
      </c>
      <c r="R16" s="1034">
        <f ca="1">SUM(R6:R13)</f>
        <v>15955.890000000001</v>
      </c>
      <c r="S16" s="96">
        <f>SUM(S6:S13)</f>
        <v>5138.6900000000005</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3442" t="s">
        <v>3385</v>
      </c>
      <c r="N18" s="2663">
        <v>2023</v>
      </c>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1" t="s">
        <v>1211</v>
      </c>
      <c r="B19" s="103">
        <v>0</v>
      </c>
      <c r="C19" s="2791" t="s">
        <v>2296</v>
      </c>
      <c r="D19" s="2668"/>
      <c r="E19" s="2665"/>
      <c r="F19" s="2665"/>
      <c r="G19" s="2665"/>
      <c r="H19" s="2665"/>
      <c r="I19" s="2665"/>
      <c r="J19" s="2665"/>
      <c r="K19" s="2664"/>
      <c r="L19" s="2664"/>
      <c r="M19" s="3442" t="s">
        <v>3386</v>
      </c>
      <c r="N19" s="2663">
        <f>ROUND(1-(1-0%)*(2023-N18)/60,2)</f>
        <v>1</v>
      </c>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2" t="s">
        <v>1212</v>
      </c>
      <c r="B20" s="104">
        <v>2</v>
      </c>
      <c r="C20" s="2792" t="s">
        <v>2294</v>
      </c>
      <c r="D20" s="2668"/>
      <c r="E20" s="2665"/>
      <c r="F20" s="2665"/>
      <c r="G20" s="2665"/>
      <c r="H20" s="2665"/>
      <c r="I20" s="2665"/>
      <c r="J20" s="2665"/>
      <c r="K20" s="2664"/>
      <c r="L20" s="2664"/>
      <c r="M20" s="3442" t="s">
        <v>3387</v>
      </c>
      <c r="N20" s="2663"/>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3" t="s">
        <v>1213</v>
      </c>
      <c r="B21" s="104">
        <f>B20</f>
        <v>2</v>
      </c>
      <c r="C21" s="2665"/>
      <c r="D21" s="2668"/>
      <c r="E21" s="2665"/>
      <c r="F21" s="2665"/>
      <c r="G21" s="2665"/>
      <c r="H21" s="2665"/>
      <c r="I21" s="2665"/>
      <c r="J21" s="2665"/>
      <c r="K21" s="2664"/>
      <c r="L21" s="2664"/>
      <c r="M21" s="3442" t="s">
        <v>3388</v>
      </c>
      <c r="N21" s="2663">
        <f>ROUND((N19+N20)/2,2)</f>
        <v>0.5</v>
      </c>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2" t="s">
        <v>1214</v>
      </c>
      <c r="B22" s="105">
        <f>B19+B20</f>
        <v>2</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3" t="s">
        <v>1215</v>
      </c>
      <c r="B23" s="105">
        <f>B19+B21</f>
        <v>2</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4"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6"/>
      <c r="B25" s="1686"/>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2" t="s">
        <v>1217</v>
      </c>
      <c r="B26" s="1725"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7" customFormat="1" ht="27.75">
      <c r="A27" s="1726" t="s">
        <v>1220</v>
      </c>
      <c r="B27" s="107">
        <v>160</v>
      </c>
      <c r="C27" s="2793" t="s">
        <v>2298</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794" t="s">
        <v>2285</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5" t="s">
        <v>2286</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795" t="s">
        <v>2287</v>
      </c>
      <c r="D34" s="2676" t="s">
        <v>2295</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f>B30</f>
        <v>200</v>
      </c>
      <c r="C35" s="2795" t="s">
        <v>2288</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5" t="s">
        <v>2289</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30" t="s">
        <v>1230</v>
      </c>
      <c r="B37" s="115">
        <v>0.02</v>
      </c>
      <c r="C37" s="2795" t="s">
        <v>2290</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8" t="s">
        <v>1231</v>
      </c>
      <c r="B38" s="113">
        <v>0.02</v>
      </c>
      <c r="C38" s="2795" t="s">
        <v>2290</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1" t="s">
        <v>1232</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2305</v>
      </c>
      <c r="B40" s="1078">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6" t="s">
        <v>1233</v>
      </c>
      <c r="B41" s="116">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2" t="s">
        <v>1234</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2" t="s">
        <v>1235</v>
      </c>
      <c r="B43" s="118">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3" t="s">
        <v>1236</v>
      </c>
      <c r="B44" s="119">
        <v>7.0000000000000007E-2</v>
      </c>
      <c r="C44" s="2795" t="s">
        <v>2299</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3" t="s">
        <v>1237</v>
      </c>
      <c r="B45" s="117">
        <v>0.03</v>
      </c>
      <c r="C45" s="2794" t="s">
        <v>2291</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3" t="s">
        <v>1238</v>
      </c>
      <c r="B46" s="117">
        <v>0.02</v>
      </c>
      <c r="C46" s="2794" t="s">
        <v>2292</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4" t="s">
        <v>1239</v>
      </c>
      <c r="B47" s="120">
        <v>0</v>
      </c>
      <c r="C47" s="2797" t="s">
        <v>2300</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5" t="s">
        <v>1240</v>
      </c>
      <c r="B48" s="121">
        <v>0.03</v>
      </c>
      <c r="C48" s="2794" t="s">
        <v>2291</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1" t="s">
        <v>1241</v>
      </c>
      <c r="B49" s="117">
        <v>5.0000000000000001E-4</v>
      </c>
      <c r="C49" s="2794" t="s">
        <v>2293</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6" t="s">
        <v>1242</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9" t="s">
        <v>1243</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6" t="s">
        <v>1244</v>
      </c>
      <c r="B52" s="124">
        <f>SUMIF(A54:A63,B53,B54:B63)</f>
        <v>0</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8" t="s">
        <v>1245</v>
      </c>
      <c r="B53" s="1737"/>
      <c r="C53" s="2653" t="s">
        <v>1246</v>
      </c>
      <c r="D53" s="2796" t="s">
        <v>2297</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8" t="s">
        <v>1247</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8" t="s">
        <v>1248</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8" t="s">
        <v>1249</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8" t="s">
        <v>1250</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8" t="s">
        <v>1251</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8" t="s">
        <v>1252</v>
      </c>
      <c r="B59" s="75"/>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8"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8"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8"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9" t="s">
        <v>1256</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2" customWidth="1"/>
    <col min="4" max="4" width="2.625" style="2502" customWidth="1"/>
    <col min="5" max="5" width="5.875" style="2502" customWidth="1"/>
    <col min="6" max="6" width="27" style="1571"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5"/>
  </cols>
  <sheetData>
    <row r="1" spans="1:29" s="2454" customFormat="1" ht="18.75" thickBot="1">
      <c r="A1" s="3556" t="s">
        <v>2277</v>
      </c>
      <c r="B1" s="3557"/>
      <c r="C1" s="3557"/>
      <c r="D1" s="3557"/>
      <c r="E1" s="3557"/>
      <c r="F1" s="3557"/>
      <c r="G1" s="355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2274</v>
      </c>
      <c r="D2" s="2458"/>
      <c r="E2" s="2455"/>
      <c r="F2" s="2459"/>
      <c r="G2" s="2457" t="s">
        <v>2275</v>
      </c>
      <c r="H2" s="799"/>
      <c r="I2" s="799"/>
      <c r="J2" s="799"/>
      <c r="K2" s="799"/>
      <c r="L2" s="799"/>
      <c r="M2" s="799"/>
      <c r="N2" s="799"/>
      <c r="O2" s="799"/>
      <c r="P2" s="799"/>
      <c r="Q2" s="799"/>
      <c r="R2" s="799"/>
    </row>
    <row r="3" spans="1:29" ht="24">
      <c r="A3" s="2438" t="s">
        <v>2276</v>
      </c>
      <c r="B3" s="2460" t="s">
        <v>2252</v>
      </c>
      <c r="C3" s="3443" t="s">
        <v>3391</v>
      </c>
      <c r="D3" s="2461"/>
      <c r="E3" s="2439" t="s">
        <v>2276</v>
      </c>
      <c r="F3" s="2462" t="s">
        <v>2253</v>
      </c>
      <c r="G3" s="3446" t="s">
        <v>3391</v>
      </c>
      <c r="H3" s="799"/>
      <c r="I3" s="799"/>
      <c r="J3" s="799"/>
      <c r="K3" s="799"/>
      <c r="L3" s="799"/>
      <c r="M3" s="799"/>
      <c r="N3" s="799"/>
      <c r="O3" s="799"/>
      <c r="P3" s="799"/>
      <c r="Q3" s="799"/>
      <c r="R3" s="799"/>
    </row>
    <row r="4" spans="1:29">
      <c r="A4" s="2439"/>
      <c r="B4" s="323" t="s">
        <v>2254</v>
      </c>
      <c r="C4" s="3444" t="s">
        <v>3468</v>
      </c>
      <c r="D4" s="2461"/>
      <c r="E4" s="2463"/>
      <c r="F4" s="1372" t="s">
        <v>2255</v>
      </c>
      <c r="G4" s="3445" t="s">
        <v>3392</v>
      </c>
      <c r="H4" s="799"/>
      <c r="I4" s="799"/>
      <c r="J4" s="799"/>
      <c r="K4" s="799"/>
      <c r="L4" s="799"/>
      <c r="M4" s="799"/>
      <c r="N4" s="799"/>
      <c r="O4" s="799"/>
      <c r="P4" s="799"/>
      <c r="Q4" s="799"/>
      <c r="R4" s="799"/>
    </row>
    <row r="5" spans="1:29">
      <c r="A5" s="2439"/>
      <c r="B5" s="323" t="s">
        <v>2256</v>
      </c>
      <c r="C5" s="3444" t="s">
        <v>3468</v>
      </c>
      <c r="D5" s="2461"/>
      <c r="E5" s="2463"/>
      <c r="F5" s="323" t="s">
        <v>2257</v>
      </c>
      <c r="G5" s="3445" t="s">
        <v>3392</v>
      </c>
      <c r="H5" s="799"/>
      <c r="I5" s="799"/>
      <c r="J5" s="799"/>
      <c r="K5" s="799"/>
      <c r="L5" s="799"/>
      <c r="M5" s="799"/>
      <c r="N5" s="799"/>
      <c r="O5" s="799"/>
      <c r="P5" s="799"/>
      <c r="Q5" s="799"/>
      <c r="R5" s="799"/>
    </row>
    <row r="6" spans="1:29">
      <c r="A6" s="2439"/>
      <c r="B6" s="323" t="s">
        <v>2258</v>
      </c>
      <c r="C6" s="3445" t="s">
        <v>3469</v>
      </c>
      <c r="D6" s="2461"/>
      <c r="E6" s="2463"/>
      <c r="F6" s="323" t="s">
        <v>2259</v>
      </c>
      <c r="G6" s="3445" t="s">
        <v>3394</v>
      </c>
      <c r="H6" s="799"/>
      <c r="I6" s="799"/>
      <c r="J6" s="799"/>
      <c r="K6" s="799"/>
      <c r="L6" s="799"/>
      <c r="M6" s="799"/>
      <c r="N6" s="799"/>
      <c r="O6" s="799"/>
      <c r="P6" s="799"/>
      <c r="Q6" s="799"/>
      <c r="R6" s="799"/>
    </row>
    <row r="7" spans="1:29" ht="15" thickBot="1">
      <c r="A7" s="2439"/>
      <c r="B7" s="323" t="s">
        <v>2257</v>
      </c>
      <c r="C7" s="3445" t="s">
        <v>3469</v>
      </c>
      <c r="D7" s="2464"/>
      <c r="E7" s="2465"/>
      <c r="F7" s="2466" t="s">
        <v>2260</v>
      </c>
      <c r="G7" s="3447" t="s">
        <v>3392</v>
      </c>
      <c r="H7" s="799"/>
      <c r="I7" s="799"/>
      <c r="J7" s="799"/>
      <c r="K7" s="799"/>
      <c r="L7" s="799"/>
      <c r="M7" s="799"/>
      <c r="N7" s="799"/>
      <c r="O7" s="799"/>
      <c r="P7" s="799"/>
      <c r="Q7" s="799"/>
      <c r="R7" s="799"/>
    </row>
    <row r="8" spans="1:29">
      <c r="A8" s="2439"/>
      <c r="B8" s="323" t="s">
        <v>2259</v>
      </c>
      <c r="C8" s="3445" t="s">
        <v>3394</v>
      </c>
      <c r="D8" s="2464"/>
      <c r="E8" s="2464"/>
      <c r="F8" s="2467"/>
      <c r="G8" s="2467"/>
      <c r="H8" s="799"/>
      <c r="I8" s="799"/>
      <c r="J8" s="799"/>
      <c r="K8" s="799"/>
      <c r="L8" s="799"/>
      <c r="M8" s="799"/>
      <c r="N8" s="799"/>
      <c r="O8" s="799"/>
      <c r="P8" s="799"/>
      <c r="Q8" s="799"/>
      <c r="R8" s="799"/>
    </row>
    <row r="9" spans="1:29">
      <c r="A9" s="2439"/>
      <c r="B9" s="323" t="s">
        <v>2261</v>
      </c>
      <c r="C9" s="3445" t="s">
        <v>3469</v>
      </c>
      <c r="D9" s="2461"/>
      <c r="E9" s="2464"/>
      <c r="F9" s="2467"/>
      <c r="G9" s="2467"/>
      <c r="H9" s="799"/>
      <c r="I9" s="799"/>
      <c r="J9" s="799"/>
      <c r="K9" s="799"/>
      <c r="L9" s="799"/>
      <c r="M9" s="799"/>
      <c r="N9" s="799"/>
      <c r="O9" s="799"/>
      <c r="P9" s="799"/>
      <c r="Q9" s="799"/>
      <c r="R9" s="799"/>
    </row>
    <row r="10" spans="1:29" s="2473" customFormat="1" ht="15" thickBot="1">
      <c r="A10" s="2440"/>
      <c r="B10" s="2468" t="s">
        <v>2262</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2278</v>
      </c>
      <c r="B13" s="2476"/>
      <c r="C13" s="2476"/>
      <c r="D13" s="2474"/>
      <c r="E13" s="2476"/>
      <c r="F13" s="2476"/>
      <c r="G13" s="2476"/>
    </row>
    <row r="14" spans="1:29" ht="15" thickBot="1">
      <c r="A14" s="2486"/>
      <c r="B14" s="2486"/>
      <c r="C14" s="2487" t="s">
        <v>2263</v>
      </c>
      <c r="D14" s="2461"/>
      <c r="E14" s="2488"/>
      <c r="F14" s="2488"/>
      <c r="G14" s="2457" t="s">
        <v>2264</v>
      </c>
    </row>
    <row r="15" spans="1:29" ht="24">
      <c r="A15" s="2441" t="s">
        <v>2265</v>
      </c>
      <c r="B15" s="2489" t="s">
        <v>2252</v>
      </c>
      <c r="C15" s="2490" t="str">
        <f>C3</f>
        <v>较好</v>
      </c>
      <c r="D15" s="2461"/>
      <c r="E15" s="2442" t="s">
        <v>2266</v>
      </c>
      <c r="F15" s="2489" t="s">
        <v>2267</v>
      </c>
      <c r="G15" s="2491" t="str">
        <f>G3</f>
        <v>较好</v>
      </c>
    </row>
    <row r="16" spans="1:29">
      <c r="A16" s="2443"/>
      <c r="B16" s="2492" t="s">
        <v>2254</v>
      </c>
      <c r="C16" s="2493" t="str">
        <f>C4</f>
        <v>一般</v>
      </c>
      <c r="D16" s="2461"/>
      <c r="E16" s="2444"/>
      <c r="F16" s="2494" t="s">
        <v>2255</v>
      </c>
      <c r="G16" s="2495" t="str">
        <f>G4</f>
        <v>较好</v>
      </c>
    </row>
    <row r="17" spans="1:18">
      <c r="A17" s="2443"/>
      <c r="B17" s="2492" t="s">
        <v>2256</v>
      </c>
      <c r="C17" s="2493" t="str">
        <f>C5</f>
        <v>一般</v>
      </c>
      <c r="D17" s="2464"/>
      <c r="E17" s="2444"/>
      <c r="F17" s="2494" t="s">
        <v>2268</v>
      </c>
      <c r="G17" s="3448" t="s">
        <v>3395</v>
      </c>
    </row>
    <row r="18" spans="1:18">
      <c r="A18" s="2443"/>
      <c r="B18" s="2494" t="s">
        <v>2258</v>
      </c>
      <c r="C18" s="2495" t="str">
        <f>C6</f>
        <v>一般</v>
      </c>
      <c r="D18" s="2464"/>
      <c r="E18" s="2444"/>
      <c r="F18" s="2494" t="s">
        <v>2260</v>
      </c>
      <c r="G18" s="2495" t="str">
        <f>G7</f>
        <v>较好</v>
      </c>
    </row>
    <row r="19" spans="1:18">
      <c r="A19" s="2443"/>
      <c r="B19" s="2494" t="s">
        <v>2269</v>
      </c>
      <c r="C19" s="3448" t="s">
        <v>3395</v>
      </c>
      <c r="D19" s="2461"/>
      <c r="E19" s="2444"/>
      <c r="F19" s="323" t="s">
        <v>2257</v>
      </c>
      <c r="G19" s="2495" t="str">
        <f>G5</f>
        <v>较好</v>
      </c>
    </row>
    <row r="20" spans="1:18">
      <c r="A20" s="2443"/>
      <c r="B20" s="2494" t="s">
        <v>2270</v>
      </c>
      <c r="C20" s="2493" t="str">
        <f>C9</f>
        <v>一般</v>
      </c>
      <c r="D20" s="2464"/>
      <c r="E20" s="2444"/>
      <c r="F20" s="323" t="s">
        <v>2259</v>
      </c>
      <c r="G20" s="2495" t="str">
        <f>G6</f>
        <v>七通</v>
      </c>
    </row>
    <row r="21" spans="1:18">
      <c r="A21" s="2443"/>
      <c r="B21" s="323" t="s">
        <v>2257</v>
      </c>
      <c r="C21" s="2495" t="str">
        <f>C7</f>
        <v>一般</v>
      </c>
      <c r="D21" s="2461"/>
      <c r="E21" s="2444"/>
      <c r="F21" s="2494" t="s">
        <v>2271</v>
      </c>
      <c r="G21" s="2497"/>
    </row>
    <row r="22" spans="1:18" ht="13.5" customHeight="1">
      <c r="A22" s="2443"/>
      <c r="B22" s="323" t="s">
        <v>2259</v>
      </c>
      <c r="C22" s="2495" t="str">
        <f>C8</f>
        <v>七通</v>
      </c>
      <c r="D22" s="2461"/>
      <c r="E22" s="2444"/>
      <c r="F22" s="2494" t="s">
        <v>2262</v>
      </c>
      <c r="G22" s="2496"/>
    </row>
    <row r="23" spans="1:18" s="799" customFormat="1" ht="15" thickBot="1">
      <c r="A23" s="2443"/>
      <c r="B23" s="2494" t="s">
        <v>2271</v>
      </c>
      <c r="C23" s="2497"/>
      <c r="D23" s="1740"/>
      <c r="E23" s="2445"/>
      <c r="F23" s="2498" t="s">
        <v>2272</v>
      </c>
      <c r="G23" s="2499"/>
      <c r="H23" s="2483"/>
      <c r="I23" s="2484"/>
      <c r="J23" s="2483"/>
      <c r="K23" s="2483"/>
      <c r="L23" s="2484"/>
      <c r="M23" s="2483"/>
      <c r="N23" s="2483"/>
      <c r="O23" s="2484"/>
      <c r="P23" s="2483"/>
      <c r="Q23" s="2483"/>
      <c r="R23" s="2485"/>
    </row>
    <row r="24" spans="1:18" s="799" customFormat="1" ht="15" thickBot="1">
      <c r="A24" s="2446"/>
      <c r="B24" s="2498" t="s">
        <v>2273</v>
      </c>
      <c r="C24" s="2500">
        <f>C10</f>
        <v>0</v>
      </c>
      <c r="D24" s="1740"/>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35" sqref="L35"/>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75416.17</v>
      </c>
      <c r="C1" s="2678"/>
      <c r="D1" s="2678"/>
      <c r="E1" s="2678"/>
      <c r="F1" s="2678"/>
      <c r="G1" s="2679"/>
      <c r="H1" s="2680"/>
      <c r="I1" s="2680"/>
      <c r="J1" s="2680"/>
      <c r="K1" s="2680"/>
    </row>
    <row r="2" spans="1:11" ht="16.5">
      <c r="A2" s="2504" t="s">
        <v>653</v>
      </c>
      <c r="B2" s="2504">
        <f>SUM(C14:C23)</f>
        <v>15955.89</v>
      </c>
      <c r="C2" s="2678"/>
      <c r="D2" s="2678"/>
      <c r="E2" s="2678"/>
      <c r="F2" s="2678"/>
      <c r="G2" s="2679"/>
      <c r="H2" s="2680"/>
      <c r="I2" s="2680"/>
      <c r="J2" s="2680"/>
      <c r="K2" s="2680"/>
    </row>
    <row r="3" spans="1:11" ht="16.5">
      <c r="A3" s="2504" t="s">
        <v>662</v>
      </c>
      <c r="B3" s="2506">
        <f>项目基本情况!D3</f>
        <v>45160</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155050</v>
      </c>
      <c r="C5" s="2504">
        <f ca="1">IF(B5=D14,结果表!H102,ROUND(B5*10000/$B$1,0))</f>
        <v>20559</v>
      </c>
      <c r="D5" s="2504">
        <f ca="1">ROUND(B5*10000/$B$2,0)</f>
        <v>97174</v>
      </c>
      <c r="E5" s="2678"/>
      <c r="F5" s="2679"/>
      <c r="G5" s="2679"/>
      <c r="H5" s="2680"/>
      <c r="I5" s="2680"/>
      <c r="J5" s="2680"/>
      <c r="K5" s="2680"/>
    </row>
    <row r="6" spans="1:11" ht="16.5">
      <c r="A6" s="2504" t="s">
        <v>656</v>
      </c>
      <c r="B6" s="2504">
        <f ca="1">SUM(G14:G23)</f>
        <v>155050</v>
      </c>
      <c r="C6" s="2504">
        <f ca="1">IF(B6=G14,结果表!H108,ROUND(B6*10000/$B$1,0))</f>
        <v>20559</v>
      </c>
      <c r="D6" s="2504">
        <f ca="1">ROUND(B6*10000/$B$2,0)</f>
        <v>97174</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3352</v>
      </c>
      <c r="D10" s="2504" t="s">
        <v>3353</v>
      </c>
      <c r="E10" s="3433"/>
      <c r="F10" s="3437" t="s">
        <v>3354</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结果表!B118</f>
        <v>75416.17</v>
      </c>
      <c r="C14" s="2510">
        <f>结果表!C118</f>
        <v>15955.89</v>
      </c>
      <c r="D14" s="2510">
        <f ca="1">结果表!H118</f>
        <v>155050</v>
      </c>
      <c r="E14" s="2510">
        <f ca="1">ROUND(D14*10000/B14,0)</f>
        <v>20559</v>
      </c>
      <c r="F14" s="2510">
        <f ca="1">ROUND(D14*10000/C14,0)</f>
        <v>97174</v>
      </c>
      <c r="G14" s="2510">
        <f ca="1">D14</f>
        <v>155050</v>
      </c>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30"/>
      <c r="H15" s="1330"/>
      <c r="I15" s="2511"/>
      <c r="J15" s="2679"/>
      <c r="K15" s="2680"/>
    </row>
    <row r="16" spans="1:11" ht="16.5">
      <c r="A16" s="2509" t="s">
        <v>648</v>
      </c>
      <c r="B16" s="2511"/>
      <c r="C16" s="2511"/>
      <c r="D16" s="2511"/>
      <c r="E16" s="2510" t="e">
        <f t="shared" si="0"/>
        <v>#DIV/0!</v>
      </c>
      <c r="F16" s="2510" t="e">
        <f t="shared" si="1"/>
        <v>#DIV/0!</v>
      </c>
      <c r="G16" s="1330"/>
      <c r="H16" s="1330"/>
      <c r="I16" s="2511"/>
      <c r="J16" s="2680"/>
      <c r="K16" s="2680"/>
    </row>
    <row r="17" spans="1:11" ht="16.5">
      <c r="A17" s="2509" t="s">
        <v>647</v>
      </c>
      <c r="B17" s="2511"/>
      <c r="C17" s="2511"/>
      <c r="D17" s="2511"/>
      <c r="E17" s="2510" t="e">
        <f t="shared" si="0"/>
        <v>#DIV/0!</v>
      </c>
      <c r="F17" s="2510" t="e">
        <f t="shared" si="1"/>
        <v>#DIV/0!</v>
      </c>
      <c r="G17" s="1330"/>
      <c r="H17" s="1330"/>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F24" sqref="F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3" t="s">
        <v>1265</v>
      </c>
      <c r="B4" s="1754" t="s">
        <v>1266</v>
      </c>
      <c r="C4" s="1755" t="s">
        <v>3401</v>
      </c>
      <c r="D4" s="1755" t="s">
        <v>3472</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1" t="s">
        <v>1269</v>
      </c>
      <c r="F5" s="1756"/>
      <c r="G5" s="1756"/>
      <c r="H5" s="1756"/>
      <c r="I5" s="1372"/>
    </row>
    <row r="6" spans="1:12" ht="12.75">
      <c r="A6" s="3572"/>
      <c r="B6" s="3559"/>
      <c r="C6" s="3576"/>
      <c r="D6" s="3595"/>
      <c r="E6" s="131" t="s">
        <v>1270</v>
      </c>
      <c r="F6" s="1756"/>
      <c r="G6" s="1756"/>
      <c r="H6" s="1756"/>
      <c r="I6" s="1372"/>
    </row>
    <row r="7" spans="1:12" ht="12.75">
      <c r="A7" s="3572"/>
      <c r="B7" s="3559"/>
      <c r="C7" s="3577"/>
      <c r="D7" s="3595"/>
      <c r="E7" s="131" t="s">
        <v>1271</v>
      </c>
      <c r="F7" s="1756"/>
      <c r="G7" s="1756"/>
      <c r="H7" s="1756"/>
      <c r="I7" s="1372"/>
    </row>
    <row r="8" spans="1:12" ht="12.75">
      <c r="A8" s="3572" t="s">
        <v>1272</v>
      </c>
      <c r="B8" s="3559">
        <v>15</v>
      </c>
      <c r="C8" s="3575"/>
      <c r="D8" s="3595"/>
      <c r="E8" s="131" t="s">
        <v>1273</v>
      </c>
      <c r="F8" s="1756"/>
      <c r="G8" s="1756"/>
      <c r="H8" s="1756"/>
      <c r="I8" s="1372"/>
    </row>
    <row r="9" spans="1:12" ht="12.75">
      <c r="A9" s="3572"/>
      <c r="B9" s="3559"/>
      <c r="C9" s="3577"/>
      <c r="D9" s="3595"/>
      <c r="E9" s="131" t="s">
        <v>1274</v>
      </c>
      <c r="F9" s="1756"/>
      <c r="G9" s="1756"/>
      <c r="H9" s="1756"/>
      <c r="I9" s="1372"/>
    </row>
    <row r="10" spans="1:12" ht="12.75">
      <c r="A10" s="3572" t="s">
        <v>1275</v>
      </c>
      <c r="B10" s="3559">
        <v>15</v>
      </c>
      <c r="C10" s="3575"/>
      <c r="D10" s="3595"/>
      <c r="E10" s="131" t="s">
        <v>1276</v>
      </c>
      <c r="F10" s="1756"/>
      <c r="G10" s="1756"/>
      <c r="H10" s="1756"/>
      <c r="I10" s="1372"/>
    </row>
    <row r="11" spans="1:12" ht="12.75">
      <c r="A11" s="3572"/>
      <c r="B11" s="3559"/>
      <c r="C11" s="3577"/>
      <c r="D11" s="3595"/>
      <c r="E11" s="131" t="s">
        <v>1277</v>
      </c>
      <c r="F11" s="1756"/>
      <c r="G11" s="1756"/>
      <c r="H11" s="1756"/>
      <c r="I11" s="1372"/>
    </row>
    <row r="12" spans="1:12" ht="12.75">
      <c r="A12" s="3572" t="s">
        <v>1278</v>
      </c>
      <c r="B12" s="3559">
        <v>15</v>
      </c>
      <c r="C12" s="3575"/>
      <c r="D12" s="3595"/>
      <c r="E12" s="131" t="s">
        <v>1279</v>
      </c>
      <c r="F12" s="1756"/>
      <c r="G12" s="1756"/>
      <c r="H12" s="1756"/>
      <c r="I12" s="1372"/>
    </row>
    <row r="13" spans="1:12" ht="12.75">
      <c r="A13" s="3572"/>
      <c r="B13" s="3559"/>
      <c r="C13" s="3577"/>
      <c r="D13" s="3595"/>
      <c r="E13" s="131" t="s">
        <v>1280</v>
      </c>
      <c r="F13" s="1756"/>
      <c r="G13" s="1756"/>
      <c r="H13" s="1756"/>
      <c r="I13" s="1372"/>
    </row>
    <row r="14" spans="1:12" ht="12.75">
      <c r="A14" s="3572" t="s">
        <v>1281</v>
      </c>
      <c r="B14" s="3559">
        <v>30</v>
      </c>
      <c r="C14" s="3575">
        <v>5</v>
      </c>
      <c r="D14" s="3595">
        <f>10-C14</f>
        <v>5</v>
      </c>
      <c r="E14" s="131" t="s">
        <v>1282</v>
      </c>
      <c r="F14" s="1756"/>
      <c r="G14" s="1756"/>
      <c r="H14" s="1756"/>
      <c r="I14" s="1372"/>
    </row>
    <row r="15" spans="1:12" ht="12.75">
      <c r="A15" s="3572"/>
      <c r="B15" s="3559"/>
      <c r="C15" s="3576"/>
      <c r="D15" s="3595"/>
      <c r="E15" s="131" t="s">
        <v>1283</v>
      </c>
      <c r="F15" s="1756"/>
      <c r="G15" s="1756"/>
      <c r="H15" s="1756"/>
      <c r="I15" s="1372"/>
    </row>
    <row r="16" spans="1:12" ht="12.75">
      <c r="A16" s="3572"/>
      <c r="B16" s="3559"/>
      <c r="C16" s="3577"/>
      <c r="D16" s="3595"/>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82" t="s">
        <v>2131</v>
      </c>
      <c r="F18" s="3583"/>
      <c r="G18" s="3583"/>
      <c r="H18" s="3583"/>
      <c r="I18" s="3583"/>
      <c r="K18" s="302" t="s">
        <v>1289</v>
      </c>
      <c r="L18" s="302">
        <f>IF(C1="",'数据-汇总表'!E3,SUMIF(项目类型,C1,'数据-汇总表'!E17:E26)+SUMIF(项目类型,C1,'数据-汇总表'!I17:I26))</f>
        <v>75416.17</v>
      </c>
      <c r="M18" s="302">
        <f>IF(C1="",'数据-汇总表'!E3,SUMIF(项目类型,C1,'数据-汇总表'!E17:E26))</f>
        <v>75416.17</v>
      </c>
    </row>
    <row r="19" spans="1:36" ht="15">
      <c r="A19" s="1760" t="s">
        <v>1290</v>
      </c>
      <c r="B19" s="1761" t="s">
        <v>1291</v>
      </c>
      <c r="C19" s="134">
        <f ca="1">SUMIF(INDIRECT("'"&amp;C4&amp;"'"&amp;"!A:A"),结果表!B19,INDIRECT("'"&amp;C4&amp;"'"&amp;"!B:B"))</f>
        <v>147647</v>
      </c>
      <c r="D19" s="135">
        <f ca="1">SUMIF(INDIRECT("'"&amp;D4&amp;"'"&amp;"!A:A"),结果表!B19,INDIRECT("'"&amp;D4&amp;"'"&amp;"!B:B"))</f>
        <v>162453</v>
      </c>
      <c r="E19" s="1760" t="s">
        <v>1292</v>
      </c>
      <c r="F19" s="1761" t="s">
        <v>1291</v>
      </c>
      <c r="G19" s="136">
        <f ca="1">ROUND(C19*$C$18+D19*$D$18,0)</f>
        <v>155050</v>
      </c>
      <c r="H19" s="1762" t="s">
        <v>1293</v>
      </c>
      <c r="I19" s="129"/>
      <c r="K19" s="302" t="s">
        <v>1294</v>
      </c>
      <c r="L19" s="302">
        <f>IF(C1="",'数据-汇总表'!D3,SUMIF(项目类型,C1,'数据-汇总表'!D17:D26)+SUMIF(项目类型,C1,'数据-汇总表'!H17:H27))</f>
        <v>15955.89</v>
      </c>
      <c r="M19" s="302">
        <f>IF(C1="",'数据-汇总表'!D3,SUMIF(项目类型,C1,'数据-汇总表'!D17:D26))</f>
        <v>15955.89</v>
      </c>
    </row>
    <row r="20" spans="1:36" ht="15">
      <c r="A20" s="1763"/>
      <c r="B20" s="1026" t="s">
        <v>1295</v>
      </c>
      <c r="C20" s="137">
        <f ca="1">SUMIF(INDIRECT("'"&amp;C4&amp;"'"&amp;"!A:A"),结果表!B20,INDIRECT("'"&amp;C4&amp;"'"&amp;"!B:B"))</f>
        <v>19578</v>
      </c>
      <c r="D20" s="138">
        <f ca="1">SUMIF(INDIRECT("'"&amp;D4&amp;"'"&amp;"!A:A"),结果表!B20,INDIRECT("'"&amp;D4&amp;"'"&amp;"!B:B"))</f>
        <v>21541</v>
      </c>
      <c r="E20" s="1763"/>
      <c r="F20" s="1026" t="s">
        <v>1295</v>
      </c>
      <c r="G20" s="139">
        <f ca="1">ROUND(C20*$C$18+D20*$D$18,0)</f>
        <v>20560</v>
      </c>
      <c r="H20" s="808" t="s">
        <v>1296</v>
      </c>
      <c r="I20" s="129"/>
    </row>
    <row r="21" spans="1:36" ht="15" customHeight="1" thickBot="1">
      <c r="A21" s="828"/>
      <c r="B21" s="1764" t="s">
        <v>1297</v>
      </c>
      <c r="C21" s="719">
        <f ca="1">ROUND(C19*10000/L19,0)</f>
        <v>92534</v>
      </c>
      <c r="D21" s="720">
        <f ca="1">ROUND(D19*10000/L19,0)</f>
        <v>101814</v>
      </c>
      <c r="E21" s="828"/>
      <c r="F21" s="1764" t="s">
        <v>1297</v>
      </c>
      <c r="G21" s="140">
        <f ca="1">ROUND(G19*10000/L19,0)</f>
        <v>97174</v>
      </c>
      <c r="H21" s="1765" t="s">
        <v>1296</v>
      </c>
      <c r="I21" s="129"/>
    </row>
    <row r="22" spans="1:36" ht="15" thickBot="1">
      <c r="A22" s="1687" t="s">
        <v>1298</v>
      </c>
      <c r="B22" s="1766"/>
      <c r="C22" s="1767"/>
      <c r="D22" s="721">
        <f ca="1">IF(C19&lt;D19,D19/C19-1,C19/D19-1)</f>
        <v>0.10027972122698059</v>
      </c>
      <c r="E22" s="129"/>
      <c r="F22" s="129"/>
      <c r="G22" s="129"/>
      <c r="H22" s="129"/>
      <c r="I22" s="129"/>
    </row>
    <row r="23" spans="1:36" ht="13.5" thickBot="1">
      <c r="A23" s="1746"/>
      <c r="B23" s="1746"/>
      <c r="C23" s="1746"/>
      <c r="D23" s="1746"/>
      <c r="E23" s="129"/>
      <c r="F23" s="129"/>
      <c r="G23" s="129"/>
      <c r="H23" s="129"/>
      <c r="I23" s="129"/>
    </row>
    <row r="24" spans="1:36" ht="14.25">
      <c r="A24" s="3566" t="s">
        <v>1299</v>
      </c>
      <c r="B24" s="1761" t="s">
        <v>1291</v>
      </c>
      <c r="C24" s="136">
        <f>IF(B30=0,0,D30)</f>
        <v>0</v>
      </c>
      <c r="D24" s="1768"/>
      <c r="E24" s="129"/>
      <c r="F24" s="129"/>
      <c r="G24" s="129"/>
      <c r="H24" s="129"/>
      <c r="I24" s="129"/>
    </row>
    <row r="25" spans="1:36" ht="14.25">
      <c r="A25" s="3567"/>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1"/>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1305</v>
      </c>
      <c r="B32" s="1773"/>
      <c r="C32" s="144">
        <f ca="1">IF(D32="总价",G19-C24,G20-C25)</f>
        <v>155050</v>
      </c>
      <c r="D32" s="1774" t="s">
        <v>3396</v>
      </c>
      <c r="E32" s="129"/>
      <c r="F32" s="129"/>
      <c r="G32" s="129"/>
      <c r="H32" s="129"/>
      <c r="I32" s="129"/>
    </row>
    <row r="33" spans="1:15" ht="15">
      <c r="A33" s="786" t="s">
        <v>1306</v>
      </c>
      <c r="B33" s="1775"/>
      <c r="C33" s="1776" t="s">
        <v>3681</v>
      </c>
      <c r="D33" s="1777" t="s">
        <v>3401</v>
      </c>
      <c r="E33" s="1778" t="s">
        <v>1307</v>
      </c>
      <c r="F33" s="1779" t="str">
        <f>IF(D32="楼面单价","取值（单价）","取值（总价）")</f>
        <v>取值（总价）</v>
      </c>
      <c r="G33" s="129"/>
      <c r="H33" s="129"/>
      <c r="I33" s="129"/>
    </row>
    <row r="34" spans="1:15" ht="15">
      <c r="A34" s="1780"/>
      <c r="B34" s="1781" t="s">
        <v>1308</v>
      </c>
      <c r="C34" s="148">
        <f ca="1">IF(C33="自定义",F34,C32-C35)</f>
        <v>103418</v>
      </c>
      <c r="D34" s="861">
        <f ca="1">IF(C33="自定义",ROUND(C34/C32,3),IF(C33="收益比率",SUMIF(INDIRECT("'"&amp;D33&amp;"'"&amp;"!b:b"),"土地收益比率",INDIRECT("'"&amp;D33&amp;"'"&amp;"!c:c")),SUMIF(INDIRECT("'"&amp;D33&amp;"'"&amp;"!b:b"),"土地成本比率",INDIRECT("'"&amp;D33&amp;"'"&amp;"!c:c"))))</f>
        <v>0.66700000000000004</v>
      </c>
      <c r="E34" s="1782" t="s">
        <v>1309</v>
      </c>
      <c r="F34" s="1329"/>
      <c r="G34" s="129"/>
      <c r="H34" s="129"/>
      <c r="I34" s="129"/>
    </row>
    <row r="35" spans="1:15" ht="15.75" thickBot="1">
      <c r="A35" s="1783"/>
      <c r="B35" s="1784" t="s">
        <v>1310</v>
      </c>
      <c r="C35" s="1170">
        <f ca="1">IF(C33="自定义",F35,ROUND(C32*D35,0))</f>
        <v>51632</v>
      </c>
      <c r="D35" s="1171">
        <f ca="1">IF(C33="自定义",ROUND(C35/C32,3),IF(C33="收益比率",SUMIF(INDIRECT("'"&amp;D33&amp;"'"&amp;"!b:b"),"建筑物收益比率",INDIRECT("'"&amp;D33&amp;"'"&amp;"!c:c")),SUMIF(INDIRECT("'"&amp;D33&amp;"'"&amp;"!b:b"),"建筑物成本比率",INDIRECT("'"&amp;D33&amp;"'"&amp;"!c:c"))))</f>
        <v>0.33300000000000002</v>
      </c>
      <c r="E35" s="1785" t="s">
        <v>1311</v>
      </c>
      <c r="F35" s="154"/>
      <c r="G35" s="129"/>
      <c r="H35" s="129"/>
      <c r="I35" s="129"/>
    </row>
    <row r="36" spans="1:15" ht="15.75" thickBot="1">
      <c r="A36" s="3586" t="s">
        <v>1312</v>
      </c>
      <c r="B36" s="1786" t="s">
        <v>1313</v>
      </c>
      <c r="C36" s="145"/>
      <c r="D36" s="1787"/>
      <c r="E36" s="1788"/>
      <c r="F36" s="1789"/>
      <c r="G36" s="129"/>
      <c r="H36" s="129"/>
      <c r="I36" s="129"/>
    </row>
    <row r="37" spans="1:15" ht="15.75" thickBot="1">
      <c r="A37" s="3587"/>
      <c r="B37" s="1673" t="s">
        <v>1314</v>
      </c>
      <c r="C37" s="147"/>
      <c r="D37" s="1139"/>
      <c r="E37" s="1139"/>
      <c r="F37" s="1789"/>
      <c r="G37" s="129"/>
      <c r="H37" s="129"/>
      <c r="I37" s="129"/>
    </row>
    <row r="38" spans="1:15" ht="15.75" thickBot="1">
      <c r="A38" s="3588"/>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563" t="s">
        <v>1326</v>
      </c>
      <c r="B45" s="3564"/>
      <c r="C45" s="3565"/>
      <c r="D45" s="155">
        <f ca="1">ROUND(H101*F45,0)</f>
        <v>155050</v>
      </c>
      <c r="E45" s="156" t="s">
        <v>1327</v>
      </c>
      <c r="F45" s="157">
        <v>1</v>
      </c>
      <c r="G45" s="158" t="s">
        <v>1328</v>
      </c>
      <c r="H45" s="129"/>
      <c r="I45" s="129"/>
      <c r="J45" s="3641" t="s">
        <v>1329</v>
      </c>
      <c r="K45" s="3641"/>
      <c r="L45" s="3641"/>
      <c r="M45" s="3641"/>
      <c r="N45" s="3641"/>
      <c r="O45" s="3641"/>
    </row>
    <row r="46" spans="1:15" ht="14.25" hidden="1" customHeight="1">
      <c r="A46" s="3560" t="s">
        <v>1330</v>
      </c>
      <c r="B46" s="3561"/>
      <c r="C46" s="3561"/>
      <c r="D46" s="3561"/>
      <c r="E46" s="3561"/>
      <c r="F46" s="3561"/>
      <c r="G46" s="3562"/>
      <c r="H46" s="1805"/>
      <c r="I46" s="159"/>
      <c r="J46" s="2515">
        <v>1</v>
      </c>
      <c r="K46" s="3622" t="s">
        <v>1331</v>
      </c>
      <c r="L46" s="3622"/>
      <c r="M46" s="3642"/>
      <c r="N46" s="3642"/>
      <c r="O46" s="3642"/>
    </row>
    <row r="47" spans="1:15" ht="12" hidden="1" customHeight="1">
      <c r="A47" s="160" t="s">
        <v>1332</v>
      </c>
      <c r="B47" s="161"/>
      <c r="C47" s="162"/>
      <c r="D47" s="1087" t="s">
        <v>1333</v>
      </c>
      <c r="E47" s="302" t="s">
        <v>1334</v>
      </c>
      <c r="F47" s="163" t="s">
        <v>1335</v>
      </c>
      <c r="G47" s="2538" t="s">
        <v>1336</v>
      </c>
      <c r="H47" s="2539"/>
      <c r="I47" s="159"/>
      <c r="J47" s="2515">
        <v>2</v>
      </c>
      <c r="K47" s="3622" t="s">
        <v>1337</v>
      </c>
      <c r="L47" s="3622"/>
      <c r="M47" s="3643">
        <f>'数据-取费表'!B2</f>
        <v>45160</v>
      </c>
      <c r="N47" s="3643"/>
      <c r="O47" s="3643"/>
    </row>
    <row r="48" spans="1:15" ht="25.5" hidden="1">
      <c r="A48" s="3591" t="s">
        <v>1338</v>
      </c>
      <c r="B48" s="3574"/>
      <c r="C48" s="3574"/>
      <c r="D48" s="2321">
        <f ca="1">IF(H48="情况1",0,IF(H48="情况2",D52,IF(H48="情况3",D53,IF(H48="情况4",D54))))</f>
        <v>8269</v>
      </c>
      <c r="E48" s="2331" t="str">
        <f>IF(H48="情况4","(销售额-原购置价)×税（费）率","销售额×税（费）率")</f>
        <v>销售额×税（费）率</v>
      </c>
      <c r="F48" s="2540">
        <f>IF(H48="情况1","免征",'数据-取费表'!B41)</f>
        <v>5.6000000000000001E-2</v>
      </c>
      <c r="G48" s="2541" t="s">
        <v>1339</v>
      </c>
      <c r="H48" s="2542" t="s">
        <v>3397</v>
      </c>
      <c r="I48" s="1805"/>
      <c r="J48" s="2515">
        <v>3</v>
      </c>
      <c r="K48" s="3622" t="s">
        <v>1340</v>
      </c>
      <c r="L48" s="3622"/>
      <c r="M48" s="3644">
        <f ca="1">H101</f>
        <v>155050</v>
      </c>
      <c r="N48" s="3644"/>
      <c r="O48" s="3644"/>
    </row>
    <row r="49" spans="1:35" ht="25.5" hidden="1" customHeight="1">
      <c r="A49" s="2330" t="s">
        <v>1341</v>
      </c>
      <c r="B49" s="3558" t="s">
        <v>1342</v>
      </c>
      <c r="C49" s="3558"/>
      <c r="D49" s="1589">
        <v>0</v>
      </c>
      <c r="E49" s="324" t="s">
        <v>1343</v>
      </c>
      <c r="F49" s="2421" t="s">
        <v>28</v>
      </c>
      <c r="G49" s="3628"/>
      <c r="H49" s="2307" t="s">
        <v>2134</v>
      </c>
      <c r="I49" s="2308"/>
      <c r="J49" s="2515">
        <v>4</v>
      </c>
      <c r="K49" s="3622" t="str">
        <f>IF(项目基本情况!E8="房地产抵押价值","房地产抵押价值","抵押担保权已注销时的房地产抵押价值")</f>
        <v>房地产抵押价值</v>
      </c>
      <c r="L49" s="3622"/>
      <c r="M49" s="3644">
        <f ca="1">IF(项目基本情况!E8="房地产抵押价值",H107,H109)</f>
        <v>155050</v>
      </c>
      <c r="N49" s="3644"/>
      <c r="O49" s="3644"/>
    </row>
    <row r="50" spans="1:35" ht="25.5" hidden="1" customHeight="1">
      <c r="A50" s="2543"/>
      <c r="B50" s="3558" t="s">
        <v>1344</v>
      </c>
      <c r="C50" s="3558"/>
      <c r="D50" s="2544"/>
      <c r="E50" s="332"/>
      <c r="F50" s="2421"/>
      <c r="G50" s="3629"/>
      <c r="H50" s="2309" t="s">
        <v>2135</v>
      </c>
      <c r="I50" s="2308"/>
      <c r="J50" s="3641" t="s">
        <v>1345</v>
      </c>
      <c r="K50" s="3641"/>
      <c r="L50" s="3641"/>
      <c r="M50" s="3641"/>
      <c r="N50" s="3641"/>
      <c r="O50" s="3641"/>
    </row>
    <row r="51" spans="1:35" ht="20.45" hidden="1" customHeight="1">
      <c r="A51" s="2545"/>
      <c r="B51" s="3558" t="s">
        <v>1346</v>
      </c>
      <c r="C51" s="3558"/>
      <c r="D51" s="1087"/>
      <c r="E51" s="327"/>
      <c r="F51" s="2421"/>
      <c r="G51" s="3630"/>
      <c r="H51" s="2309" t="s">
        <v>2136</v>
      </c>
      <c r="I51" s="2308"/>
      <c r="J51" s="2516" t="s">
        <v>1347</v>
      </c>
      <c r="K51" s="3622" t="s">
        <v>1348</v>
      </c>
      <c r="L51" s="3622"/>
      <c r="M51" s="2516" t="s">
        <v>1349</v>
      </c>
      <c r="N51" s="2516" t="s">
        <v>1350</v>
      </c>
      <c r="O51" s="2516" t="s">
        <v>1351</v>
      </c>
    </row>
    <row r="52" spans="1:35" ht="24" hidden="1" customHeight="1">
      <c r="A52" s="2332" t="s">
        <v>1352</v>
      </c>
      <c r="B52" s="3558" t="s">
        <v>1353</v>
      </c>
      <c r="C52" s="3558"/>
      <c r="D52" s="1087">
        <f ca="1">ROUND(D45*'数据-取费表'!B41/(1+'数据-取费表'!C42),0)</f>
        <v>8269</v>
      </c>
      <c r="E52" s="2331" t="s">
        <v>1354</v>
      </c>
      <c r="F52" s="2546">
        <f>'数据-取费表'!B41</f>
        <v>5.6000000000000001E-2</v>
      </c>
      <c r="G52" s="2547"/>
      <c r="H52" s="2536"/>
      <c r="I52" s="1806"/>
      <c r="J52" s="2515">
        <v>1</v>
      </c>
      <c r="K52" s="3623" t="s">
        <v>1355</v>
      </c>
      <c r="L52" s="3623"/>
      <c r="M52" s="2517">
        <f ca="1">D48</f>
        <v>8269</v>
      </c>
      <c r="N52" s="2515" t="str">
        <f>E48</f>
        <v>销售额×税（费）率</v>
      </c>
      <c r="O52" s="2518">
        <f>F48</f>
        <v>5.6000000000000001E-2</v>
      </c>
    </row>
    <row r="53" spans="1:35" ht="12" hidden="1" customHeight="1">
      <c r="A53" s="2332" t="s">
        <v>1356</v>
      </c>
      <c r="B53" s="3584" t="s">
        <v>2282</v>
      </c>
      <c r="C53" s="3585"/>
      <c r="D53" s="1087">
        <f ca="1">ROUND(D45*'数据-取费表'!B41/(1+'数据-取费表'!C42),0)</f>
        <v>8269</v>
      </c>
      <c r="E53" s="2331" t="s">
        <v>1354</v>
      </c>
      <c r="F53" s="2546">
        <f>'数据-取费表'!B41</f>
        <v>5.6000000000000001E-2</v>
      </c>
      <c r="G53" s="2547"/>
      <c r="H53" s="2536"/>
      <c r="I53" s="1806"/>
      <c r="J53" s="2515">
        <v>2</v>
      </c>
      <c r="K53" s="3623" t="s">
        <v>1357</v>
      </c>
      <c r="L53" s="3623"/>
      <c r="M53" s="2517">
        <f t="shared" ref="M53:O54" ca="1" si="0">D55</f>
        <v>78</v>
      </c>
      <c r="N53" s="2515" t="str">
        <f t="shared" si="0"/>
        <v>销售额×税（费）率</v>
      </c>
      <c r="O53" s="2518">
        <f t="shared" si="0"/>
        <v>5.0000000000000001E-4</v>
      </c>
    </row>
    <row r="54" spans="1:35" ht="12" hidden="1" customHeight="1">
      <c r="A54" s="2332" t="s">
        <v>1358</v>
      </c>
      <c r="B54" s="3584" t="s">
        <v>2283</v>
      </c>
      <c r="C54" s="3585"/>
      <c r="D54" s="1087">
        <f ca="1">C68</f>
        <v>8269</v>
      </c>
      <c r="E54" s="327" t="s">
        <v>1359</v>
      </c>
      <c r="F54" s="2546">
        <f>'数据-取费表'!B41</f>
        <v>5.6000000000000001E-2</v>
      </c>
      <c r="G54" s="2547"/>
      <c r="H54" s="2548"/>
      <c r="I54" s="1806"/>
      <c r="J54" s="2515">
        <v>3</v>
      </c>
      <c r="K54" s="3623" t="s">
        <v>1360</v>
      </c>
      <c r="L54" s="3623"/>
      <c r="M54" s="2517">
        <f t="shared" ca="1" si="0"/>
        <v>87759</v>
      </c>
      <c r="N54" s="2515" t="str">
        <f t="shared" si="0"/>
        <v>增值额×税（费）率</v>
      </c>
      <c r="O54" s="2519" t="str">
        <f t="shared" si="0"/>
        <v>——</v>
      </c>
    </row>
    <row r="55" spans="1:35" ht="24" hidden="1" customHeight="1">
      <c r="A55" s="3573" t="s">
        <v>1361</v>
      </c>
      <c r="B55" s="3574"/>
      <c r="C55" s="3574"/>
      <c r="D55" s="2321">
        <f ca="1">IF(H55="个人住宅",0,ROUND(D45*I55,0))</f>
        <v>78</v>
      </c>
      <c r="E55" s="2331" t="s">
        <v>1362</v>
      </c>
      <c r="F55" s="2546">
        <f>IF(H55="正常",I55,"免征")</f>
        <v>5.0000000000000001E-4</v>
      </c>
      <c r="G55" s="2547"/>
      <c r="H55" s="2542" t="s">
        <v>3398</v>
      </c>
      <c r="I55" s="165">
        <f>'数据-取费表'!B49</f>
        <v>5.0000000000000001E-4</v>
      </c>
      <c r="J55" s="2515" t="str">
        <f>IF(H59="非个人房产","",4)</f>
        <v/>
      </c>
      <c r="K55" s="3623" t="str">
        <f>IF(H59="非个人房产","——","个人所得税")</f>
        <v>——</v>
      </c>
      <c r="L55" s="3623"/>
      <c r="M55" s="2520" t="str">
        <f>D59</f>
        <v>——</v>
      </c>
      <c r="N55" s="2037" t="str">
        <f>E59</f>
        <v>——</v>
      </c>
      <c r="O55" s="2521" t="str">
        <f>F59</f>
        <v>——</v>
      </c>
    </row>
    <row r="56" spans="1:35" ht="24.75" hidden="1">
      <c r="A56" s="3573" t="s">
        <v>1363</v>
      </c>
      <c r="B56" s="3574"/>
      <c r="C56" s="3574"/>
      <c r="D56" s="2321">
        <f ca="1">IF(H56="个人住宅",D57,D58)</f>
        <v>87759</v>
      </c>
      <c r="E56" s="2331" t="s">
        <v>1364</v>
      </c>
      <c r="F56" s="2546" t="str">
        <f>IF(H56="正常",F58,"免征")</f>
        <v>——</v>
      </c>
      <c r="G56" s="2549" t="s">
        <v>1365</v>
      </c>
      <c r="H56" s="2550" t="s">
        <v>3398</v>
      </c>
      <c r="I56" s="1807"/>
      <c r="J56" s="2515" t="str">
        <f>IF(项目基本情况!K6="上海银行",IF(J55="",4,J55+1),"")</f>
        <v/>
      </c>
      <c r="K56" s="3646" t="str">
        <f>IF(项目基本情况!K6="上海银行","其他处置费用","")</f>
        <v/>
      </c>
      <c r="L56" s="3647"/>
      <c r="M56" s="2517" t="str">
        <f>IF(项目基本情况!K6="上海银行",M69,"")</f>
        <v/>
      </c>
      <c r="N56" s="3646" t="str">
        <f>IF(项目基本情况!K6="上海银行","包含处置中涉及的律师、诉讼、拍卖、评估等费用","")</f>
        <v/>
      </c>
      <c r="O56" s="3649"/>
    </row>
    <row r="57" spans="1:35" ht="12.75" hidden="1">
      <c r="A57" s="2332" t="s">
        <v>1341</v>
      </c>
      <c r="B57" s="3584" t="s">
        <v>1366</v>
      </c>
      <c r="C57" s="3585"/>
      <c r="D57" s="1589">
        <v>0</v>
      </c>
      <c r="E57" s="324" t="s">
        <v>1343</v>
      </c>
      <c r="F57" s="302"/>
      <c r="G57" s="2547"/>
      <c r="H57" s="2551"/>
      <c r="I57" s="1807"/>
      <c r="J57" s="3623">
        <f>IF(AND(J55="",J56=""),4,IF(项目基本情况!K6="上海银行",结果表!J56+1,结果表!J55+1))</f>
        <v>4</v>
      </c>
      <c r="K57" s="3623" t="s">
        <v>1367</v>
      </c>
      <c r="L57" s="2522" t="s">
        <v>1368</v>
      </c>
      <c r="M57" s="2523"/>
      <c r="N57" s="2524">
        <f ca="1">SUMIF(M52:M56,"&lt;9e307")</f>
        <v>96106</v>
      </c>
      <c r="O57" s="2525"/>
      <c r="P57" s="2682">
        <f ca="1">N57/M49</f>
        <v>0.61983876168977747</v>
      </c>
    </row>
    <row r="58" spans="1:35" ht="24.75" hidden="1">
      <c r="A58" s="2332" t="s">
        <v>1352</v>
      </c>
      <c r="B58" s="3584" t="s">
        <v>1369</v>
      </c>
      <c r="C58" s="3558"/>
      <c r="D58" s="2321">
        <f ca="1">IF(H58="转让取得",C81,C97)</f>
        <v>87759</v>
      </c>
      <c r="E58" s="2331" t="s">
        <v>1364</v>
      </c>
      <c r="F58" s="302" t="s">
        <v>28</v>
      </c>
      <c r="G58" s="2547"/>
      <c r="H58" s="2550" t="s">
        <v>3399</v>
      </c>
      <c r="I58" s="1807"/>
      <c r="J58" s="3623"/>
      <c r="K58" s="3623"/>
      <c r="L58" s="2522" t="s">
        <v>1370</v>
      </c>
      <c r="M58" s="2526"/>
      <c r="N58" s="2527" t="str">
        <f ca="1">NUMBERSTRING(INT(N57*10000),2)&amp;"元整"</f>
        <v>玖亿陆仟壹佰零陆万元整</v>
      </c>
      <c r="O58" s="2528"/>
    </row>
    <row r="59" spans="1:35" ht="24.75" hidden="1" thickBot="1">
      <c r="A59" s="3626" t="s">
        <v>1371</v>
      </c>
      <c r="B59" s="3627"/>
      <c r="C59" s="3627"/>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1365</v>
      </c>
      <c r="H59" s="2311" t="s">
        <v>3400</v>
      </c>
      <c r="I59" s="2310" t="s">
        <v>2137</v>
      </c>
      <c r="J59" s="3624">
        <f>J57+1</f>
        <v>5</v>
      </c>
      <c r="K59" s="3623" t="s">
        <v>1372</v>
      </c>
      <c r="L59" s="2515" t="s">
        <v>1368</v>
      </c>
      <c r="M59" s="2529"/>
      <c r="N59" s="2530">
        <f ca="1">M49-N57</f>
        <v>58944</v>
      </c>
      <c r="O59" s="2531"/>
    </row>
    <row r="60" spans="1:35" ht="12" hidden="1" customHeight="1">
      <c r="A60" s="1808"/>
      <c r="B60" s="1746"/>
      <c r="C60" s="1746"/>
      <c r="D60" s="1746"/>
      <c r="E60" s="1577"/>
      <c r="F60" s="1807"/>
      <c r="G60" s="1807"/>
      <c r="H60" s="1809"/>
      <c r="I60" s="129"/>
      <c r="J60" s="3625"/>
      <c r="K60" s="3623"/>
      <c r="L60" s="2522" t="s">
        <v>1370</v>
      </c>
      <c r="M60" s="2526"/>
      <c r="N60" s="2527" t="str">
        <f ca="1">NUMBERSTRING(INT(N59*10000),2)&amp;"元整"</f>
        <v>伍亿捌仟玖佰肆拾肆万元整</v>
      </c>
      <c r="O60" s="2528"/>
    </row>
    <row r="61" spans="1:35" ht="13.5" hidden="1" thickBot="1">
      <c r="A61" s="3571" t="s">
        <v>1373</v>
      </c>
      <c r="B61" s="3571"/>
      <c r="C61" s="3571"/>
      <c r="D61" s="3571"/>
      <c r="E61" s="3571"/>
      <c r="F61" s="1807"/>
      <c r="G61" s="1807"/>
      <c r="H61" s="1809"/>
      <c r="I61" s="129"/>
      <c r="J61" s="2515">
        <f>J59+1</f>
        <v>6</v>
      </c>
      <c r="K61" s="3623" t="s">
        <v>1374</v>
      </c>
      <c r="L61" s="3623"/>
      <c r="M61" s="2532"/>
      <c r="N61" s="2533">
        <f ca="1">ROUND(N59*10000/'数据-汇总表'!E3,0)</f>
        <v>7816</v>
      </c>
      <c r="O61" s="2534"/>
    </row>
    <row r="62" spans="1:35" ht="12.75" hidden="1">
      <c r="A62" s="3589" t="s">
        <v>1375</v>
      </c>
      <c r="B62" s="3590"/>
      <c r="C62" s="2018"/>
      <c r="D62" s="2018" t="s">
        <v>1376</v>
      </c>
      <c r="E62" s="166" t="s">
        <v>1377</v>
      </c>
      <c r="F62" s="1807"/>
      <c r="G62" s="1807"/>
      <c r="H62" s="1809"/>
      <c r="I62" s="129"/>
    </row>
    <row r="63" spans="1:35" ht="12.75" hidden="1">
      <c r="A63" s="173" t="s">
        <v>330</v>
      </c>
      <c r="B63" s="167" t="s">
        <v>1378</v>
      </c>
      <c r="C63" s="2556">
        <f ca="1">ROUND((C64+C65)/(1+'数据-取费表'!C42),0)</f>
        <v>147667</v>
      </c>
      <c r="D63" s="167"/>
      <c r="E63" s="168"/>
      <c r="F63" s="1807"/>
      <c r="G63" s="1807"/>
      <c r="H63" s="1809"/>
      <c r="I63" s="129"/>
      <c r="J63" s="3648" t="s">
        <v>1379</v>
      </c>
      <c r="K63" s="1331" t="s">
        <v>1380</v>
      </c>
      <c r="L63" s="1331">
        <f ca="1">IF(M49&gt;10000,M49*0.5%,IF(AND(M49&gt;1000,M49&lt;=10000),M49*1%,IF(AND(M49&gt;100,M49&lt;=1000),M49*3%,IF(AND(M49&gt;10,M49&lt;=100),M49*5%,M49*8%))))</f>
        <v>775.25</v>
      </c>
      <c r="M63" s="302">
        <f ca="1">ROUND(L63,1)</f>
        <v>775.3</v>
      </c>
      <c r="N63" s="2535"/>
      <c r="Z63" s="1751"/>
      <c r="AI63" s="1752"/>
    </row>
    <row r="64" spans="1:35" ht="14.25" hidden="1" customHeight="1">
      <c r="A64" s="169" t="s">
        <v>325</v>
      </c>
      <c r="B64" s="170" t="s">
        <v>1381</v>
      </c>
      <c r="C64" s="2557">
        <f ca="1">D45</f>
        <v>155050</v>
      </c>
      <c r="D64" s="170" t="s">
        <v>26</v>
      </c>
      <c r="E64" s="172"/>
      <c r="F64" s="1807"/>
      <c r="G64" s="1807"/>
      <c r="H64" s="1809"/>
      <c r="I64" s="129"/>
      <c r="J64" s="3648"/>
      <c r="K64" s="1331" t="s">
        <v>1382</v>
      </c>
      <c r="L64" s="1331">
        <f ca="1">IF(M49&gt;2000,M49*0.5%,IF(AND(M49&gt;1000,M49&lt;=2000),M49*0.6%,IF(AND(M49&gt;500,M49&lt;=1000),M49*0.7%,IF(AND(M49&gt;200,M49&lt;=500),M49*0.8%,IF(AND(M49&gt;100,M49&lt;=200),M49*0.9%,IF(AND(M49&gt;50,M49&lt;=100),M49*1%,IF(AND(M49&gt;20,M49&lt;=50),M49*1.5%,IF(AND(M49&gt;10,M49&lt;=20),M49*2%,IF(AND(M49&gt;1,M49&lt;=10),M49*2.5%)))))))))</f>
        <v>775.25</v>
      </c>
      <c r="M64" s="302">
        <f t="shared" ref="M64:M65" ca="1" si="1">ROUND(L64,1)</f>
        <v>775.3</v>
      </c>
      <c r="N64" s="2536" t="s">
        <v>1383</v>
      </c>
      <c r="Z64" s="1751"/>
      <c r="AI64" s="1752"/>
    </row>
    <row r="65" spans="1:35" ht="14.25" hidden="1" customHeight="1">
      <c r="A65" s="169" t="s">
        <v>326</v>
      </c>
      <c r="B65" s="170" t="s">
        <v>1384</v>
      </c>
      <c r="C65" s="2558"/>
      <c r="D65" s="170"/>
      <c r="E65" s="172"/>
      <c r="F65" s="1807"/>
      <c r="G65" s="1807"/>
      <c r="H65" s="1809"/>
      <c r="I65" s="129"/>
      <c r="J65" s="3648"/>
      <c r="K65" s="1331" t="s">
        <v>1385</v>
      </c>
      <c r="L65" s="1331">
        <f ca="1">IF(M49&gt;1000,M49*0.1%,IF(AND(M49&gt;500,M49&lt;=1000),M49*0.5%,IF(AND(M49&gt;50,M49&lt;=500),M49*1%,IF(AND(M49&gt;1,M49&lt;=50),M49*1.5%))))</f>
        <v>155.05000000000001</v>
      </c>
      <c r="M65" s="302">
        <f t="shared" ca="1" si="1"/>
        <v>155.1</v>
      </c>
      <c r="N65" s="2536" t="s">
        <v>1383</v>
      </c>
      <c r="Z65" s="1751"/>
      <c r="AI65" s="1752"/>
    </row>
    <row r="66" spans="1:35" ht="14.25" hidden="1" customHeight="1">
      <c r="A66" s="173" t="s">
        <v>327</v>
      </c>
      <c r="B66" s="174" t="s">
        <v>1386</v>
      </c>
      <c r="C66" s="2559"/>
      <c r="D66" s="174" t="s">
        <v>26</v>
      </c>
      <c r="E66" s="1337" t="s">
        <v>671</v>
      </c>
      <c r="F66" s="1807"/>
      <c r="G66" s="1807"/>
      <c r="H66" s="1809"/>
      <c r="I66" s="129"/>
      <c r="J66" s="3648"/>
      <c r="K66" s="1331" t="s">
        <v>1387</v>
      </c>
      <c r="L66" s="1331">
        <f ca="1">M49*0.5%</f>
        <v>775.25</v>
      </c>
      <c r="M66" s="302">
        <f ca="1">IF(L66&gt;0.5,0.5,ROUND(L66,0))</f>
        <v>0.5</v>
      </c>
      <c r="N66" s="2536" t="s">
        <v>1388</v>
      </c>
      <c r="Z66" s="1751"/>
      <c r="AI66" s="1752"/>
    </row>
    <row r="67" spans="1:35" ht="14.25" hidden="1" customHeight="1">
      <c r="A67" s="173" t="s">
        <v>328</v>
      </c>
      <c r="B67" s="174" t="s">
        <v>1389</v>
      </c>
      <c r="C67" s="2560">
        <f ca="1">C63-C66</f>
        <v>147667</v>
      </c>
      <c r="D67" s="170" t="s">
        <v>26</v>
      </c>
      <c r="E67" s="172"/>
      <c r="F67" s="1807"/>
      <c r="G67" s="1807"/>
      <c r="H67" s="1809"/>
      <c r="I67" s="129"/>
      <c r="J67" s="3648"/>
      <c r="K67" s="1331" t="s">
        <v>1390</v>
      </c>
      <c r="L67" s="1331">
        <f ca="1">IF(M49&gt;=10000,(8.25+(M49-10000)*0.01%),IF(AND(M49&gt;=8000,M49&lt;10000),(7.85+(M49-8000)*0.02%),IF(AND(M49&gt;=5000,M49&lt;8000),(6.65+(M49-5000)*0.04%),IF(AND(M49&gt;=2000,M49&lt;5000),(4.25+(PM49-2000)*0.08%),IF(AND(M49&gt;=1000,M49&lt;2000),(2.75+(M49-1000)*0.15%),IF(AND(M49&gt;=100,M49&lt;1000),(0.5+(M49-100)*0.25%),IF(AND(M49&gt;0,M49&lt;100),M49*0.5%)))))))</f>
        <v>22.755000000000003</v>
      </c>
      <c r="M67" s="302">
        <f ca="1">ROUND(L67*0.9,1)</f>
        <v>20.5</v>
      </c>
      <c r="N67" s="2535"/>
      <c r="Z67" s="1751"/>
      <c r="AI67" s="1752"/>
    </row>
    <row r="68" spans="1:35" ht="14.25" hidden="1" customHeight="1" thickBot="1">
      <c r="A68" s="176" t="s">
        <v>329</v>
      </c>
      <c r="B68" s="177" t="s">
        <v>1391</v>
      </c>
      <c r="C68" s="2561">
        <f ca="1">IF(C67&lt;=0,0,ROUND(C67*D68,0))</f>
        <v>8269</v>
      </c>
      <c r="D68" s="2562">
        <f>'数据-取费表'!B41</f>
        <v>5.6000000000000001E-2</v>
      </c>
      <c r="E68" s="178"/>
      <c r="F68" s="1807"/>
      <c r="G68" s="1807"/>
      <c r="H68" s="1809"/>
      <c r="I68" s="129"/>
      <c r="J68" s="3648"/>
      <c r="K68" s="1331" t="s">
        <v>1392</v>
      </c>
      <c r="L68" s="1331">
        <f ca="1">IF(M49&gt;10000,M49*0.5%,IF(AND(M49&gt;5000,M49&lt;=10000),M49*1%,IF(AND(M49&gt;1000,M49&lt;=5000),M49*2%,IF(AND(M49&gt;200,M49&lt;=1000),M49*3%,M49*5%))))</f>
        <v>775.25</v>
      </c>
      <c r="M68" s="302">
        <f ca="1">ROUND(L68,1)</f>
        <v>775.3</v>
      </c>
      <c r="N68" s="2535"/>
      <c r="Z68" s="1751"/>
      <c r="AI68" s="1752"/>
    </row>
    <row r="69" spans="1:35" s="1771" customFormat="1" ht="16.5" hidden="1" customHeight="1">
      <c r="A69" s="1810"/>
      <c r="B69" s="1811"/>
      <c r="C69" s="1812"/>
      <c r="D69" s="1813"/>
      <c r="E69" s="1814"/>
      <c r="F69" s="1577"/>
      <c r="G69" s="1577"/>
      <c r="H69" s="1576"/>
      <c r="I69" s="1746"/>
      <c r="J69" s="3648"/>
      <c r="K69" s="1331" t="s">
        <v>1393</v>
      </c>
      <c r="L69" s="1331"/>
      <c r="M69" s="302">
        <f ca="1">ROUND(SUM(M63:M68),0)</f>
        <v>2502</v>
      </c>
      <c r="N69" s="2537">
        <f ca="1">M69/M49</f>
        <v>1.6136730087068688E-2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10" t="s">
        <v>1394</v>
      </c>
      <c r="B70" s="3611"/>
      <c r="C70" s="3611"/>
      <c r="D70" s="3611"/>
      <c r="E70" s="3611"/>
      <c r="F70" s="3611"/>
      <c r="G70" s="3611"/>
      <c r="H70" s="3611"/>
      <c r="I70" s="1815"/>
      <c r="J70" s="2683"/>
      <c r="K70" s="2683"/>
      <c r="L70" s="2683"/>
      <c r="M70" s="2683"/>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89" t="s">
        <v>1375</v>
      </c>
      <c r="B71" s="3590"/>
      <c r="C71" s="2018"/>
      <c r="D71" s="2018" t="s">
        <v>1376</v>
      </c>
      <c r="E71" s="179" t="s">
        <v>1377</v>
      </c>
      <c r="F71" s="180"/>
      <c r="G71" s="180"/>
      <c r="H71" s="181"/>
      <c r="I71" s="1819"/>
      <c r="J71" s="2683"/>
      <c r="K71" s="2683"/>
      <c r="L71" s="2683"/>
      <c r="M71" s="2683"/>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1395</v>
      </c>
      <c r="C72" s="2560">
        <f ca="1">ROUND(D45/(1+'数据-取费表'!C42),0)</f>
        <v>147667</v>
      </c>
      <c r="D72" s="170" t="s">
        <v>26</v>
      </c>
      <c r="E72" s="2328"/>
      <c r="F72" s="2327"/>
      <c r="G72" s="2327"/>
      <c r="H72" s="182"/>
      <c r="I72" s="1819"/>
      <c r="J72" s="2683"/>
      <c r="K72" s="2683"/>
      <c r="L72" s="2683"/>
      <c r="M72" s="2683"/>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1396</v>
      </c>
      <c r="C73" s="2560">
        <f ca="1">C74+C78</f>
        <v>886</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1397</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1398</v>
      </c>
      <c r="C75" s="2563"/>
      <c r="D75" s="170" t="s">
        <v>26</v>
      </c>
      <c r="E75" s="184" t="s">
        <v>1399</v>
      </c>
      <c r="F75" s="2564"/>
      <c r="G75" s="184" t="s">
        <v>1400</v>
      </c>
      <c r="H75" s="2565"/>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1401</v>
      </c>
      <c r="C76" s="170">
        <f>IF(F75="购房发票",ROUND(C75*H75*D76,0),0)</f>
        <v>0</v>
      </c>
      <c r="D76" s="2566">
        <v>0.05</v>
      </c>
      <c r="E76" s="3584" t="s">
        <v>1402</v>
      </c>
      <c r="F76" s="3558"/>
      <c r="G76" s="3558"/>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1403</v>
      </c>
      <c r="C77" s="170">
        <f>ROUND(IF(G77="个人住宅",0,IF(G77="2016年5月1日前购买",C75*D77,C75*D77/(1+'数据-取费表'!C42))),0)</f>
        <v>0</v>
      </c>
      <c r="D77" s="2567">
        <f>'数据-取费表'!B48+'数据-取费表'!B49</f>
        <v>3.0499999999999999E-2</v>
      </c>
      <c r="E77" s="2321" t="s">
        <v>1404</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1405</v>
      </c>
      <c r="C78" s="2568">
        <f ca="1">ROUND(D45*D78/(1+'数据-取费表'!C42),0)</f>
        <v>886</v>
      </c>
      <c r="D78" s="2569">
        <f>'数据-取费表'!B43</f>
        <v>6.000000000000001E-3</v>
      </c>
      <c r="E78" s="3568" t="s">
        <v>1406</v>
      </c>
      <c r="F78" s="3569"/>
      <c r="G78" s="3569"/>
      <c r="H78" s="357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1407</v>
      </c>
      <c r="C79" s="2560">
        <f ca="1">C72-C73</f>
        <v>146781</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1408</v>
      </c>
      <c r="C80" s="2570">
        <f ca="1">IF(C79&lt;=0,0,C79/C73)</f>
        <v>165.66704288939053</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1409</v>
      </c>
      <c r="C81" s="2571">
        <f ca="1">ROUND(IF(C79&lt;=0,0,IF(C80&gt;=200%,C79*60%-C73*35%,IF(C80&gt;=100%,C79*50%-C73*15%,IF(C80&gt;=50%,C79*40%-C73*5%,IF(C80&lt;50%,C79*30%,0))))),0)</f>
        <v>87759</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10" t="s">
        <v>1410</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89" t="s">
        <v>1375</v>
      </c>
      <c r="B84" s="3590"/>
      <c r="C84" s="2018"/>
      <c r="D84" s="201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1395</v>
      </c>
      <c r="C85" s="2560">
        <f ca="1">ROUND(D45/(1+'数据-取费表'!C42),0)</f>
        <v>147667</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1396</v>
      </c>
      <c r="C86" s="2560">
        <f ca="1">IF(H88="仅含出让金",C87+C90+C91+C92+C93+C94,C87+C91+C92+C93+C94)</f>
        <v>886</v>
      </c>
      <c r="D86" s="2573"/>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1411</v>
      </c>
      <c r="C87" s="2568">
        <f>C88+C89</f>
        <v>0</v>
      </c>
      <c r="D87" s="2569"/>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1412</v>
      </c>
      <c r="C88" s="2574"/>
      <c r="D88" s="2569"/>
      <c r="E88" s="193" t="s">
        <v>1413</v>
      </c>
      <c r="F88" s="2324"/>
      <c r="G88" s="194" t="s">
        <v>1414</v>
      </c>
      <c r="H88" s="1823"/>
      <c r="I88" s="1820"/>
      <c r="J88" s="2513"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1403</v>
      </c>
      <c r="C89" s="2568">
        <f>ROUND(C88*D89,0)</f>
        <v>0</v>
      </c>
      <c r="D89" s="2569">
        <f>'数据-取费表'!B48+'数据-取费表'!B49</f>
        <v>3.0499999999999999E-2</v>
      </c>
      <c r="E89" s="193" t="s">
        <v>1415</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1416</v>
      </c>
      <c r="C90" s="2574"/>
      <c r="D90" s="2569"/>
      <c r="E90" s="193" t="str">
        <f>IF(H88="-","土地取得成本中已包含该笔费用"," ")</f>
        <v xml:space="preserve"> </v>
      </c>
      <c r="F90" s="2324"/>
      <c r="G90" s="3650" t="s">
        <v>2129</v>
      </c>
      <c r="H90" s="3651"/>
      <c r="I90" s="1820"/>
      <c r="J90" s="2513"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1417</v>
      </c>
      <c r="B91" s="170" t="s">
        <v>1418</v>
      </c>
      <c r="C91" s="2568">
        <f>IF(H91="——",成本法!C33,I91)</f>
        <v>0</v>
      </c>
      <c r="D91" s="2569"/>
      <c r="E91" s="3568" t="s">
        <v>1419</v>
      </c>
      <c r="F91" s="3569"/>
      <c r="G91" s="356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1420</v>
      </c>
      <c r="B92" s="170" t="s">
        <v>1421</v>
      </c>
      <c r="C92" s="2568">
        <f>ROUND((C87+C90+C91)*D92,0)</f>
        <v>0</v>
      </c>
      <c r="D92" s="2575"/>
      <c r="E92" s="3568" t="s">
        <v>1422</v>
      </c>
      <c r="F92" s="3569"/>
      <c r="G92" s="3569"/>
      <c r="H92" s="3578"/>
      <c r="I92" s="1820"/>
      <c r="J92" s="2514"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1423</v>
      </c>
      <c r="B93" s="170" t="s">
        <v>1405</v>
      </c>
      <c r="C93" s="2568">
        <f ca="1">ROUND(D45*D93/(1+'数据-取费表'!C42),0)</f>
        <v>886</v>
      </c>
      <c r="D93" s="2569">
        <f>'数据-取费表'!B43</f>
        <v>6.000000000000001E-3</v>
      </c>
      <c r="E93" s="3568" t="s">
        <v>1406</v>
      </c>
      <c r="F93" s="3569"/>
      <c r="G93" s="3569"/>
      <c r="H93" s="357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1424</v>
      </c>
      <c r="B94" s="170" t="s">
        <v>1425</v>
      </c>
      <c r="C94" s="2574">
        <f>ROUND((C87+C90+C91)*D94,0)</f>
        <v>0</v>
      </c>
      <c r="D94" s="2569">
        <v>0.2</v>
      </c>
      <c r="E94" s="3579" t="s">
        <v>1426</v>
      </c>
      <c r="F94" s="3580"/>
      <c r="G94" s="3580"/>
      <c r="H94" s="358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1407</v>
      </c>
      <c r="C95" s="2560">
        <f ca="1">ROUND(C85-C86,0)</f>
        <v>146781</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1408</v>
      </c>
      <c r="C96" s="2570">
        <f ca="1">IF(C95&lt;=0,0,C95/C86)</f>
        <v>165.66704288939053</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1409</v>
      </c>
      <c r="C97" s="2571">
        <f ca="1">ROUND(IF(C95&lt;=0,0,IF(C96&gt;=200%,C95*60%-C86*35%,IF(C96&gt;=100%,C95*50%-C86*15%,IF(C96&gt;=50%,C95*40%-C86*5%,IF(C96&lt;50%,C95*30%,0))))),0)</f>
        <v>87759</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77" t="str">
        <f>C4</f>
        <v>成本法</v>
      </c>
      <c r="D101" s="2578" t="str">
        <f>D4</f>
        <v>收益法（汇总）</v>
      </c>
      <c r="E101" s="3645" t="s">
        <v>1431</v>
      </c>
      <c r="F101" s="3602"/>
      <c r="G101" s="1826" t="s">
        <v>1432</v>
      </c>
      <c r="H101" s="2587">
        <f ca="1">H118</f>
        <v>155050</v>
      </c>
      <c r="I101" s="129"/>
    </row>
    <row r="102" spans="1:35" ht="18.75" customHeight="1">
      <c r="A102" s="3604" t="s">
        <v>1433</v>
      </c>
      <c r="B102" s="2576" t="s">
        <v>1432</v>
      </c>
      <c r="C102" s="2577">
        <f ca="1">IF(D32="楼面单价",ROUND(C19,0),C19)</f>
        <v>147647</v>
      </c>
      <c r="D102" s="2578">
        <f ca="1">IF(D32="楼面单价",ROUND(D19,0),D19)</f>
        <v>162453</v>
      </c>
      <c r="E102" s="3645"/>
      <c r="F102" s="3602"/>
      <c r="G102" s="1826" t="s">
        <v>1434</v>
      </c>
      <c r="H102" s="2547">
        <f ca="1">I118</f>
        <v>20559</v>
      </c>
      <c r="I102" s="129"/>
    </row>
    <row r="103" spans="1:35" ht="42.75" customHeight="1">
      <c r="A103" s="3604"/>
      <c r="B103" s="2576" t="s">
        <v>1434</v>
      </c>
      <c r="C103" s="2579">
        <f ca="1">C20</f>
        <v>19578</v>
      </c>
      <c r="D103" s="2580">
        <f ca="1">D20</f>
        <v>21541</v>
      </c>
      <c r="E103" s="3639" t="s">
        <v>1435</v>
      </c>
      <c r="F103" s="3640"/>
      <c r="G103" s="1827" t="s">
        <v>1436</v>
      </c>
      <c r="H103" s="2587">
        <f>IF(D36="正常操作",H104+H105+H106,H105+H106)</f>
        <v>0</v>
      </c>
      <c r="I103" s="129"/>
    </row>
    <row r="104" spans="1:35" ht="18.75" customHeight="1">
      <c r="A104" s="3604" t="s">
        <v>1437</v>
      </c>
      <c r="B104" s="2581" t="s">
        <v>1432</v>
      </c>
      <c r="C104" s="2582">
        <f ca="1">H118</f>
        <v>155050</v>
      </c>
      <c r="D104" s="2583"/>
      <c r="E104" s="1673" t="s">
        <v>1438</v>
      </c>
      <c r="F104" s="1665"/>
      <c r="G104" s="1827" t="s">
        <v>1436</v>
      </c>
      <c r="H104" s="2588">
        <f>IF(D36="同一抵押权人同一抵押物续贷",C36&amp;"（续贷，未扣减，详见特别提示）",C36)</f>
        <v>0</v>
      </c>
      <c r="I104" s="129"/>
    </row>
    <row r="105" spans="1:35" ht="18.75" customHeight="1" thickBot="1">
      <c r="A105" s="3605"/>
      <c r="B105" s="2584" t="s">
        <v>1434</v>
      </c>
      <c r="C105" s="2585">
        <f ca="1">I118</f>
        <v>20559</v>
      </c>
      <c r="D105" s="2586"/>
      <c r="E105" s="1673" t="s">
        <v>1439</v>
      </c>
      <c r="F105" s="1665"/>
      <c r="G105" s="1827" t="s">
        <v>1436</v>
      </c>
      <c r="H105" s="2589">
        <f>C37</f>
        <v>0</v>
      </c>
      <c r="I105" s="129"/>
    </row>
    <row r="106" spans="1:35" ht="18.75" customHeight="1">
      <c r="A106" s="1746" t="s">
        <v>1440</v>
      </c>
      <c r="B106" s="1746"/>
      <c r="C106" s="1746"/>
      <c r="D106" s="1746"/>
      <c r="E106" s="1828" t="s">
        <v>1441</v>
      </c>
      <c r="F106" s="1665"/>
      <c r="G106" s="1827" t="s">
        <v>1436</v>
      </c>
      <c r="H106" s="2589">
        <f>C38</f>
        <v>0</v>
      </c>
      <c r="I106" s="129"/>
    </row>
    <row r="107" spans="1:35" ht="18.75" customHeight="1">
      <c r="A107" s="129"/>
      <c r="B107" s="129"/>
      <c r="C107" s="129"/>
      <c r="D107" s="129"/>
      <c r="E107" s="3601" t="str">
        <f>IF(项目基本情况!E8="已注销","——","3.房地产抵押价值")</f>
        <v>3.房地产抵押价值</v>
      </c>
      <c r="F107" s="3602"/>
      <c r="G107" s="1826" t="s">
        <v>1432</v>
      </c>
      <c r="H107" s="2587">
        <f ca="1">IF(E107="——","——",H101-H103)</f>
        <v>155050</v>
      </c>
      <c r="I107" s="129"/>
    </row>
    <row r="108" spans="1:35" ht="18.75" customHeight="1">
      <c r="A108" s="129"/>
      <c r="B108" s="129"/>
      <c r="C108" s="129"/>
      <c r="D108" s="129"/>
      <c r="E108" s="3601"/>
      <c r="F108" s="3602"/>
      <c r="G108" s="1826" t="s">
        <v>1434</v>
      </c>
      <c r="H108" s="2547">
        <f ca="1">IF(H107=H101,H102,ROUND(H107*10000/'数据-汇总表'!E3,0))</f>
        <v>20559</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6" t="s">
        <v>1432</v>
      </c>
      <c r="H109" s="2590" t="str">
        <f>IF(E109="——","——",H101-H105-H106)</f>
        <v>——</v>
      </c>
      <c r="I109" s="129"/>
    </row>
    <row r="110" spans="1:35" ht="18.75" customHeight="1">
      <c r="A110" s="129"/>
      <c r="B110" s="129"/>
      <c r="C110" s="129"/>
      <c r="D110" s="129"/>
      <c r="E110" s="3601"/>
      <c r="F110" s="3602"/>
      <c r="G110" s="1826" t="s">
        <v>1434</v>
      </c>
      <c r="H110" s="2547"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6" t="s">
        <v>1432</v>
      </c>
      <c r="H111" s="2587" t="str">
        <f>IF(E111="——","——",N59)</f>
        <v>——</v>
      </c>
      <c r="I111" s="129"/>
    </row>
    <row r="112" spans="1:35" ht="18.75" customHeight="1" thickBot="1">
      <c r="A112" s="129"/>
      <c r="B112" s="129"/>
      <c r="C112" s="129"/>
      <c r="D112" s="129"/>
      <c r="E112" s="3634"/>
      <c r="F112" s="3635"/>
      <c r="G112" s="1829" t="s">
        <v>1434</v>
      </c>
      <c r="H112" s="2591"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6" t="s">
        <v>1449</v>
      </c>
      <c r="E117" s="2326" t="s">
        <v>1450</v>
      </c>
      <c r="F117" s="2326" t="s">
        <v>1449</v>
      </c>
      <c r="G117" s="2326" t="s">
        <v>1451</v>
      </c>
      <c r="H117" s="2326" t="s">
        <v>1449</v>
      </c>
      <c r="I117" s="2326" t="s">
        <v>1451</v>
      </c>
    </row>
    <row r="118" spans="1:27" ht="24.75" customHeight="1">
      <c r="A118" s="2592" t="str">
        <f>项目基本情况!S2</f>
        <v>北京市房地产</v>
      </c>
      <c r="B118" s="2326">
        <f>M18</f>
        <v>75416.17</v>
      </c>
      <c r="C118" s="2326">
        <f>M19</f>
        <v>15955.89</v>
      </c>
      <c r="D118" s="2326">
        <f ca="1">ROUND(IF(D32="总价",C34,E118*B118/10000),0)</f>
        <v>103418</v>
      </c>
      <c r="E118" s="2326">
        <f ca="1">ROUND(IF(C33="自定义",IF(D32="楼面单价",C34,D118*10000/B118),I118-G118),0)</f>
        <v>13713</v>
      </c>
      <c r="F118" s="2326">
        <f ca="1">ROUND(IF(D32="总价",C35,G118*B118/10000),0)</f>
        <v>51632</v>
      </c>
      <c r="G118" s="2326">
        <f ca="1">ROUND(IF(D32="楼面单价",C35,F118*10000/B118),0)</f>
        <v>6846</v>
      </c>
      <c r="H118" s="2326">
        <f ca="1">ROUND(IF(D32="总价",C32,I118*B118/10000),0)</f>
        <v>155050</v>
      </c>
      <c r="I118" s="2326">
        <f ca="1">ROUND(IF(D32="楼面单价",C32,H118*10000/B118),0)</f>
        <v>20559</v>
      </c>
    </row>
    <row r="119" spans="1:27" ht="18.75" customHeight="1">
      <c r="A119" s="3572" t="s">
        <v>1452</v>
      </c>
      <c r="B119" s="3572"/>
      <c r="C119" s="3572"/>
      <c r="D119" s="3612" t="str">
        <f ca="1">NUMBERSTRING(INT(D118*10000),2)&amp;"元整"</f>
        <v>壹拾亿叁仟肆佰壹拾捌万元整</v>
      </c>
      <c r="E119" s="3614"/>
      <c r="F119" s="3612" t="str">
        <f ca="1">NUMBERSTRING(INT(F118*10000),2)&amp;"元整"</f>
        <v>伍亿壹仟陆佰叁拾贰万元整</v>
      </c>
      <c r="G119" s="3614"/>
      <c r="H119" s="3612" t="str">
        <f ca="1">NUMBERSTRING(INT(H118*10000),2)&amp;"元整"</f>
        <v>壹拾伍亿伍仟零伍拾万元整</v>
      </c>
      <c r="I119" s="3614"/>
    </row>
    <row r="120" spans="1:27" ht="18.75" customHeight="1">
      <c r="A120" s="3636" t="str">
        <f>IF(项目基本情况!B9="房地产市场价值","",MID(E103,3,LEN(E103)-2))</f>
        <v/>
      </c>
      <c r="B120" s="3637"/>
      <c r="C120" s="3638"/>
      <c r="D120" s="3636">
        <f>H103</f>
        <v>0</v>
      </c>
      <c r="E120" s="3637"/>
      <c r="F120" s="3637"/>
      <c r="G120" s="3637"/>
      <c r="H120" s="3637"/>
      <c r="I120" s="3638"/>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
      </c>
      <c r="B122" s="3603"/>
      <c r="C122" s="3603"/>
      <c r="D122" s="3636">
        <f ca="1">H107</f>
        <v>155050</v>
      </c>
      <c r="E122" s="3637"/>
      <c r="F122" s="3637"/>
      <c r="G122" s="3637"/>
      <c r="H122" s="3637"/>
      <c r="I122" s="3638"/>
      <c r="AA122" s="725"/>
    </row>
    <row r="123" spans="1:27" ht="18.75" customHeight="1">
      <c r="A123" s="3572" t="s">
        <v>1452</v>
      </c>
      <c r="B123" s="3572"/>
      <c r="C123" s="3572"/>
      <c r="D123" s="3612" t="str">
        <f ca="1">NUMBERSTRING(INT(D122*10000),2)&amp;"元整"</f>
        <v>壹拾伍亿伍仟零伍拾万元整</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L37" sqref="L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9</v>
      </c>
    </row>
    <row r="2" spans="1:9" s="200" customFormat="1" ht="18" customHeight="1">
      <c r="A2" s="201" t="s">
        <v>1462</v>
      </c>
      <c r="B2" s="202">
        <f ca="1">IF(D2="——",C52,C52-E2)</f>
        <v>147647</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19578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73702</v>
      </c>
      <c r="D5" s="211" t="s">
        <v>1469</v>
      </c>
      <c r="E5" s="212" t="s">
        <v>1470</v>
      </c>
      <c r="F5" s="212" t="s">
        <v>1471</v>
      </c>
      <c r="G5" s="213"/>
    </row>
    <row r="6" spans="1:9" s="214" customFormat="1" ht="13.5" customHeight="1">
      <c r="A6" s="778" t="s">
        <v>1472</v>
      </c>
      <c r="B6" s="215" t="s">
        <v>1473</v>
      </c>
      <c r="C6" s="216">
        <f>'土地比较法-住宅、综合'!B2</f>
        <v>71521</v>
      </c>
      <c r="D6" s="217"/>
      <c r="E6" s="218"/>
      <c r="F6" s="218"/>
      <c r="G6" s="219"/>
    </row>
    <row r="7" spans="1:9" s="214" customFormat="1" ht="13.5" customHeight="1">
      <c r="A7" s="778" t="s">
        <v>1474</v>
      </c>
      <c r="B7" s="215" t="s">
        <v>1475</v>
      </c>
      <c r="C7" s="220">
        <f>ROUND(C6*F7,0)</f>
        <v>2181</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1508</v>
      </c>
      <c r="D10" s="845">
        <f ca="1">IF(B1="",'数据-汇总表'!E6,IF(INDIRECT("'数据-取费表'!c"&amp;$G$1)="住宅",INDIRECT("'数据-取费表'!s"&amp;$G$1),INDIRECT("'数据-取费表'!k"&amp;$G$1)+INDIRECT("'数据-取费表'!s"&amp;$G$1)))</f>
        <v>75416.17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75416.17</v>
      </c>
      <c r="E19" s="211">
        <f>'数据-取费表'!B31</f>
        <v>200</v>
      </c>
      <c r="F19" s="231"/>
      <c r="G19" s="1855" t="s">
        <v>3403</v>
      </c>
    </row>
    <row r="20" spans="1:7" s="214" customFormat="1" ht="13.5" customHeight="1">
      <c r="A20" s="255" t="s">
        <v>1493</v>
      </c>
      <c r="B20" s="210" t="s">
        <v>1494</v>
      </c>
      <c r="C20" s="232">
        <f>ROUND((C5+C19)*F20,0)</f>
        <v>1474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5224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5173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10525</v>
      </c>
      <c r="D27" s="235">
        <f ca="1">C29</f>
        <v>2.8E-3</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ROUND((C5+C19+C20)*F27*'数据-取费表'!B21/'数据-取费表'!B20,0)</f>
        <v>10525</v>
      </c>
      <c r="D28" s="235"/>
      <c r="E28" s="236"/>
      <c r="F28" s="246"/>
      <c r="G28" s="247"/>
    </row>
    <row r="29" spans="1:7" s="214" customFormat="1" ht="13.5" customHeight="1">
      <c r="A29" s="780" t="s">
        <v>347</v>
      </c>
      <c r="B29" s="248" t="s">
        <v>1517</v>
      </c>
      <c r="C29" s="238">
        <f ca="1">ROUND(C21*F27*'数据-取费表'!B21/'数据-取费表'!B20,4)</f>
        <v>2.8E-3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98489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37882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34808</v>
      </c>
      <c r="D34" s="217"/>
      <c r="E34" s="220"/>
      <c r="F34" s="257">
        <f ca="1">IF('数据-取费表'!B24=0,1,IF(B1="",'数据-取费表'!N16,INDIRECT("'数据-取费表'!n"&amp;$G$1)))</f>
        <v>1</v>
      </c>
      <c r="G34" s="219" t="s">
        <v>1526</v>
      </c>
    </row>
    <row r="35" spans="1:7" ht="13.5" customHeight="1">
      <c r="A35" s="780" t="s">
        <v>351</v>
      </c>
      <c r="B35" s="215" t="s">
        <v>1527</v>
      </c>
      <c r="C35" s="220">
        <f ca="1">ROUND(C34*F35,0)</f>
        <v>1044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1508</v>
      </c>
      <c r="D37" s="217">
        <f ca="1">D19</f>
        <v>75416.17</v>
      </c>
      <c r="E37" s="249">
        <f>'数据-取费表'!B35</f>
        <v>200</v>
      </c>
      <c r="F37" s="259"/>
      <c r="G37" s="261" t="s">
        <v>1532</v>
      </c>
    </row>
    <row r="38" spans="1:7" ht="13.5" customHeight="1">
      <c r="A38" s="780" t="s">
        <v>354</v>
      </c>
      <c r="B38" s="215" t="s">
        <v>1533</v>
      </c>
      <c r="C38" s="220">
        <f ca="1">ROUND(C34*F38,0)</f>
        <v>522</v>
      </c>
      <c r="D38" s="220"/>
      <c r="E38" s="220"/>
      <c r="F38" s="259">
        <f>'数据-取费表'!B36</f>
        <v>1.4999999999999999E-2</v>
      </c>
      <c r="G38" s="219" t="s">
        <v>1528</v>
      </c>
    </row>
    <row r="39" spans="1:7" s="214" customFormat="1" ht="13.5" customHeight="1">
      <c r="A39" s="255" t="s">
        <v>1534</v>
      </c>
      <c r="B39" s="210" t="s">
        <v>1535</v>
      </c>
      <c r="C39" s="232">
        <f ca="1">ROUND(C33*F20,0)</f>
        <v>758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1333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1307</v>
      </c>
      <c r="D42" s="238"/>
      <c r="E42" s="238"/>
      <c r="F42" s="239"/>
      <c r="G42" s="3652" t="s">
        <v>1544</v>
      </c>
    </row>
    <row r="43" spans="1:7" ht="13.5" customHeight="1">
      <c r="A43" s="780" t="s">
        <v>347</v>
      </c>
      <c r="B43" s="215" t="s">
        <v>1545</v>
      </c>
      <c r="C43" s="238">
        <f ca="1">ROUND(IF('数据-取费表'!B22&lt;=1,C39*F22*'数据-取费表'!B21/2,C39*(POWER((1+F22),'数据-取费表'!B21/2)-1)),0)</f>
        <v>26</v>
      </c>
      <c r="D43" s="238"/>
      <c r="E43" s="238"/>
      <c r="F43" s="239"/>
      <c r="G43" s="3653"/>
    </row>
    <row r="44" spans="1:7" ht="13.5" customHeight="1">
      <c r="A44" s="780"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5410</v>
      </c>
      <c r="D45" s="235">
        <f ca="1">C47</f>
        <v>2.8E-3</v>
      </c>
      <c r="E45" s="236" t="s">
        <v>1539</v>
      </c>
      <c r="F45" s="246">
        <f ca="1">F27</f>
        <v>0.14000000000000001</v>
      </c>
      <c r="G45" s="247" t="s">
        <v>1548</v>
      </c>
    </row>
    <row r="46" spans="1:7" s="214" customFormat="1" ht="13.5" customHeight="1">
      <c r="A46" s="780" t="s">
        <v>346</v>
      </c>
      <c r="B46" s="248" t="s">
        <v>1549</v>
      </c>
      <c r="C46" s="249">
        <f ca="1">ROUND((C33+C39)*F27,0)</f>
        <v>5410</v>
      </c>
      <c r="D46" s="263"/>
      <c r="E46" s="236"/>
      <c r="F46" s="246"/>
      <c r="G46" s="247"/>
    </row>
    <row r="47" spans="1:7" s="214" customFormat="1" ht="13.5" customHeight="1">
      <c r="A47" s="780" t="s">
        <v>347</v>
      </c>
      <c r="B47" s="248" t="s">
        <v>1550</v>
      </c>
      <c r="C47" s="238">
        <f ca="1">ROUND(C40*F27,4)</f>
        <v>2.8E-3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49158</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49158</v>
      </c>
      <c r="D51" s="232"/>
      <c r="E51" s="232"/>
      <c r="F51" s="264"/>
      <c r="G51" s="234" t="s">
        <v>1560</v>
      </c>
    </row>
    <row r="52" spans="1:7" s="208" customFormat="1" ht="16.5" thickBot="1">
      <c r="A52" s="265" t="s">
        <v>1561</v>
      </c>
      <c r="B52" s="266"/>
      <c r="C52" s="267">
        <f ca="1">C31+C51</f>
        <v>147647</v>
      </c>
      <c r="D52" s="266"/>
      <c r="E52" s="266"/>
      <c r="F52" s="266"/>
      <c r="G52" s="268"/>
    </row>
    <row r="55" spans="1:7" ht="15">
      <c r="B55" s="270" t="s">
        <v>1562</v>
      </c>
      <c r="C55" s="271"/>
    </row>
    <row r="56" spans="1:7">
      <c r="B56" s="273" t="s">
        <v>802</v>
      </c>
      <c r="C56" s="275">
        <f ca="1">1-C57</f>
        <v>0.66700000000000004</v>
      </c>
    </row>
    <row r="57" spans="1:7">
      <c r="B57" s="273" t="s">
        <v>803</v>
      </c>
      <c r="C57" s="274">
        <f ca="1">ROUND(C51/C52,3)</f>
        <v>0.33300000000000002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9</v>
      </c>
      <c r="H1" s="1061" t="str">
        <f>IF(ISERROR(FIND("住宅",B1)),"非住宅","住宅")</f>
        <v>非住宅</v>
      </c>
    </row>
    <row r="2" spans="1:8" s="200" customFormat="1" ht="18" customHeight="1">
      <c r="A2" s="201" t="s">
        <v>1462</v>
      </c>
      <c r="B2" s="3416">
        <f ca="1">ROUND(IF(D2="——",C52/10000,C52/10000-E2),4)</f>
        <v>51173.898800000003</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6786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15083234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15083234</v>
      </c>
      <c r="D8" s="222"/>
      <c r="E8" s="220"/>
      <c r="F8" s="221"/>
      <c r="G8" s="1855" t="s">
        <v>3402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15083234</v>
      </c>
      <c r="D10" s="845">
        <f ca="1">IF(B1="",'数据-汇总表'!E6,IF(INDIRECT("'数据-取费表'!c"&amp;$G$1)="住宅",INDIRECT("'数据-取费表'!s"&amp;$G$1),INDIRECT("'数据-取费表'!k"&amp;$G$1)+INDIRECT("'数据-取费表'!s"&amp;$G$1)))</f>
        <v>75416.17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75416.17</v>
      </c>
      <c r="E19" s="211">
        <f>'数据-取费表'!B31</f>
        <v>200</v>
      </c>
      <c r="F19" s="231"/>
      <c r="G19" s="1855" t="s">
        <v>3403</v>
      </c>
    </row>
    <row r="20" spans="1:7" s="214" customFormat="1" ht="13.5" customHeight="1">
      <c r="A20" s="255" t="s">
        <v>1574</v>
      </c>
      <c r="B20" s="210" t="s">
        <v>1575</v>
      </c>
      <c r="C20" s="232">
        <f ca="1">ROUND((C5+C19)*F20,0)</f>
        <v>301665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1069103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1058696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10407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2153886</v>
      </c>
      <c r="D27" s="235">
        <f ca="1">C29</f>
        <v>2.8E-3</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ROUND((C5+C19+C20)*F27,0)</f>
        <v>2153886</v>
      </c>
      <c r="D28" s="235"/>
      <c r="E28" s="236"/>
      <c r="F28" s="246"/>
      <c r="G28" s="247"/>
    </row>
    <row r="29" spans="1:7" s="214" customFormat="1" ht="13.5" customHeight="1">
      <c r="A29" s="780" t="s">
        <v>347</v>
      </c>
      <c r="B29" s="248" t="s">
        <v>1517</v>
      </c>
      <c r="C29" s="238">
        <f ca="1">ROUND(C21*F27,4)</f>
        <v>2.8E-3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20155858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378825822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348079032</v>
      </c>
      <c r="D34" s="217"/>
      <c r="E34" s="220"/>
      <c r="F34" s="257"/>
      <c r="G34" s="219"/>
    </row>
    <row r="35" spans="1:7" ht="13.5" customHeight="1">
      <c r="A35" s="780" t="s">
        <v>351</v>
      </c>
      <c r="B35" s="215" t="s">
        <v>1527</v>
      </c>
      <c r="C35" s="220">
        <f ca="1">ROUND(C34*F35,0)</f>
        <v>10442371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15083234</v>
      </c>
      <c r="D37" s="217">
        <f ca="1">D19</f>
        <v>75416.17</v>
      </c>
      <c r="E37" s="249">
        <f>'数据-取费表'!B35</f>
        <v>200</v>
      </c>
      <c r="F37" s="259"/>
      <c r="G37" s="261"/>
    </row>
    <row r="38" spans="1:7" ht="13.5" customHeight="1">
      <c r="A38" s="780" t="s">
        <v>354</v>
      </c>
      <c r="B38" s="215" t="s">
        <v>1533</v>
      </c>
      <c r="C38" s="220">
        <f ca="1">ROUND(C34*F38,0)</f>
        <v>5221185</v>
      </c>
      <c r="D38" s="220"/>
      <c r="E38" s="220"/>
      <c r="F38" s="259">
        <f>'数据-取费表'!B36</f>
        <v>1.4999999999999999E-2</v>
      </c>
      <c r="G38" s="219" t="s">
        <v>1528</v>
      </c>
    </row>
    <row r="39" spans="1:7" s="214" customFormat="1" ht="13.5" customHeight="1">
      <c r="A39" s="255" t="s">
        <v>1534</v>
      </c>
      <c r="B39" s="210" t="s">
        <v>1535</v>
      </c>
      <c r="C39" s="232">
        <f ca="1">ROUND(C33*F20,0)</f>
        <v>7576516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13330881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13069491</v>
      </c>
      <c r="D42" s="238"/>
      <c r="E42" s="238"/>
      <c r="F42" s="239"/>
      <c r="G42" s="3652" t="s">
        <v>1591</v>
      </c>
    </row>
    <row r="43" spans="1:7" ht="13.5" customHeight="1">
      <c r="A43" s="780" t="s">
        <v>347</v>
      </c>
      <c r="B43" s="215" t="s">
        <v>1545</v>
      </c>
      <c r="C43" s="238">
        <f ca="1">ROUND(IF('数据-取费表'!B22&lt;=1,C39*F22*'数据-取费表'!B20/2,C39*(POWER((1+F22),'数据-取费表'!B20/2)-1)),0)</f>
        <v>261390</v>
      </c>
      <c r="D43" s="238"/>
      <c r="E43" s="238"/>
      <c r="F43" s="239"/>
      <c r="G43" s="3653"/>
    </row>
    <row r="44" spans="1:7" ht="13.5" customHeight="1">
      <c r="A44" s="780"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54096327</v>
      </c>
      <c r="D45" s="235">
        <f ca="1">C47</f>
        <v>2.8E-3</v>
      </c>
      <c r="E45" s="236" t="s">
        <v>1539</v>
      </c>
      <c r="F45" s="246">
        <f ca="1">F27</f>
        <v>0.14000000000000001</v>
      </c>
      <c r="G45" s="247" t="s">
        <v>1548</v>
      </c>
    </row>
    <row r="46" spans="1:7" s="214" customFormat="1" ht="13.5" customHeight="1">
      <c r="A46" s="780" t="s">
        <v>346</v>
      </c>
      <c r="B46" s="248" t="s">
        <v>1549</v>
      </c>
      <c r="C46" s="249">
        <f ca="1">ROUND((C33+C39)*F27,0)</f>
        <v>54096327</v>
      </c>
      <c r="D46" s="263"/>
      <c r="E46" s="236"/>
      <c r="F46" s="246"/>
      <c r="G46" s="247"/>
    </row>
    <row r="47" spans="1:7" s="214" customFormat="1" ht="13.5" customHeight="1">
      <c r="A47" s="780" t="s">
        <v>347</v>
      </c>
      <c r="B47" s="248" t="s">
        <v>1550</v>
      </c>
      <c r="C47" s="238">
        <f ca="1">ROUND(C40*F27,4)</f>
        <v>2.8E-3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491583130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491583130</v>
      </c>
      <c r="D51" s="232"/>
      <c r="E51" s="232"/>
      <c r="F51" s="264"/>
      <c r="G51" s="234" t="s">
        <v>1560</v>
      </c>
    </row>
    <row r="52" spans="1:7" s="208" customFormat="1" ht="16.5" thickBot="1">
      <c r="A52" s="265" t="s">
        <v>1561</v>
      </c>
      <c r="B52" s="266"/>
      <c r="C52" s="267">
        <f ca="1">C31+C51</f>
        <v>511738988</v>
      </c>
      <c r="D52" s="266"/>
      <c r="E52" s="266"/>
      <c r="F52" s="266"/>
      <c r="G52" s="268"/>
    </row>
    <row r="55" spans="1:7" ht="15">
      <c r="B55" s="270" t="s">
        <v>1562</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798"/>
      <c r="F1" s="2798"/>
      <c r="G1" s="2663"/>
      <c r="H1" s="2798"/>
      <c r="I1" s="2798"/>
      <c r="J1" s="2798"/>
      <c r="K1" s="2799">
        <f>MATCH(C1,'数据-取费表'!A6:A16,0)+5</f>
        <v>9</v>
      </c>
    </row>
    <row r="2" spans="1:33" ht="18" customHeight="1">
      <c r="A2" s="201" t="s">
        <v>1462</v>
      </c>
      <c r="B2" s="204">
        <f ca="1">C32</f>
        <v>-1704</v>
      </c>
      <c r="C2" s="276" t="s">
        <v>1595</v>
      </c>
      <c r="D2" s="276"/>
      <c r="E2" s="2798"/>
      <c r="F2" s="2798"/>
      <c r="G2" s="2798"/>
      <c r="H2" s="2798"/>
      <c r="I2" s="2798"/>
      <c r="J2" s="2798"/>
      <c r="K2" s="2798"/>
    </row>
    <row r="3" spans="1:33" ht="18" customHeight="1" thickBot="1">
      <c r="A3" s="203" t="s">
        <v>1464</v>
      </c>
      <c r="B3" s="204">
        <f ca="1">ROUND(B2*10000/IF(C1="",'数据-汇总表'!E3,INDIRECT("'数据-取费表'!K"&amp;$K$1)),0)</f>
        <v>-226</v>
      </c>
      <c r="C3" s="276" t="s">
        <v>1596</v>
      </c>
      <c r="D3" s="276"/>
      <c r="E3" s="2798"/>
      <c r="F3" s="2798"/>
      <c r="G3" s="2798"/>
      <c r="H3" s="2798"/>
      <c r="I3" s="2798"/>
      <c r="J3" s="2798"/>
      <c r="K3" s="2798"/>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75416.17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75416.17</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1508</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1508</v>
      </c>
      <c r="D20" s="846">
        <f ca="1">IF(C1="",'数据-汇总表'!E6,IF(INDIRECT("'数据-取费表'!c"&amp;$K$1)="住宅",INDIRECT("'数据-取费表'!s"&amp;$K$1),INDIRECT("'数据-取费表'!k"&amp;$K$1)+INDIRECT("'数据-取费表'!s"&amp;$K$1)))</f>
        <v>75416.17</v>
      </c>
      <c r="E20" s="21">
        <f>'数据-取费表'!B28</f>
        <v>200</v>
      </c>
      <c r="F20" s="804"/>
      <c r="G20" s="12"/>
      <c r="H20" s="809"/>
      <c r="I20" s="809"/>
      <c r="J20" s="809"/>
      <c r="K20" s="810"/>
    </row>
    <row r="21" spans="1:33" s="803" customFormat="1" ht="13.5" customHeight="1">
      <c r="A21" s="790" t="s">
        <v>357</v>
      </c>
      <c r="B21" s="813" t="s">
        <v>1628</v>
      </c>
      <c r="C21" s="814">
        <f ca="1">C16+C17+C18</f>
        <v>1508</v>
      </c>
      <c r="D21" s="815"/>
      <c r="E21" s="281"/>
      <c r="F21" s="281"/>
      <c r="G21" s="131" t="s">
        <v>1629</v>
      </c>
      <c r="H21" s="807"/>
      <c r="I21" s="807"/>
      <c r="J21" s="807"/>
      <c r="K21" s="808"/>
    </row>
    <row r="22" spans="1:33" s="803" customFormat="1" ht="13.5" customHeight="1">
      <c r="A22" s="790" t="s">
        <v>1601</v>
      </c>
      <c r="B22" s="813" t="s">
        <v>1630</v>
      </c>
      <c r="C22" s="814">
        <f ca="1">ROUND(C21*F22,0)</f>
        <v>30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215</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215</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-1704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G45" sqref="G45"/>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62079.76</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48869</v>
      </c>
      <c r="C2" s="1996" t="s">
        <v>1935</v>
      </c>
      <c r="D2" s="1997" t="s">
        <v>1936</v>
      </c>
      <c r="E2" s="3414" t="s">
        <v>21</v>
      </c>
      <c r="F2" s="1997" t="s">
        <v>1937</v>
      </c>
      <c r="G2" s="1998" t="str">
        <f>IF(E2="商业",项目基本情况!B37,IF(E2="办公",项目基本情况!C37,IF(E2="住宅",项目基本情况!D37,IF(E2="工业",项目基本情况!E37,项目基本情况!F37))))</f>
        <v>七级</v>
      </c>
      <c r="H2" s="1997" t="s">
        <v>1938</v>
      </c>
      <c r="I2" s="1998" t="str">
        <f>IF(E2="商业",项目基本情况!B38,IF(E2="办公",项目基本情况!C38,IF(E2="住宅",项目基本情况!D38,IF(E2="工业",项目基本情况!E38,项目基本情况!F38))))</f>
        <v>Ⅶ-兴1</v>
      </c>
      <c r="J2" s="1999"/>
      <c r="K2" s="1119"/>
      <c r="L2" s="2000" t="s">
        <v>1939</v>
      </c>
      <c r="M2" s="864">
        <f>SUMPRODUCT((区片价!B10:B29=I2)*(区片价!C3:G3=E2)*(区片价!C10:G29))</f>
        <v>0</v>
      </c>
      <c r="N2" s="866">
        <f>SUMPRODUCT((因素修正幅度!B10:B29=I2)*(因素修正幅度!C3:G3=E2)*(因素修正幅度!C10:G29))</f>
        <v>0</v>
      </c>
      <c r="O2" s="1119"/>
      <c r="P2" s="1119"/>
      <c r="Q2" s="1119"/>
      <c r="R2" s="1211">
        <v>1</v>
      </c>
      <c r="S2" s="3353">
        <f>ROUND(SUMPRODUCT((B106:B110=R2)*(C105:N105=G2)*(C106:N110)),4)</f>
        <v>1.5019</v>
      </c>
      <c r="T2" s="3353">
        <f t="shared" ref="T2:T16" si="0">ROUND($C$5*$C$22*$C$23*$C$24*S2*$C$28,0)</f>
        <v>12822</v>
      </c>
      <c r="U2" s="1212"/>
      <c r="V2" s="3353">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7872</v>
      </c>
      <c r="C3" s="1996" t="s">
        <v>1941</v>
      </c>
      <c r="D3" s="1997" t="s">
        <v>1942</v>
      </c>
      <c r="E3" s="3412" t="s">
        <v>3465</v>
      </c>
      <c r="F3" s="2001" t="s">
        <v>3460</v>
      </c>
      <c r="G3" s="752">
        <f>IF(F3="宗地容积率",'数据-汇总表'!I4,IF(F3="估价对象容积率",'数据-汇总表'!I6,'数据-汇总表'!I7))</f>
        <v>3.89</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1">
        <v>2</v>
      </c>
      <c r="S3" s="3353">
        <f>ROUND(SUMPRODUCT((B106:B110=R3)*(C105:N105=G2)*(C106:N110)),4)</f>
        <v>1.1838</v>
      </c>
      <c r="T3" s="3353">
        <f t="shared" si="0"/>
        <v>10106</v>
      </c>
      <c r="U3" s="1212"/>
      <c r="V3" s="3353">
        <f t="shared" ref="V3:V16" si="1">ROUND(T3*U3/10000,0)</f>
        <v>0</v>
      </c>
      <c r="W3" s="1215"/>
      <c r="X3" s="1215"/>
      <c r="Y3" s="1215"/>
      <c r="Z3" s="1215"/>
      <c r="AA3" s="1215"/>
      <c r="AB3" s="1215"/>
      <c r="AC3" s="1216"/>
      <c r="AD3" s="1217"/>
      <c r="AE3" s="1217"/>
      <c r="AF3" s="1217"/>
      <c r="AG3" s="1217"/>
      <c r="AH3" s="1217"/>
      <c r="AI3" s="1217"/>
      <c r="AJ3" s="1218"/>
    </row>
    <row r="4" spans="1:36" ht="15.75">
      <c r="A4" s="3662"/>
      <c r="B4" s="3663"/>
      <c r="C4" s="3663"/>
      <c r="D4" s="3664"/>
      <c r="E4" s="3664"/>
      <c r="F4" s="3664"/>
      <c r="G4" s="3664"/>
      <c r="H4" s="3664"/>
      <c r="I4" s="3664"/>
      <c r="J4" s="3665"/>
      <c r="K4" s="1119"/>
      <c r="L4" s="2000" t="s">
        <v>1946</v>
      </c>
      <c r="M4" s="864">
        <f>SUMPRODUCT((区片价!B55:B86=I2)*(区片价!C3:G3=E2)*(区片价!C55:G86))</f>
        <v>0</v>
      </c>
      <c r="N4" s="866">
        <f>SUMPRODUCT((因素修正幅度!B55:B86=I2)*(因素修正幅度!C3:G3=E2)*(因素修正幅度!C55:G86))</f>
        <v>0</v>
      </c>
      <c r="O4" s="1119"/>
      <c r="P4" s="1119"/>
      <c r="Q4" s="1119"/>
      <c r="R4" s="1211">
        <v>3</v>
      </c>
      <c r="S4" s="3353">
        <f>ROUND(SUMPRODUCT((B106:B110=R4)*(C105:N105=G2)*(C106:N110)),4)</f>
        <v>1.0004999999999999</v>
      </c>
      <c r="T4" s="3353">
        <f t="shared" si="0"/>
        <v>8541</v>
      </c>
      <c r="U4" s="1212"/>
      <c r="V4" s="3353">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3">
        <f>ROUND(IF(E2="商业",C6*C7*C17+C20,(IF(E2="住宅",C6*C13*C17+C20,IF(E2="办公",C6*C12*C17+C20,C6+C20)))),0)</f>
        <v>8175</v>
      </c>
      <c r="D5" s="1338">
        <f>ROUND(C6*C17+C20,0)</f>
        <v>8014</v>
      </c>
      <c r="E5" s="1338"/>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1">
        <v>4</v>
      </c>
      <c r="S5" s="3353">
        <f>ROUND(SUMPRODUCT((B106:B110=R5)*(C105:N105=G2)*(C106:N110)),4)</f>
        <v>0.88239999999999996</v>
      </c>
      <c r="T5" s="3353">
        <f t="shared" si="0"/>
        <v>7533</v>
      </c>
      <c r="U5" s="1212"/>
      <c r="V5" s="3353">
        <f t="shared" si="1"/>
        <v>0</v>
      </c>
      <c r="W5" s="1215"/>
      <c r="X5" s="1215"/>
      <c r="Y5" s="1215"/>
      <c r="Z5" s="1215"/>
      <c r="AA5" s="1215"/>
      <c r="AB5" s="1215"/>
      <c r="AC5" s="2008"/>
      <c r="AD5" s="2009"/>
      <c r="AE5" s="2009"/>
      <c r="AF5" s="2009"/>
      <c r="AG5" s="2009"/>
      <c r="AH5" s="2009"/>
      <c r="AI5" s="2009"/>
      <c r="AJ5" s="2010"/>
    </row>
    <row r="6" spans="1:36" ht="15.75" thickBot="1">
      <c r="A6" s="2012" t="s">
        <v>1949</v>
      </c>
      <c r="B6" s="2013" t="s">
        <v>1950</v>
      </c>
      <c r="C6" s="754">
        <f>SUMIF(L1:L12,G2,M1:M12)</f>
        <v>8030</v>
      </c>
      <c r="D6" s="2014"/>
      <c r="E6" s="2015"/>
      <c r="F6" s="2015"/>
      <c r="G6" s="2016"/>
      <c r="H6" s="2016"/>
      <c r="I6" s="2016"/>
      <c r="J6" s="2017"/>
      <c r="K6" s="1383"/>
      <c r="L6" s="2000" t="s">
        <v>1951</v>
      </c>
      <c r="M6" s="864">
        <f>SUMPRODUCT((区片价!B127:B189=I2)*(区片价!C3:G3=E2)*(区片价!C127:G189))</f>
        <v>0</v>
      </c>
      <c r="N6" s="866">
        <f>SUMPRODUCT((因素修正幅度!B127:B189=I2)*(因素修正幅度!C3:G3=E2)*(因素修正幅度!C127:G189))</f>
        <v>0</v>
      </c>
      <c r="O6" s="1119"/>
      <c r="P6" s="1119"/>
      <c r="Q6" s="1119"/>
      <c r="R6" s="1211">
        <v>5</v>
      </c>
      <c r="S6" s="3353">
        <f>ROUND(SUMPRODUCT((B106:B110=R6)*(C105:N105=G2)*(C106:N110)),4)</f>
        <v>0.84799999999999998</v>
      </c>
      <c r="T6" s="3353">
        <f t="shared" si="0"/>
        <v>7240</v>
      </c>
      <c r="U6" s="1212"/>
      <c r="V6" s="3353">
        <f t="shared" si="1"/>
        <v>0</v>
      </c>
      <c r="W6" s="1215"/>
      <c r="X6" s="1215"/>
      <c r="Y6" s="1215"/>
      <c r="Z6" s="1215"/>
      <c r="AA6" s="1215"/>
      <c r="AB6" s="1215"/>
      <c r="AC6" s="2008"/>
      <c r="AD6" s="2009"/>
      <c r="AE6" s="2009"/>
      <c r="AF6" s="2009"/>
      <c r="AG6" s="2009"/>
      <c r="AH6" s="2009"/>
      <c r="AI6" s="2009"/>
      <c r="AJ6" s="2010"/>
    </row>
    <row r="7" spans="1:36" ht="24.75" thickBot="1">
      <c r="A7" s="3296" t="s">
        <v>3234</v>
      </c>
      <c r="B7" s="2018" t="s">
        <v>1952</v>
      </c>
      <c r="C7" s="755">
        <f>IF(C8="不临65条商业街",1,ROUND(1+(1.6*E8+1.2*E9+0.8*E10+0.4*E11)*C9,4))</f>
        <v>1</v>
      </c>
      <c r="D7" s="2019" t="s">
        <v>1953</v>
      </c>
      <c r="E7" s="776"/>
      <c r="F7" s="2020"/>
      <c r="G7" s="2021"/>
      <c r="H7" s="2021"/>
      <c r="I7" s="2021"/>
      <c r="J7" s="2022"/>
      <c r="K7" s="1383"/>
      <c r="L7" s="2000" t="s">
        <v>1954</v>
      </c>
      <c r="M7" s="864">
        <f>SUMPRODUCT((区片价!B190:B233=I2)*(区片价!C3:G3=E2)*(区片价!C190:G233))</f>
        <v>8030</v>
      </c>
      <c r="N7" s="866">
        <f>SUMPRODUCT((因素修正幅度!B190:B233=I2)*(因素修正幅度!C3:G3=E2)*(因素修正幅度!C190:G233))</f>
        <v>0.128</v>
      </c>
      <c r="O7" s="1119"/>
      <c r="P7" s="1119"/>
      <c r="Q7" s="1119"/>
      <c r="R7" s="1211">
        <v>6</v>
      </c>
      <c r="S7" s="3411"/>
      <c r="T7" s="3353">
        <f t="shared" si="0"/>
        <v>0</v>
      </c>
      <c r="U7" s="1212"/>
      <c r="V7" s="3353">
        <f t="shared" si="1"/>
        <v>0</v>
      </c>
      <c r="W7" s="1357" t="s">
        <v>1955</v>
      </c>
      <c r="X7" s="1213" t="str">
        <f>G2</f>
        <v>七级</v>
      </c>
      <c r="Y7" s="1213" t="s">
        <v>1956</v>
      </c>
      <c r="Z7" s="1214">
        <f>G3</f>
        <v>3.89</v>
      </c>
      <c r="AA7" s="1215"/>
      <c r="AB7" s="1215"/>
      <c r="AC7" s="1216"/>
      <c r="AD7" s="1217"/>
      <c r="AE7" s="1217"/>
      <c r="AF7" s="1217"/>
      <c r="AG7" s="1217"/>
      <c r="AH7" s="1217"/>
      <c r="AI7" s="1217"/>
      <c r="AJ7" s="1218"/>
    </row>
    <row r="8" spans="1:36" ht="25.5">
      <c r="A8" s="3291"/>
      <c r="B8" s="170" t="s">
        <v>1957</v>
      </c>
      <c r="C8" s="2023" t="s">
        <v>3461</v>
      </c>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1">
        <v>7</v>
      </c>
      <c r="S8" s="1212"/>
      <c r="T8" s="3353">
        <f t="shared" si="0"/>
        <v>0</v>
      </c>
      <c r="U8" s="1212"/>
      <c r="V8" s="3353">
        <f t="shared" si="1"/>
        <v>0</v>
      </c>
      <c r="W8" s="3659" t="s">
        <v>1960</v>
      </c>
      <c r="X8" s="366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1"/>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1">
        <v>8</v>
      </c>
      <c r="S9" s="1212"/>
      <c r="T9" s="3353">
        <f t="shared" si="0"/>
        <v>0</v>
      </c>
      <c r="U9" s="1212"/>
      <c r="V9" s="3353">
        <f t="shared" si="1"/>
        <v>0</v>
      </c>
      <c r="W9" s="3661"/>
      <c r="X9" s="3354" t="s">
        <v>3264</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3">
        <f t="shared" si="0"/>
        <v>0</v>
      </c>
      <c r="U10" s="1212"/>
      <c r="V10" s="3353">
        <f t="shared" si="1"/>
        <v>0</v>
      </c>
      <c r="W10" s="3661"/>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3">
        <f t="shared" si="0"/>
        <v>0</v>
      </c>
      <c r="U11" s="1212"/>
      <c r="V11" s="3353">
        <f t="shared" si="1"/>
        <v>0</v>
      </c>
      <c r="W11" s="1215"/>
      <c r="X11" s="1215"/>
      <c r="Y11" s="1215"/>
      <c r="Z11" s="1215"/>
      <c r="AA11" s="1215"/>
      <c r="AB11" s="1215"/>
      <c r="AC11" s="1216"/>
      <c r="AD11" s="2781"/>
      <c r="AE11" s="2781"/>
      <c r="AF11" s="2781"/>
      <c r="AG11" s="2781"/>
      <c r="AH11" s="2781"/>
      <c r="AI11" s="2781"/>
      <c r="AJ11" s="2782"/>
    </row>
    <row r="12" spans="1:36" ht="25.5" thickBot="1">
      <c r="A12" s="3296" t="s">
        <v>3235</v>
      </c>
      <c r="B12" s="3297" t="s">
        <v>3236</v>
      </c>
      <c r="C12" s="3298">
        <v>1.02</v>
      </c>
      <c r="D12" s="3299" t="s">
        <v>3237</v>
      </c>
      <c r="E12" s="3300" t="s">
        <v>3238</v>
      </c>
      <c r="F12" s="3301"/>
      <c r="G12" s="3302"/>
      <c r="H12" s="3302"/>
      <c r="I12" s="3302"/>
      <c r="J12" s="3303"/>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3">
        <f t="shared" si="0"/>
        <v>0</v>
      </c>
      <c r="U12" s="1212"/>
      <c r="V12" s="3353">
        <f t="shared" si="1"/>
        <v>0</v>
      </c>
      <c r="W12" s="1215"/>
      <c r="X12" s="1215"/>
      <c r="Y12" s="1215"/>
      <c r="Z12" s="1215"/>
      <c r="AA12" s="1215"/>
      <c r="AB12" s="1215"/>
      <c r="AC12" s="1216"/>
      <c r="AD12" s="2781"/>
      <c r="AE12" s="2781"/>
      <c r="AF12" s="2781"/>
      <c r="AG12" s="2781"/>
      <c r="AH12" s="2781"/>
      <c r="AI12" s="2781"/>
      <c r="AJ12" s="2782"/>
    </row>
    <row r="13" spans="1:36" ht="15.75" thickBot="1">
      <c r="A13" s="3296" t="s">
        <v>3239</v>
      </c>
      <c r="B13" s="2031" t="s">
        <v>1982</v>
      </c>
      <c r="C13" s="755">
        <f>ROUND(C16*D16*E16*F16*G16*H16*I16*J16,4)</f>
        <v>0</v>
      </c>
      <c r="D13" s="2032" t="s">
        <v>1983</v>
      </c>
      <c r="E13" s="2033"/>
      <c r="F13" s="2033"/>
      <c r="G13" s="2034"/>
      <c r="H13" s="2034"/>
      <c r="I13" s="2034"/>
      <c r="J13" s="2035"/>
      <c r="K13" s="1119"/>
      <c r="L13" s="3292"/>
      <c r="M13" s="3293"/>
      <c r="N13" s="3294"/>
      <c r="O13" s="1119"/>
      <c r="P13" s="1119"/>
      <c r="Q13" s="1119"/>
      <c r="R13" s="1211">
        <v>12</v>
      </c>
      <c r="S13" s="1212"/>
      <c r="T13" s="3353">
        <f t="shared" si="0"/>
        <v>0</v>
      </c>
      <c r="U13" s="1212"/>
      <c r="V13" s="3353">
        <f t="shared" si="1"/>
        <v>0</v>
      </c>
      <c r="W13" s="1215"/>
      <c r="X13" s="1215"/>
      <c r="Y13" s="1215"/>
      <c r="Z13" s="1215"/>
      <c r="AA13" s="1215"/>
      <c r="AB13" s="1215"/>
      <c r="AC13" s="1216"/>
      <c r="AD13" s="2781"/>
      <c r="AE13" s="2781"/>
      <c r="AF13" s="2781"/>
      <c r="AG13" s="2781"/>
      <c r="AH13" s="2781"/>
      <c r="AI13" s="2781"/>
      <c r="AJ13" s="2782"/>
    </row>
    <row r="14" spans="1:36" ht="15">
      <c r="A14" s="3290"/>
      <c r="B14" s="2037" t="s">
        <v>1985</v>
      </c>
      <c r="C14" s="2038" t="s">
        <v>1986</v>
      </c>
      <c r="D14" s="1349" t="s">
        <v>1987</v>
      </c>
      <c r="E14" s="27" t="s">
        <v>1988</v>
      </c>
      <c r="F14" s="3304" t="s">
        <v>3240</v>
      </c>
      <c r="G14" s="3304" t="s">
        <v>3240</v>
      </c>
      <c r="H14" s="3304" t="s">
        <v>3240</v>
      </c>
      <c r="I14" s="3304" t="s">
        <v>3240</v>
      </c>
      <c r="J14" s="3304" t="s">
        <v>3240</v>
      </c>
      <c r="K14" s="1119"/>
      <c r="L14" s="1119"/>
      <c r="M14" s="1119"/>
      <c r="N14" s="1119"/>
      <c r="O14" s="1119"/>
      <c r="P14" s="1119"/>
      <c r="Q14" s="1119"/>
      <c r="R14" s="1211">
        <v>13</v>
      </c>
      <c r="S14" s="1212"/>
      <c r="T14" s="3353">
        <f t="shared" si="0"/>
        <v>0</v>
      </c>
      <c r="U14" s="1212"/>
      <c r="V14" s="3353">
        <f t="shared" si="1"/>
        <v>0</v>
      </c>
      <c r="W14" s="1215"/>
      <c r="X14" s="1215"/>
      <c r="Y14" s="1215"/>
      <c r="Z14" s="1215"/>
      <c r="AA14" s="1215"/>
      <c r="AB14" s="1215"/>
      <c r="AC14" s="1216"/>
      <c r="AD14" s="2781"/>
      <c r="AE14" s="2781"/>
      <c r="AF14" s="2781"/>
      <c r="AG14" s="2781"/>
      <c r="AH14" s="2781"/>
      <c r="AI14" s="2781"/>
      <c r="AJ14" s="2782"/>
    </row>
    <row r="15" spans="1:36" ht="15">
      <c r="A15" s="3290"/>
      <c r="B15" s="2039"/>
      <c r="C15" s="2040"/>
      <c r="D15" s="2041"/>
      <c r="E15" s="2042"/>
      <c r="F15" s="3305" t="s">
        <v>3241</v>
      </c>
      <c r="G15" s="3306"/>
      <c r="H15" s="3307"/>
      <c r="I15" s="3308"/>
      <c r="J15" s="3309"/>
      <c r="K15" s="1119"/>
      <c r="L15" s="1119"/>
      <c r="M15" s="1119"/>
      <c r="N15" s="1119"/>
      <c r="O15" s="1119"/>
      <c r="P15" s="1119"/>
      <c r="Q15" s="1119"/>
      <c r="R15" s="1211">
        <v>14</v>
      </c>
      <c r="S15" s="1212"/>
      <c r="T15" s="3353">
        <f t="shared" si="0"/>
        <v>0</v>
      </c>
      <c r="U15" s="1212"/>
      <c r="V15" s="3353">
        <f t="shared" si="1"/>
        <v>0</v>
      </c>
      <c r="W15" s="1215"/>
      <c r="X15" s="1215"/>
      <c r="Y15" s="1215"/>
      <c r="Z15" s="1215"/>
      <c r="AA15" s="1215"/>
      <c r="AB15" s="1215"/>
      <c r="AC15" s="1216"/>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9"/>
      <c r="L16" s="1994"/>
      <c r="M16" s="1994"/>
      <c r="N16" s="1994"/>
      <c r="O16" s="1994"/>
      <c r="P16" s="1994"/>
      <c r="Q16" s="1119"/>
      <c r="R16" s="1211">
        <v>15</v>
      </c>
      <c r="S16" s="1212"/>
      <c r="T16" s="3353">
        <f t="shared" si="0"/>
        <v>0</v>
      </c>
      <c r="U16" s="1212"/>
      <c r="V16" s="3353">
        <f t="shared" si="1"/>
        <v>0</v>
      </c>
      <c r="W16" s="1215"/>
      <c r="X16" s="1215"/>
      <c r="Y16" s="1215"/>
      <c r="Z16" s="1215"/>
      <c r="AA16" s="1215"/>
      <c r="AB16" s="1215"/>
      <c r="AC16" s="1216"/>
      <c r="AD16" s="2781"/>
      <c r="AE16" s="2781"/>
      <c r="AF16" s="2781"/>
      <c r="AG16" s="2781"/>
      <c r="AH16" s="2781"/>
      <c r="AI16" s="2781"/>
      <c r="AJ16" s="2782"/>
    </row>
    <row r="17" spans="1:37">
      <c r="A17" s="3322" t="s">
        <v>3242</v>
      </c>
      <c r="B17" s="3313" t="s">
        <v>3243</v>
      </c>
      <c r="C17" s="3323">
        <f>ROUND(IF(OR(E2="工业",E2="公共服务"),1,IF(AND(E18=0,E19=0),1,IF(AND(E18=J24,E19=G19),0.8,IF(E19=0,1+E17*(-0.2),1+E17*G17*(-0.2))))),4)</f>
        <v>1</v>
      </c>
      <c r="D17" s="3314" t="s">
        <v>3244</v>
      </c>
      <c r="E17" s="3323">
        <f>ROUND(G18/I18,2)</f>
        <v>0</v>
      </c>
      <c r="F17" s="3314" t="s">
        <v>3247</v>
      </c>
      <c r="G17" s="3323" t="e">
        <f>ROUND(E19/G19,2)</f>
        <v>#DIV/0!</v>
      </c>
      <c r="H17" s="3323"/>
      <c r="I17" s="3323"/>
      <c r="J17" s="3324"/>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5"/>
      <c r="B18" s="3002"/>
      <c r="C18" s="3320"/>
      <c r="D18" s="3315" t="s">
        <v>3245</v>
      </c>
      <c r="E18" s="3321"/>
      <c r="F18" s="3316" t="s">
        <v>3248</v>
      </c>
      <c r="G18" s="3320">
        <f>ROUND(1-(1/(POWER(1+G24,E18))),4)</f>
        <v>0</v>
      </c>
      <c r="H18" s="3316" t="s">
        <v>3250</v>
      </c>
      <c r="I18" s="3320">
        <f>ROUND(1-(1/(POWER(1+G24,J24))),4)</f>
        <v>0.93120000000000003</v>
      </c>
      <c r="J18" s="3326"/>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0"/>
    </row>
    <row r="19" spans="1:37" s="2011" customFormat="1" ht="15" thickBot="1">
      <c r="A19" s="3327"/>
      <c r="B19" s="3328"/>
      <c r="C19" s="3329"/>
      <c r="D19" s="3329" t="s">
        <v>3246</v>
      </c>
      <c r="E19" s="3330"/>
      <c r="F19" s="3331" t="s">
        <v>3249</v>
      </c>
      <c r="G19" s="3330"/>
      <c r="H19" s="3329"/>
      <c r="I19" s="3329"/>
      <c r="J19" s="3332"/>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3"/>
      <c r="AH19" s="2138"/>
      <c r="AI19" s="2784"/>
      <c r="AJ19" s="2784"/>
      <c r="AK19" s="2054"/>
    </row>
    <row r="20" spans="1:37" s="2011" customFormat="1" ht="14.25">
      <c r="A20" s="3666" t="s">
        <v>3251</v>
      </c>
      <c r="B20" s="167" t="s">
        <v>1994</v>
      </c>
      <c r="C20" s="3317">
        <f>ROUND(IF(F21="与级别开发程度一致",0,(G21-E21)/C21),0)</f>
        <v>-16</v>
      </c>
      <c r="D20" s="3333" t="s">
        <v>1998</v>
      </c>
      <c r="E20" s="3334"/>
      <c r="F20" s="3672" t="s">
        <v>1995</v>
      </c>
      <c r="G20" s="3673"/>
      <c r="H20" s="3318" t="s">
        <v>3378</v>
      </c>
      <c r="I20" s="3318" t="s">
        <v>3379</v>
      </c>
      <c r="J20" s="3319" t="s">
        <v>3380</v>
      </c>
      <c r="K20" s="2044" t="s">
        <v>3381</v>
      </c>
      <c r="L20" s="2044" t="s">
        <v>3382</v>
      </c>
      <c r="M20" s="2044" t="s">
        <v>3462</v>
      </c>
      <c r="N20" s="2044" t="s">
        <v>3383</v>
      </c>
      <c r="O20" s="2045"/>
      <c r="P20" s="1994"/>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1" customFormat="1" ht="26.25" thickBot="1">
      <c r="A21" s="3667"/>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3463</v>
      </c>
      <c r="G21" s="2154">
        <f>SUM(H21:O21)</f>
        <v>275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15</v>
      </c>
      <c r="O21" s="2164">
        <f>SUMPRODUCT((七通一平=O20)*(修正!B1:M1=G2)*(修正!B8:M16))</f>
        <v>0</v>
      </c>
      <c r="P21" s="1994"/>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1" customFormat="1" ht="15.75" thickBot="1">
      <c r="A22" s="2155" t="s">
        <v>363</v>
      </c>
      <c r="B22" s="2156" t="s">
        <v>2000</v>
      </c>
      <c r="C22" s="2157">
        <f>SUMIF(修正!C20:C51,E3,修正!E20:E51)</f>
        <v>1</v>
      </c>
      <c r="D22" s="2158"/>
      <c r="E22" s="2159"/>
      <c r="F22" s="2159"/>
      <c r="G22" s="2159"/>
      <c r="H22" s="2159"/>
      <c r="I22" s="2159"/>
      <c r="J22" s="2160"/>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1" t="s">
        <v>2002</v>
      </c>
      <c r="E23" s="761">
        <v>44197</v>
      </c>
      <c r="F23" s="2051" t="s">
        <v>2003</v>
      </c>
      <c r="G23" s="762">
        <f>'数据-取费表'!B2</f>
        <v>45160</v>
      </c>
      <c r="H23" s="3335" t="s">
        <v>3252</v>
      </c>
      <c r="I23" s="3336" t="str">
        <f>IF(H23="季度增幅（自定义）",SUMIF(N25:N28,E2,O25:O28),"")</f>
        <v/>
      </c>
      <c r="J23" s="3438" t="s">
        <v>3464</v>
      </c>
      <c r="K23" s="1125"/>
      <c r="L23" s="2052" t="s">
        <v>2004</v>
      </c>
      <c r="M23" s="1327">
        <f>ROUND(SUMIF(地价!B2:G2,E2,地价!B16:G16),0)</f>
        <v>350</v>
      </c>
      <c r="N23" s="2053" t="s">
        <v>2005</v>
      </c>
      <c r="O23" s="763">
        <f>ROUNDDOWN(DATEDIF(E23,G23,"M")/3,0)</f>
        <v>10</v>
      </c>
      <c r="P23" s="1122"/>
      <c r="Q23" s="2780"/>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f>ROUND(POWER(1+G24,J24-I24)*(POWER(1+G24,I24)-1)/(POWER(1+G24,J24)-1),4)</f>
        <v>0.99050000000000005</v>
      </c>
      <c r="D24" s="2057" t="s">
        <v>2007</v>
      </c>
      <c r="E24" s="1334">
        <f>存贷款利率!E24/100</f>
        <v>4.3499999999999997E-2</v>
      </c>
      <c r="F24" s="2057" t="s">
        <v>1999</v>
      </c>
      <c r="G24" s="768">
        <f>SUMIF(M30:Q30,E2,M33:Q33)</f>
        <v>5.5E-2</v>
      </c>
      <c r="H24" s="2057" t="s">
        <v>2008</v>
      </c>
      <c r="I24" s="769">
        <f>SUMIF('数据-取费表'!C6:C15,E2,'数据-取费表'!F6:F15)/COUNTIF('数据-取费表'!C6:C15,E2)</f>
        <v>47.75</v>
      </c>
      <c r="J24" s="770">
        <f>IF(E2="住宅",70,IF(E2="商业",40,50))</f>
        <v>50</v>
      </c>
      <c r="K24" s="1125"/>
      <c r="L24" s="2058" t="s">
        <v>2009</v>
      </c>
      <c r="M24" s="1328">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5">
      <c r="A25" s="2062" t="s">
        <v>366</v>
      </c>
      <c r="B25" s="2063" t="s">
        <v>3331</v>
      </c>
      <c r="C25" s="771">
        <f>IF(B25="容积率修正",IF(G3&lt;10,D26,J26),C27)</f>
        <v>0.92210000000000003</v>
      </c>
      <c r="D25" s="2064"/>
      <c r="E25" s="2064"/>
      <c r="F25" s="2064"/>
      <c r="G25" s="2064"/>
      <c r="H25" s="2064"/>
      <c r="I25" s="2064"/>
      <c r="J25" s="2065"/>
      <c r="K25" s="1125"/>
      <c r="L25" s="2780"/>
      <c r="M25" s="2780"/>
      <c r="N25" s="2066" t="s">
        <v>2013</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37" t="s">
        <v>3253</v>
      </c>
      <c r="D26" s="1351">
        <f>IF(E26=G26,F26,IF(G3&lt;10,ROUND(F26+(H26-F26)*(G3-E26)/(G26-E26),4),"——"))</f>
        <v>0.92210000000000003</v>
      </c>
      <c r="E26" s="752">
        <f>ROUNDDOWN(G3,1)</f>
        <v>3.8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0.92520000000000002</v>
      </c>
      <c r="G26" s="752">
        <f>ROUNDUP(G3,1)</f>
        <v>3.9</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0.92179999999999995</v>
      </c>
      <c r="I26" s="3337" t="s">
        <v>3254</v>
      </c>
      <c r="J26" s="772" t="str">
        <f>IF(G3&gt;=10,D115,"——")</f>
        <v>——</v>
      </c>
      <c r="K26" s="1125"/>
      <c r="L26" s="2780"/>
      <c r="M26" s="2780"/>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1.0266</v>
      </c>
      <c r="D28" s="2049"/>
      <c r="E28" s="2074"/>
      <c r="F28" s="2074"/>
      <c r="G28" s="2074"/>
      <c r="H28" s="2074"/>
      <c r="I28" s="2074"/>
      <c r="J28" s="2075"/>
      <c r="K28" s="1125"/>
      <c r="L28" s="2780"/>
      <c r="M28" s="2780"/>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77" t="s">
        <v>2023</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f>IF(B25="容积率修正",E33+SUM(E37:E42),SUM(V2:V16)+SUM(E37:E42))</f>
        <v>48869</v>
      </c>
      <c r="D30" s="2080"/>
      <c r="E30" s="2043"/>
      <c r="F30" s="2081"/>
      <c r="G30" s="2043"/>
      <c r="H30" s="2043"/>
      <c r="I30" s="2043"/>
      <c r="J30" s="2082"/>
      <c r="K30" s="1119"/>
      <c r="L30" s="3343" t="s">
        <v>1936</v>
      </c>
      <c r="M30" s="3344" t="s">
        <v>1990</v>
      </c>
      <c r="N30" s="3344" t="s">
        <v>1991</v>
      </c>
      <c r="O30" s="3344" t="s">
        <v>1992</v>
      </c>
      <c r="P30" s="3344" t="s">
        <v>1993</v>
      </c>
      <c r="Q30" s="3347" t="s">
        <v>3258</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f>E34+SUM(I37:I42)</f>
        <v>0</v>
      </c>
      <c r="D31" s="2084"/>
      <c r="E31" s="2085"/>
      <c r="F31" s="2086"/>
      <c r="G31" s="2085"/>
      <c r="H31" s="2085"/>
      <c r="I31" s="2085"/>
      <c r="J31" s="2087"/>
      <c r="K31" s="1119"/>
      <c r="L31" s="3345" t="s">
        <v>1996</v>
      </c>
      <c r="M31" s="1997">
        <v>0.25</v>
      </c>
      <c r="N31" s="1997">
        <v>0.2</v>
      </c>
      <c r="O31" s="1997">
        <v>0.15</v>
      </c>
      <c r="P31" s="1997">
        <v>0.1</v>
      </c>
      <c r="Q31" s="3340">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46" t="s">
        <v>1999</v>
      </c>
      <c r="M32" s="2562">
        <f>ROUND($E$24*(1+M31),3)</f>
        <v>5.3999999999999999E-2</v>
      </c>
      <c r="N32" s="2562">
        <f>ROUND($E$24*(1+N31),3)</f>
        <v>5.1999999999999998E-2</v>
      </c>
      <c r="O32" s="2562">
        <f>ROUND($E$24*(1+O31),3)</f>
        <v>0.05</v>
      </c>
      <c r="P32" s="2562">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f>ROUND(C5*C22*C23*C24*C25*C28,0)</f>
        <v>7872</v>
      </c>
      <c r="D33" s="2095">
        <f>'数据-汇总表'!F31</f>
        <v>62079.76</v>
      </c>
      <c r="E33" s="773">
        <f>ROUND(C33*D33/10000,0)</f>
        <v>48869</v>
      </c>
      <c r="F33" s="3338" t="s">
        <v>3256</v>
      </c>
      <c r="G33" s="2096"/>
      <c r="H33" s="2096"/>
      <c r="I33" s="2096"/>
      <c r="J33" s="2097"/>
      <c r="K33" s="1119"/>
      <c r="L33" s="3341" t="s">
        <v>3259</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f>ROUND(IF(E2="工业",C33*M42,IF(B25="楼层修正",SUM(V2:V16)*M41*10000/D34,C33*M41)),0)</f>
        <v>1968</v>
      </c>
      <c r="D34" s="2100"/>
      <c r="E34" s="773">
        <f>ROUND(IF(B25="楼层修正",SUM(V2:V16)*M40,C34*D34/10000),0)</f>
        <v>0</v>
      </c>
      <c r="F34" s="2101" t="s">
        <v>2032</v>
      </c>
      <c r="G34" s="2102"/>
      <c r="H34" s="2102"/>
      <c r="I34" s="2102"/>
      <c r="J34" s="2103"/>
      <c r="K34" s="1119"/>
      <c r="L34" s="3341" t="s">
        <v>3260</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39" t="s">
        <v>3257</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49" t="s">
        <v>3261</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670"/>
      <c r="B37" s="2110" t="s">
        <v>2036</v>
      </c>
      <c r="C37" s="175">
        <f>ROUND(D5*C22*C23*C24*C28*F37,0)</f>
        <v>5021</v>
      </c>
      <c r="D37" s="2095"/>
      <c r="E37" s="171">
        <f>ROUND(C37*D37/10000,0)</f>
        <v>0</v>
      </c>
      <c r="F37" s="171">
        <f>SUMIF(修正!A57:A68,G2,修正!B57:B68)</f>
        <v>0.6</v>
      </c>
      <c r="G37" s="171">
        <f>ROUND(IF(E2="工业",C37*$M$42,C37*$M$41),0)</f>
        <v>1255</v>
      </c>
      <c r="H37" s="171">
        <f>D37</f>
        <v>0</v>
      </c>
      <c r="I37" s="171">
        <f>ROUND(G37*H37/10000,0)</f>
        <v>0</v>
      </c>
      <c r="J37" s="3004"/>
      <c r="K37" s="3351" t="s">
        <v>3262</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671"/>
      <c r="B38" s="2038" t="s">
        <v>2037</v>
      </c>
      <c r="C38" s="175">
        <f>ROUND(D5*C22*C23*C24*C28*F38,0)</f>
        <v>2511</v>
      </c>
      <c r="D38" s="2095"/>
      <c r="E38" s="171">
        <f t="shared" ref="E38:E42" si="4">ROUND(C38*D38/10000,0)</f>
        <v>0</v>
      </c>
      <c r="F38" s="171">
        <f>SUMIF(修正!A57:A68,G2,修正!C57:C68)</f>
        <v>0.3</v>
      </c>
      <c r="G38" s="171">
        <f>ROUND(IF(E2="工业",C38*$M$42,C38*$M$41),0)</f>
        <v>628</v>
      </c>
      <c r="H38" s="171">
        <f t="shared" ref="H38:H42" si="5">D38</f>
        <v>0</v>
      </c>
      <c r="I38" s="171">
        <f t="shared" ref="I38:I42" si="6">ROUND(G38*H38/10000,0)</f>
        <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671"/>
      <c r="B39" s="2038" t="s">
        <v>3255</v>
      </c>
      <c r="C39" s="175">
        <f>ROUND(D5*C22*C23*C24*C28*F39,0)</f>
        <v>2092</v>
      </c>
      <c r="D39" s="2095"/>
      <c r="E39" s="171">
        <f t="shared" si="4"/>
        <v>0</v>
      </c>
      <c r="F39" s="171">
        <f>SUMIF(修正!A57:A68,G2,修正!D57:D68)</f>
        <v>0.25</v>
      </c>
      <c r="G39" s="171">
        <f>ROUND(IF(E2="工业",C39*$M$42,C39*$M$41),0)</f>
        <v>523</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f>ROUND(D5*C22*C23*C24*C28*F40,0)</f>
        <v>2092</v>
      </c>
      <c r="D40" s="2095"/>
      <c r="E40" s="171">
        <f t="shared" si="4"/>
        <v>0</v>
      </c>
      <c r="F40" s="175">
        <f>SUMIF(修正!A57:A68,G2,修正!E57:E68)</f>
        <v>0.25</v>
      </c>
      <c r="G40" s="171">
        <f>ROUND(IF(E2="工业",C40*$M$42,C40*$M$41),0)</f>
        <v>523</v>
      </c>
      <c r="H40" s="171">
        <f t="shared" si="5"/>
        <v>0</v>
      </c>
      <c r="I40" s="171">
        <f t="shared" si="6"/>
        <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f>ROUND(D5*C22*C23*C44*C28*F41,0)</f>
        <v>2092</v>
      </c>
      <c r="D41" s="2095"/>
      <c r="E41" s="171">
        <f t="shared" si="4"/>
        <v>0</v>
      </c>
      <c r="F41" s="175">
        <f>SUMIF(修正!A57:A68,G2,修正!F57:F68)</f>
        <v>0.25</v>
      </c>
      <c r="G41" s="171">
        <f>ROUND(IF(E2="工业",C41*$M$42,C41*$M$41),0)</f>
        <v>523</v>
      </c>
      <c r="H41" s="171">
        <f t="shared" si="5"/>
        <v>0</v>
      </c>
      <c r="I41" s="171">
        <f t="shared" si="6"/>
        <v>0</v>
      </c>
      <c r="J41" s="2111"/>
      <c r="L41" s="3352" t="s">
        <v>3263</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f>ROUND(D5*C22*C23*C44*C28*F42,0)</f>
        <v>1255</v>
      </c>
      <c r="D42" s="2100"/>
      <c r="E42" s="187">
        <f t="shared" si="4"/>
        <v>0</v>
      </c>
      <c r="F42" s="767">
        <f>SUMIF(修正!A57:A68,G2,修正!G57:G68)</f>
        <v>0.15</v>
      </c>
      <c r="G42" s="187">
        <f>ROUND(IF(E2="工业",C42*$M$42,C42*$M$41),0)</f>
        <v>314</v>
      </c>
      <c r="H42" s="187">
        <f t="shared" si="5"/>
        <v>0</v>
      </c>
      <c r="I42" s="187">
        <f t="shared" si="6"/>
        <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f>ROUND(POWER(1+E44,H44-G44)*(POWER(1+E44,G44)-1)/(POWER(1+E44,H44)-1),4)</f>
        <v>0.99050000000000005</v>
      </c>
      <c r="D44" s="171" t="s">
        <v>1999</v>
      </c>
      <c r="E44" s="2150">
        <f>G24</f>
        <v>5.5E-2</v>
      </c>
      <c r="F44" s="171" t="s">
        <v>2008</v>
      </c>
      <c r="G44" s="183">
        <f>项目基本情况!F15</f>
        <v>47.75</v>
      </c>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3" t="s">
        <v>2043</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27" t="s">
        <v>2052</v>
      </c>
      <c r="B50" s="2130" t="str">
        <f>估价对象房地状况!C4</f>
        <v>一般</v>
      </c>
      <c r="C50" s="2041"/>
      <c r="D50" s="1065">
        <f t="shared" ref="D50:D58" si="7">SUMIF($J$49:$N$49,C50,J50:N50)</f>
        <v>0</v>
      </c>
      <c r="E50" s="744">
        <f>ROUND(SUM(D50:D58),4)</f>
        <v>0</v>
      </c>
      <c r="F50" s="1813" t="str">
        <f>IF(E2="商业",SUMIF(L1:L12,G2,N1:N12),"——")</f>
        <v>——</v>
      </c>
      <c r="G50" s="1063"/>
      <c r="H50" s="1066" t="str">
        <f t="shared" ref="H50:H58" si="8">IFERROR(ROUNDDOWN($F$50*I50/2,4),"——")</f>
        <v>——</v>
      </c>
      <c r="I50" s="335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7" t="s">
        <v>2053</v>
      </c>
      <c r="B51" s="2131" t="str">
        <f>估价对象房地状况!C18</f>
        <v>一般</v>
      </c>
      <c r="C51" s="2041"/>
      <c r="D51" s="1065">
        <f t="shared" si="7"/>
        <v>0</v>
      </c>
      <c r="E51" s="745"/>
      <c r="F51" s="1813"/>
      <c r="G51" s="1063"/>
      <c r="H51" s="1066" t="str">
        <f t="shared" si="8"/>
        <v>——</v>
      </c>
      <c r="I51" s="335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1" t="s">
        <v>3265</v>
      </c>
      <c r="B52" s="2131" t="str">
        <f>估价对象房地状况!C19</f>
        <v>较好</v>
      </c>
      <c r="C52" s="2041"/>
      <c r="D52" s="1065">
        <f t="shared" si="7"/>
        <v>0</v>
      </c>
      <c r="E52" s="745"/>
      <c r="F52" s="1813"/>
      <c r="G52" s="1063"/>
      <c r="H52" s="1066" t="str">
        <f t="shared" si="8"/>
        <v>——</v>
      </c>
      <c r="I52" s="335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7" t="s">
        <v>2054</v>
      </c>
      <c r="B53" s="2132" t="s">
        <v>2055</v>
      </c>
      <c r="C53" s="2041"/>
      <c r="D53" s="1065">
        <f t="shared" si="7"/>
        <v>0</v>
      </c>
      <c r="E53" s="745"/>
      <c r="F53" s="1813"/>
      <c r="G53" s="1063"/>
      <c r="H53" s="1066" t="str">
        <f t="shared" si="8"/>
        <v>——</v>
      </c>
      <c r="I53" s="335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7" t="s">
        <v>2056</v>
      </c>
      <c r="B54" s="2131">
        <f>估价对象房地状况!C24</f>
        <v>0</v>
      </c>
      <c r="C54" s="2041"/>
      <c r="D54" s="1065">
        <f t="shared" si="7"/>
        <v>0</v>
      </c>
      <c r="E54" s="745"/>
      <c r="F54" s="1813"/>
      <c r="G54" s="1063"/>
      <c r="H54" s="1066" t="str">
        <f t="shared" si="8"/>
        <v>——</v>
      </c>
      <c r="I54" s="335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7" t="s">
        <v>2057</v>
      </c>
      <c r="B55" s="2133" t="s">
        <v>2058</v>
      </c>
      <c r="C55" s="2041"/>
      <c r="D55" s="1065">
        <f t="shared" si="7"/>
        <v>0</v>
      </c>
      <c r="E55" s="745"/>
      <c r="F55" s="1813"/>
      <c r="G55" s="1063"/>
      <c r="H55" s="1066" t="str">
        <f t="shared" si="8"/>
        <v>——</v>
      </c>
      <c r="I55" s="335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4" t="s">
        <v>2059</v>
      </c>
      <c r="B56" s="1325" t="str">
        <f>估价对象房地状况!C21</f>
        <v>一般</v>
      </c>
      <c r="C56" s="2041"/>
      <c r="D56" s="1065">
        <f t="shared" si="7"/>
        <v>0</v>
      </c>
      <c r="E56" s="745"/>
      <c r="F56" s="1813"/>
      <c r="G56" s="1063"/>
      <c r="H56" s="1066" t="str">
        <f t="shared" si="8"/>
        <v>——</v>
      </c>
      <c r="I56" s="335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4" t="s">
        <v>2060</v>
      </c>
      <c r="B57" s="2131" t="str">
        <f>估价对象房地状况!C22</f>
        <v>七通</v>
      </c>
      <c r="C57" s="2041"/>
      <c r="D57" s="1065">
        <f t="shared" si="7"/>
        <v>0</v>
      </c>
      <c r="E57" s="745"/>
      <c r="F57" s="1813"/>
      <c r="G57" s="1063"/>
      <c r="H57" s="1066" t="str">
        <f t="shared" si="8"/>
        <v>——</v>
      </c>
      <c r="I57" s="335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5" t="s">
        <v>2061</v>
      </c>
      <c r="B58" s="2136" t="str">
        <f>估价对象房地状况!C20</f>
        <v>一般</v>
      </c>
      <c r="C58" s="2041"/>
      <c r="D58" s="1065">
        <f t="shared" si="7"/>
        <v>0</v>
      </c>
      <c r="E58" s="746"/>
      <c r="F58" s="1813"/>
      <c r="G58" s="1063"/>
      <c r="H58" s="1066" t="str">
        <f t="shared" si="8"/>
        <v>——</v>
      </c>
      <c r="I58" s="336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1.0266</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7" t="s">
        <v>2064</v>
      </c>
      <c r="B61" s="2130" t="str">
        <f>估价对象房地状况!C17</f>
        <v>一般</v>
      </c>
      <c r="C61" s="2041" t="s">
        <v>3467</v>
      </c>
      <c r="D61" s="1065">
        <f t="shared" ref="D61:D69" si="12">SUMIF($J$60:$N$60,C61,J61:N61)</f>
        <v>0</v>
      </c>
      <c r="E61" s="744">
        <f>ROUND(SUM(D61:D69),4)</f>
        <v>2.6599999999999999E-2</v>
      </c>
      <c r="F61" s="1813">
        <f>IF(E2="办公",SUMIF(L1:L12,G2,N1:N12),"——")</f>
        <v>0.128</v>
      </c>
      <c r="G61" s="1063">
        <v>1.6E-2</v>
      </c>
      <c r="H61" s="1066">
        <f t="shared" ref="H61:H69" si="13">IFERROR(ROUNDDOWN($F$61*I61/2,4),"——")</f>
        <v>1.6E-2</v>
      </c>
      <c r="I61" s="3359">
        <v>0.25</v>
      </c>
      <c r="J61" s="1064">
        <f t="shared" ref="J61:J69" si="14">K61+$G61</f>
        <v>3.2000000000000001E-2</v>
      </c>
      <c r="K61" s="1064">
        <f t="shared" ref="K61:K69" si="15">$L61+$G61</f>
        <v>1.6E-2</v>
      </c>
      <c r="L61" s="1064">
        <v>0</v>
      </c>
      <c r="M61" s="1064">
        <f t="shared" ref="M61:N69" si="16">L61-$G61</f>
        <v>-1.6E-2</v>
      </c>
      <c r="N61" s="1064">
        <f t="shared" si="16"/>
        <v>-3.2000000000000001E-2</v>
      </c>
      <c r="AA61" s="1120"/>
      <c r="AB61" s="1120"/>
      <c r="AC61" s="1120"/>
      <c r="AD61" s="1120"/>
      <c r="AE61" s="1120"/>
      <c r="AF61" s="1120"/>
      <c r="AG61" s="1120"/>
      <c r="AH61" s="1120"/>
      <c r="AI61" s="1120"/>
      <c r="AJ61" s="1120"/>
      <c r="AK61" s="1120"/>
    </row>
    <row r="62" spans="1:37" s="1119" customFormat="1" ht="14.25">
      <c r="A62" s="2127" t="s">
        <v>2053</v>
      </c>
      <c r="B62" s="2131" t="str">
        <f>估价对象房地状况!C18</f>
        <v>一般</v>
      </c>
      <c r="C62" s="2041" t="s">
        <v>3467</v>
      </c>
      <c r="D62" s="1065">
        <f t="shared" si="12"/>
        <v>0</v>
      </c>
      <c r="E62" s="745"/>
      <c r="F62" s="1813"/>
      <c r="G62" s="1063">
        <v>1.66E-2</v>
      </c>
      <c r="H62" s="1066">
        <f t="shared" si="13"/>
        <v>1.66E-2</v>
      </c>
      <c r="I62" s="3359">
        <v>0.26</v>
      </c>
      <c r="J62" s="1064">
        <f t="shared" si="14"/>
        <v>3.32E-2</v>
      </c>
      <c r="K62" s="1064">
        <f t="shared" si="15"/>
        <v>1.66E-2</v>
      </c>
      <c r="L62" s="1064">
        <v>0</v>
      </c>
      <c r="M62" s="1064">
        <f t="shared" si="16"/>
        <v>-1.66E-2</v>
      </c>
      <c r="N62" s="1064">
        <f t="shared" si="16"/>
        <v>-3.32E-2</v>
      </c>
      <c r="AA62" s="1120"/>
      <c r="AB62" s="1120"/>
      <c r="AC62" s="1120"/>
      <c r="AD62" s="1120"/>
      <c r="AE62" s="1120"/>
      <c r="AF62" s="1120"/>
      <c r="AG62" s="1120"/>
      <c r="AH62" s="1120"/>
      <c r="AI62" s="1120"/>
      <c r="AJ62" s="1120"/>
      <c r="AK62" s="1120"/>
    </row>
    <row r="63" spans="1:37" s="1119" customFormat="1" ht="36">
      <c r="A63" s="3361" t="s">
        <v>3265</v>
      </c>
      <c r="B63" s="2131" t="str">
        <f>估价对象房地状况!C19</f>
        <v>较好</v>
      </c>
      <c r="C63" s="2041" t="s">
        <v>3390</v>
      </c>
      <c r="D63" s="1065">
        <f t="shared" si="12"/>
        <v>7.0000000000000001E-3</v>
      </c>
      <c r="E63" s="745"/>
      <c r="F63" s="1813"/>
      <c r="G63" s="1063">
        <v>7.0000000000000001E-3</v>
      </c>
      <c r="H63" s="1066">
        <f t="shared" si="13"/>
        <v>7.0000000000000001E-3</v>
      </c>
      <c r="I63" s="3359">
        <v>0.11</v>
      </c>
      <c r="J63" s="1064">
        <f t="shared" si="14"/>
        <v>1.4E-2</v>
      </c>
      <c r="K63" s="1064">
        <f t="shared" si="15"/>
        <v>7.0000000000000001E-3</v>
      </c>
      <c r="L63" s="1064">
        <v>0</v>
      </c>
      <c r="M63" s="1064">
        <f t="shared" si="16"/>
        <v>-7.0000000000000001E-3</v>
      </c>
      <c r="N63" s="1064">
        <f t="shared" si="16"/>
        <v>-1.4E-2</v>
      </c>
      <c r="AA63" s="1120"/>
      <c r="AB63" s="1120"/>
      <c r="AC63" s="1120"/>
      <c r="AD63" s="1120"/>
      <c r="AE63" s="1120"/>
      <c r="AF63" s="1120"/>
      <c r="AG63" s="1120"/>
      <c r="AH63" s="1120"/>
      <c r="AI63" s="1120"/>
      <c r="AJ63" s="1120"/>
      <c r="AK63" s="1120"/>
    </row>
    <row r="64" spans="1:37" s="1119" customFormat="1" ht="36.75">
      <c r="A64" s="2127" t="s">
        <v>2054</v>
      </c>
      <c r="B64" s="2132" t="s">
        <v>2055</v>
      </c>
      <c r="C64" s="2041" t="s">
        <v>3390</v>
      </c>
      <c r="D64" s="1065">
        <f t="shared" si="12"/>
        <v>3.2000000000000002E-3</v>
      </c>
      <c r="E64" s="745"/>
      <c r="F64" s="1813"/>
      <c r="G64" s="1063">
        <v>3.2000000000000002E-3</v>
      </c>
      <c r="H64" s="1066">
        <f t="shared" si="13"/>
        <v>3.2000000000000002E-3</v>
      </c>
      <c r="I64" s="3359">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t="s">
        <v>3470</v>
      </c>
      <c r="D65" s="1065">
        <f t="shared" si="12"/>
        <v>-3.2000000000000002E-3</v>
      </c>
      <c r="E65" s="745"/>
      <c r="F65" s="1813"/>
      <c r="G65" s="1063">
        <v>3.2000000000000002E-3</v>
      </c>
      <c r="H65" s="1066">
        <f t="shared" si="13"/>
        <v>3.2000000000000002E-3</v>
      </c>
      <c r="I65" s="3359">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27" t="s">
        <v>2057</v>
      </c>
      <c r="B66" s="2133" t="s">
        <v>2058</v>
      </c>
      <c r="C66" s="2041" t="s">
        <v>3390</v>
      </c>
      <c r="D66" s="1065">
        <f t="shared" si="12"/>
        <v>3.8E-3</v>
      </c>
      <c r="E66" s="745"/>
      <c r="F66" s="1813"/>
      <c r="G66" s="1063">
        <v>3.8E-3</v>
      </c>
      <c r="H66" s="1066">
        <f t="shared" si="13"/>
        <v>3.8E-3</v>
      </c>
      <c r="I66" s="3359">
        <v>0.06</v>
      </c>
      <c r="J66" s="1064">
        <f t="shared" si="14"/>
        <v>7.6E-3</v>
      </c>
      <c r="K66" s="1064">
        <f t="shared" si="15"/>
        <v>3.8E-3</v>
      </c>
      <c r="L66" s="1064">
        <v>0</v>
      </c>
      <c r="M66" s="1064">
        <f t="shared" si="16"/>
        <v>-3.8E-3</v>
      </c>
      <c r="N66" s="1064">
        <f t="shared" si="16"/>
        <v>-7.6E-3</v>
      </c>
      <c r="AA66" s="1120"/>
      <c r="AB66" s="1120"/>
      <c r="AC66" s="1120"/>
      <c r="AD66" s="1120"/>
      <c r="AE66" s="1120"/>
      <c r="AF66" s="1120"/>
      <c r="AG66" s="1120"/>
      <c r="AH66" s="1120"/>
      <c r="AI66" s="1120"/>
      <c r="AJ66" s="1120"/>
      <c r="AK66" s="1120"/>
    </row>
    <row r="67" spans="1:37" s="1119" customFormat="1" ht="24">
      <c r="A67" s="2127" t="s">
        <v>2059</v>
      </c>
      <c r="B67" s="1325" t="str">
        <f>估价对象房地状况!C21</f>
        <v>一般</v>
      </c>
      <c r="C67" s="2041" t="s">
        <v>3467</v>
      </c>
      <c r="D67" s="1065">
        <f t="shared" si="12"/>
        <v>0</v>
      </c>
      <c r="E67" s="745"/>
      <c r="F67" s="1813"/>
      <c r="G67" s="1063">
        <v>3.8E-3</v>
      </c>
      <c r="H67" s="1066">
        <f t="shared" si="13"/>
        <v>3.8E-3</v>
      </c>
      <c r="I67" s="3359">
        <v>0.06</v>
      </c>
      <c r="J67" s="1064">
        <f t="shared" si="14"/>
        <v>7.6E-3</v>
      </c>
      <c r="K67" s="1064">
        <f t="shared" si="15"/>
        <v>3.8E-3</v>
      </c>
      <c r="L67" s="1064">
        <v>0</v>
      </c>
      <c r="M67" s="1064">
        <f t="shared" si="16"/>
        <v>-3.8E-3</v>
      </c>
      <c r="N67" s="1064">
        <f t="shared" si="16"/>
        <v>-7.6E-3</v>
      </c>
      <c r="AA67" s="1120"/>
      <c r="AB67" s="1120"/>
      <c r="AC67" s="1120"/>
      <c r="AD67" s="1120"/>
      <c r="AE67" s="1120"/>
      <c r="AF67" s="1120"/>
      <c r="AG67" s="1120"/>
      <c r="AH67" s="1120"/>
      <c r="AI67" s="1120"/>
      <c r="AJ67" s="1120"/>
      <c r="AK67" s="1120"/>
    </row>
    <row r="68" spans="1:37" s="1119" customFormat="1" ht="24">
      <c r="A68" s="2127" t="s">
        <v>2060</v>
      </c>
      <c r="B68" s="1325" t="str">
        <f>估价对象房地状况!C22</f>
        <v>七通</v>
      </c>
      <c r="C68" s="2041" t="s">
        <v>3471</v>
      </c>
      <c r="D68" s="1065">
        <f t="shared" si="12"/>
        <v>1.14E-2</v>
      </c>
      <c r="E68" s="745"/>
      <c r="F68" s="1813"/>
      <c r="G68" s="1063">
        <v>5.7000000000000002E-3</v>
      </c>
      <c r="H68" s="1066">
        <f t="shared" si="13"/>
        <v>5.7000000000000002E-3</v>
      </c>
      <c r="I68" s="3359">
        <v>0.09</v>
      </c>
      <c r="J68" s="1064">
        <f t="shared" si="14"/>
        <v>1.14E-2</v>
      </c>
      <c r="K68" s="1064">
        <f t="shared" si="15"/>
        <v>5.7000000000000002E-3</v>
      </c>
      <c r="L68" s="1064">
        <v>0</v>
      </c>
      <c r="M68" s="1064">
        <f t="shared" si="16"/>
        <v>-5.7000000000000002E-3</v>
      </c>
      <c r="N68" s="1064">
        <f t="shared" si="16"/>
        <v>-1.14E-2</v>
      </c>
      <c r="AA68" s="1120"/>
      <c r="AB68" s="1120"/>
      <c r="AC68" s="1120"/>
      <c r="AD68" s="1120"/>
      <c r="AE68" s="1120"/>
      <c r="AF68" s="1120"/>
      <c r="AG68" s="1120"/>
      <c r="AH68" s="1120"/>
      <c r="AI68" s="1120"/>
      <c r="AJ68" s="1120"/>
      <c r="AK68" s="1120"/>
    </row>
    <row r="69" spans="1:37" s="1119" customFormat="1" ht="24.75" thickBot="1">
      <c r="A69" s="2135" t="s">
        <v>2061</v>
      </c>
      <c r="B69" s="2137" t="str">
        <f>估价对象房地状况!C20</f>
        <v>一般</v>
      </c>
      <c r="C69" s="2041" t="s">
        <v>3390</v>
      </c>
      <c r="D69" s="1065">
        <f t="shared" si="12"/>
        <v>4.4000000000000003E-3</v>
      </c>
      <c r="E69" s="746"/>
      <c r="F69" s="1813"/>
      <c r="G69" s="1063">
        <v>4.4000000000000003E-3</v>
      </c>
      <c r="H69" s="1066">
        <f t="shared" si="13"/>
        <v>4.4000000000000003E-3</v>
      </c>
      <c r="I69" s="3360">
        <v>7.0000000000000007E-2</v>
      </c>
      <c r="J69" s="1064">
        <f t="shared" si="14"/>
        <v>8.8000000000000005E-3</v>
      </c>
      <c r="K69" s="1064">
        <f t="shared" si="15"/>
        <v>4.4000000000000003E-3</v>
      </c>
      <c r="L69" s="1064">
        <v>0</v>
      </c>
      <c r="M69" s="1064">
        <f t="shared" si="16"/>
        <v>-4.4000000000000003E-3</v>
      </c>
      <c r="N69" s="1064">
        <f t="shared" si="16"/>
        <v>-8.8000000000000005E-3</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7" t="s">
        <v>2066</v>
      </c>
      <c r="B72" s="2130" t="str">
        <f>估价对象房地状况!C15</f>
        <v>较好</v>
      </c>
      <c r="C72" s="2041"/>
      <c r="D72" s="1065">
        <f t="shared" ref="D72:D80" si="17">SUMIF($J$71:$N$71,C72,J72:N72)</f>
        <v>0</v>
      </c>
      <c r="E72" s="744">
        <f>ROUND(SUM(D72:D80),4)</f>
        <v>0</v>
      </c>
      <c r="F72" s="1813" t="str">
        <f>IF(E2="住宅",SUMIF(L1:L12,G2,N1:N12),"——")</f>
        <v>——</v>
      </c>
      <c r="G72" s="1063"/>
      <c r="H72" s="1066" t="str">
        <f t="shared" ref="H72:H80" si="18">IFERROR(ROUNDDOWN($F$72*I72/2,4),"——")</f>
        <v>——</v>
      </c>
      <c r="I72" s="335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7" t="s">
        <v>2053</v>
      </c>
      <c r="B73" s="2131" t="str">
        <f>估价对象房地状况!C18</f>
        <v>一般</v>
      </c>
      <c r="C73" s="2041"/>
      <c r="D73" s="1065">
        <f t="shared" si="17"/>
        <v>0</v>
      </c>
      <c r="E73" s="747"/>
      <c r="F73" s="1813"/>
      <c r="G73" s="1063"/>
      <c r="H73" s="1066" t="str">
        <f t="shared" si="18"/>
        <v>——</v>
      </c>
      <c r="I73" s="335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1" t="s">
        <v>3265</v>
      </c>
      <c r="B74" s="2131" t="str">
        <f>估价对象房地状况!C19</f>
        <v>较好</v>
      </c>
      <c r="C74" s="2041"/>
      <c r="D74" s="1065">
        <f t="shared" si="17"/>
        <v>0</v>
      </c>
      <c r="E74" s="747"/>
      <c r="F74" s="1813"/>
      <c r="G74" s="1063"/>
      <c r="H74" s="1066" t="str">
        <f t="shared" si="18"/>
        <v>——</v>
      </c>
      <c r="I74" s="3359">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c r="D75" s="1065">
        <f t="shared" si="17"/>
        <v>0</v>
      </c>
      <c r="E75" s="747"/>
      <c r="F75" s="1813"/>
      <c r="G75" s="1063"/>
      <c r="H75" s="1066" t="str">
        <f t="shared" si="18"/>
        <v>——</v>
      </c>
      <c r="I75" s="3359">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4">
      <c r="A76" s="2127" t="s">
        <v>2059</v>
      </c>
      <c r="B76" s="1325" t="str">
        <f>估价对象房地状况!C21</f>
        <v>一般</v>
      </c>
      <c r="C76" s="2041"/>
      <c r="D76" s="1065">
        <f t="shared" si="17"/>
        <v>0</v>
      </c>
      <c r="E76" s="747"/>
      <c r="F76" s="1813"/>
      <c r="G76" s="1063"/>
      <c r="H76" s="1066" t="str">
        <f t="shared" si="18"/>
        <v>——</v>
      </c>
      <c r="I76" s="3359">
        <v>0.08</v>
      </c>
      <c r="J76" s="1064">
        <f t="shared" si="19"/>
        <v>0</v>
      </c>
      <c r="K76" s="1064">
        <f t="shared" si="20"/>
        <v>0</v>
      </c>
      <c r="L76" s="1064">
        <v>0</v>
      </c>
      <c r="M76" s="1064">
        <f t="shared" si="21"/>
        <v>0</v>
      </c>
      <c r="N76" s="1064">
        <f t="shared" si="21"/>
        <v>0</v>
      </c>
      <c r="O76" s="1119"/>
      <c r="P76" s="1119"/>
      <c r="Z76" s="1995"/>
      <c r="AA76" s="2050"/>
      <c r="AG76" s="1121"/>
      <c r="AK76" s="2050"/>
    </row>
    <row r="77" spans="1:37" ht="24">
      <c r="A77" s="2127" t="s">
        <v>2060</v>
      </c>
      <c r="B77" s="1325" t="str">
        <f>估价对象房地状况!C22</f>
        <v>七通</v>
      </c>
      <c r="C77" s="2041"/>
      <c r="D77" s="1065">
        <f t="shared" si="17"/>
        <v>0</v>
      </c>
      <c r="E77" s="747"/>
      <c r="F77" s="1813"/>
      <c r="G77" s="1063"/>
      <c r="H77" s="1066" t="str">
        <f t="shared" si="18"/>
        <v>——</v>
      </c>
      <c r="I77" s="3359">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3"/>
      <c r="G78" s="1063"/>
      <c r="H78" s="1066" t="str">
        <f t="shared" si="18"/>
        <v>——</v>
      </c>
      <c r="I78" s="3359">
        <v>0.05</v>
      </c>
      <c r="J78" s="1064">
        <f t="shared" si="19"/>
        <v>0</v>
      </c>
      <c r="K78" s="1064">
        <f t="shared" si="20"/>
        <v>0</v>
      </c>
      <c r="L78" s="1064">
        <v>0</v>
      </c>
      <c r="M78" s="1064">
        <f t="shared" si="21"/>
        <v>0</v>
      </c>
      <c r="N78" s="1064">
        <f t="shared" si="21"/>
        <v>0</v>
      </c>
      <c r="O78" s="1994"/>
      <c r="P78" s="1994"/>
      <c r="Z78" s="1995"/>
      <c r="AA78" s="2050"/>
      <c r="AG78" s="1121"/>
      <c r="AK78" s="2050"/>
    </row>
    <row r="79" spans="1:37" ht="24">
      <c r="A79" s="2127" t="s">
        <v>2061</v>
      </c>
      <c r="B79" s="2130" t="str">
        <f>估价对象房地状况!C20</f>
        <v>一般</v>
      </c>
      <c r="C79" s="2041"/>
      <c r="D79" s="1065">
        <f t="shared" si="17"/>
        <v>0</v>
      </c>
      <c r="E79" s="747"/>
      <c r="F79" s="1813"/>
      <c r="G79" s="1063"/>
      <c r="H79" s="1066" t="str">
        <f t="shared" si="18"/>
        <v>——</v>
      </c>
      <c r="I79" s="3359">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3"/>
      <c r="G80" s="1063"/>
      <c r="H80" s="1066" t="str">
        <f t="shared" si="18"/>
        <v>——</v>
      </c>
      <c r="I80" s="3360">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1"/>
      <c r="AK82" s="2050"/>
    </row>
    <row r="83" spans="1:37" ht="24">
      <c r="A83" s="2127" t="s">
        <v>2070</v>
      </c>
      <c r="B83" s="2131" t="str">
        <f>估价对象房地状况!G15</f>
        <v>较好</v>
      </c>
      <c r="C83" s="2041"/>
      <c r="D83" s="1065">
        <f t="shared" ref="D83:D90" si="22">SUMIF($J$82:$N$82,C83,J83:N83)</f>
        <v>0</v>
      </c>
      <c r="E83" s="744">
        <f>ROUND(SUM(D83:D90),4)</f>
        <v>0</v>
      </c>
      <c r="F83" s="1813" t="str">
        <f>IF(E2="工业",SUMIF(L1:L12,G2,N1:N12),"——")</f>
        <v>——</v>
      </c>
      <c r="G83" s="1063"/>
      <c r="H83" s="1066" t="str">
        <f t="shared" ref="H83:H90" si="23">IFERROR(ROUNDDOWN($F$83*I83/2,4),"——")</f>
        <v>——</v>
      </c>
      <c r="I83" s="3359">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14.25">
      <c r="A84" s="2127" t="s">
        <v>2053</v>
      </c>
      <c r="B84" s="2131" t="str">
        <f>估价对象房地状况!G16</f>
        <v>较好</v>
      </c>
      <c r="C84" s="2041"/>
      <c r="D84" s="1065">
        <f t="shared" si="22"/>
        <v>0</v>
      </c>
      <c r="E84" s="747"/>
      <c r="F84" s="1813"/>
      <c r="G84" s="1063"/>
      <c r="H84" s="1066" t="str">
        <f t="shared" si="23"/>
        <v>——</v>
      </c>
      <c r="I84" s="3359">
        <v>0.3</v>
      </c>
      <c r="J84" s="1064">
        <f t="shared" si="24"/>
        <v>0</v>
      </c>
      <c r="K84" s="1064">
        <f t="shared" si="25"/>
        <v>0</v>
      </c>
      <c r="L84" s="1064">
        <v>0</v>
      </c>
      <c r="M84" s="1064">
        <f t="shared" si="26"/>
        <v>0</v>
      </c>
      <c r="N84" s="1064">
        <f t="shared" si="26"/>
        <v>0</v>
      </c>
      <c r="Z84" s="1995"/>
      <c r="AA84" s="2050"/>
      <c r="AG84" s="1121"/>
      <c r="AK84" s="2050"/>
    </row>
    <row r="85" spans="1:37" ht="36">
      <c r="A85" s="3361" t="s">
        <v>3266</v>
      </c>
      <c r="B85" s="2131" t="str">
        <f>估价对象房地状况!G17</f>
        <v>较好</v>
      </c>
      <c r="C85" s="2041"/>
      <c r="D85" s="1065">
        <f t="shared" si="22"/>
        <v>0</v>
      </c>
      <c r="E85" s="747"/>
      <c r="F85" s="1813"/>
      <c r="G85" s="1063"/>
      <c r="H85" s="1066" t="str">
        <f t="shared" si="23"/>
        <v>——</v>
      </c>
      <c r="I85" s="3359">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3"/>
      <c r="G86" s="1063"/>
      <c r="H86" s="1066" t="str">
        <f t="shared" si="23"/>
        <v>——</v>
      </c>
      <c r="I86" s="3359">
        <v>0.05</v>
      </c>
      <c r="J86" s="1064">
        <f t="shared" si="24"/>
        <v>0</v>
      </c>
      <c r="K86" s="1064">
        <f t="shared" si="25"/>
        <v>0</v>
      </c>
      <c r="L86" s="1064">
        <v>0</v>
      </c>
      <c r="M86" s="1064">
        <f t="shared" si="26"/>
        <v>0</v>
      </c>
      <c r="N86" s="1064">
        <f t="shared" si="26"/>
        <v>0</v>
      </c>
      <c r="Z86" s="1995"/>
      <c r="AA86" s="2050"/>
      <c r="AG86" s="1121"/>
      <c r="AK86" s="2050"/>
    </row>
    <row r="87" spans="1:37" ht="24">
      <c r="A87" s="2127" t="s">
        <v>2059</v>
      </c>
      <c r="B87" s="1325" t="str">
        <f>估价对象房地状况!G19</f>
        <v>较好</v>
      </c>
      <c r="C87" s="2041"/>
      <c r="D87" s="1065">
        <f t="shared" si="22"/>
        <v>0</v>
      </c>
      <c r="E87" s="747"/>
      <c r="F87" s="1813"/>
      <c r="G87" s="1063"/>
      <c r="H87" s="1066" t="str">
        <f t="shared" si="23"/>
        <v>——</v>
      </c>
      <c r="I87" s="3359">
        <v>0.06</v>
      </c>
      <c r="J87" s="1064">
        <f t="shared" si="24"/>
        <v>0</v>
      </c>
      <c r="K87" s="1064">
        <f t="shared" si="25"/>
        <v>0</v>
      </c>
      <c r="L87" s="1064">
        <v>0</v>
      </c>
      <c r="M87" s="1064">
        <f t="shared" si="26"/>
        <v>0</v>
      </c>
      <c r="N87" s="1064">
        <f t="shared" si="26"/>
        <v>0</v>
      </c>
    </row>
    <row r="88" spans="1:37" ht="24">
      <c r="A88" s="2127" t="s">
        <v>2060</v>
      </c>
      <c r="B88" s="1325" t="str">
        <f>估价对象房地状况!G20</f>
        <v>七通</v>
      </c>
      <c r="C88" s="2041"/>
      <c r="D88" s="1065">
        <f t="shared" si="22"/>
        <v>0</v>
      </c>
      <c r="E88" s="747"/>
      <c r="F88" s="1813"/>
      <c r="G88" s="1063"/>
      <c r="H88" s="1066" t="str">
        <f t="shared" si="23"/>
        <v>——</v>
      </c>
      <c r="I88" s="3359">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3"/>
      <c r="G89" s="1063"/>
      <c r="H89" s="1066" t="str">
        <f t="shared" si="23"/>
        <v>——</v>
      </c>
      <c r="I89" s="3359">
        <v>0.06</v>
      </c>
      <c r="J89" s="1064">
        <f t="shared" si="24"/>
        <v>0</v>
      </c>
      <c r="K89" s="1064">
        <f t="shared" si="25"/>
        <v>0</v>
      </c>
      <c r="L89" s="1064">
        <v>0</v>
      </c>
      <c r="M89" s="1064">
        <f t="shared" si="26"/>
        <v>0</v>
      </c>
      <c r="N89" s="1064">
        <f t="shared" si="26"/>
        <v>0</v>
      </c>
    </row>
    <row r="90" spans="1:37" ht="15" thickBot="1">
      <c r="A90" s="2135" t="s">
        <v>2072</v>
      </c>
      <c r="B90" s="2140" t="str">
        <f>估价对象房地状况!G18</f>
        <v>较好</v>
      </c>
      <c r="C90" s="2041"/>
      <c r="D90" s="1065">
        <f t="shared" si="22"/>
        <v>0</v>
      </c>
      <c r="E90" s="748"/>
      <c r="F90" s="1813"/>
      <c r="G90" s="1063"/>
      <c r="H90" s="1066" t="str">
        <f t="shared" si="23"/>
        <v>——</v>
      </c>
      <c r="I90" s="3360">
        <v>0.05</v>
      </c>
      <c r="J90" s="1064">
        <f t="shared" si="24"/>
        <v>0</v>
      </c>
      <c r="K90" s="1064">
        <f t="shared" si="25"/>
        <v>0</v>
      </c>
      <c r="L90" s="1064">
        <v>0</v>
      </c>
      <c r="M90" s="1064">
        <f t="shared" si="26"/>
        <v>0</v>
      </c>
      <c r="N90" s="1064">
        <f t="shared" si="26"/>
        <v>0</v>
      </c>
    </row>
    <row r="91" spans="1:37" ht="15">
      <c r="A91" s="3369" t="s">
        <v>2607</v>
      </c>
      <c r="B91" s="3370">
        <f>1+E93</f>
        <v>1</v>
      </c>
      <c r="C91" s="3363"/>
      <c r="D91" s="3364"/>
      <c r="E91" s="1813"/>
      <c r="F91" s="1813"/>
      <c r="G91" s="3365"/>
      <c r="H91" s="3366"/>
      <c r="I91" s="3367"/>
      <c r="J91" s="3368"/>
      <c r="K91" s="3368"/>
      <c r="L91" s="3368"/>
      <c r="M91" s="3368"/>
      <c r="N91" s="3368"/>
    </row>
    <row r="92" spans="1:37" ht="24.75">
      <c r="A92" s="3371" t="s">
        <v>3267</v>
      </c>
      <c r="B92" s="3358"/>
      <c r="C92" s="3358" t="s">
        <v>3276</v>
      </c>
      <c r="D92" s="3358" t="s">
        <v>3277</v>
      </c>
      <c r="E92" s="3340" t="s">
        <v>3278</v>
      </c>
      <c r="F92" s="3373" t="s">
        <v>3279</v>
      </c>
      <c r="G92" s="3358" t="s">
        <v>3280</v>
      </c>
      <c r="H92" s="3380" t="s">
        <v>3283</v>
      </c>
      <c r="I92" s="3358" t="s">
        <v>3284</v>
      </c>
      <c r="J92" s="3381" t="s">
        <v>3285</v>
      </c>
      <c r="K92" s="3381" t="s">
        <v>3286</v>
      </c>
      <c r="L92" s="3381" t="s">
        <v>3287</v>
      </c>
      <c r="M92" s="3381" t="s">
        <v>3288</v>
      </c>
      <c r="N92" s="3381" t="s">
        <v>3289</v>
      </c>
    </row>
    <row r="93" spans="1:37" ht="24">
      <c r="A93" s="3361" t="s">
        <v>3268</v>
      </c>
      <c r="B93" s="1305"/>
      <c r="C93" s="2041"/>
      <c r="D93" s="3358">
        <f>SUMIF($J$92:$N$92,C93,J93:N93)</f>
        <v>0</v>
      </c>
      <c r="E93" s="3374">
        <f>ROUND(SUM(D93:D101),4)</f>
        <v>0</v>
      </c>
      <c r="F93" s="1813"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14.25">
      <c r="A94" s="3371" t="s">
        <v>3269</v>
      </c>
      <c r="B94" s="3362" t="str">
        <f>估价对象房地状况!C18</f>
        <v>一般</v>
      </c>
      <c r="C94" s="2041"/>
      <c r="D94" s="3358">
        <f t="shared" ref="D94:D101" si="30">SUMIF($J$60:$N$60,C94,J94:N94)</f>
        <v>0</v>
      </c>
      <c r="E94" s="3375"/>
      <c r="F94" s="1813"/>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3265</v>
      </c>
      <c r="B95" s="3362" t="str">
        <f>估价对象房地状况!C19</f>
        <v>较好</v>
      </c>
      <c r="C95" s="2041"/>
      <c r="D95" s="3358">
        <f t="shared" si="30"/>
        <v>0</v>
      </c>
      <c r="E95" s="3375"/>
      <c r="F95" s="1813"/>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3270</v>
      </c>
      <c r="B96" s="3377" t="s">
        <v>3281</v>
      </c>
      <c r="C96" s="2041"/>
      <c r="D96" s="3358">
        <f t="shared" si="30"/>
        <v>0</v>
      </c>
      <c r="E96" s="3375"/>
      <c r="F96" s="1813"/>
      <c r="G96" s="3365"/>
      <c r="H96" s="3413" t="str">
        <f t="shared" si="31"/>
        <v>——</v>
      </c>
      <c r="I96" s="3359">
        <v>0.05</v>
      </c>
      <c r="J96" s="3337">
        <f t="shared" si="27"/>
        <v>0</v>
      </c>
      <c r="K96" s="3337">
        <f t="shared" si="28"/>
        <v>0</v>
      </c>
      <c r="L96" s="3337">
        <v>0</v>
      </c>
      <c r="M96" s="3337">
        <f t="shared" si="29"/>
        <v>0</v>
      </c>
      <c r="N96" s="3337">
        <f t="shared" si="29"/>
        <v>0</v>
      </c>
    </row>
    <row r="97" spans="1:14" ht="24">
      <c r="A97" s="3371" t="s">
        <v>3271</v>
      </c>
      <c r="B97" s="3362">
        <f>估价对象房地状况!C24</f>
        <v>0</v>
      </c>
      <c r="C97" s="2041"/>
      <c r="D97" s="3358">
        <f t="shared" si="30"/>
        <v>0</v>
      </c>
      <c r="E97" s="3375"/>
      <c r="F97" s="1813"/>
      <c r="G97" s="3365"/>
      <c r="H97" s="3413" t="str">
        <f t="shared" si="31"/>
        <v>——</v>
      </c>
      <c r="I97" s="3359">
        <v>0.05</v>
      </c>
      <c r="J97" s="3337">
        <f t="shared" si="27"/>
        <v>0</v>
      </c>
      <c r="K97" s="3337">
        <f t="shared" si="28"/>
        <v>0</v>
      </c>
      <c r="L97" s="3337">
        <v>0</v>
      </c>
      <c r="M97" s="3337">
        <f t="shared" si="29"/>
        <v>0</v>
      </c>
      <c r="N97" s="3337">
        <f t="shared" si="29"/>
        <v>0</v>
      </c>
    </row>
    <row r="98" spans="1:14" ht="24">
      <c r="A98" s="3371" t="s">
        <v>3272</v>
      </c>
      <c r="B98" s="3378" t="s">
        <v>3282</v>
      </c>
      <c r="C98" s="2041"/>
      <c r="D98" s="3358">
        <f t="shared" si="30"/>
        <v>0</v>
      </c>
      <c r="E98" s="3375"/>
      <c r="F98" s="1813"/>
      <c r="G98" s="3365"/>
      <c r="H98" s="3413" t="str">
        <f t="shared" si="31"/>
        <v>——</v>
      </c>
      <c r="I98" s="3359">
        <v>0.06</v>
      </c>
      <c r="J98" s="3337">
        <f t="shared" si="27"/>
        <v>0</v>
      </c>
      <c r="K98" s="3337">
        <f t="shared" si="28"/>
        <v>0</v>
      </c>
      <c r="L98" s="3337">
        <v>0</v>
      </c>
      <c r="M98" s="3337">
        <f t="shared" si="29"/>
        <v>0</v>
      </c>
      <c r="N98" s="3337">
        <f t="shared" si="29"/>
        <v>0</v>
      </c>
    </row>
    <row r="99" spans="1:14" ht="24">
      <c r="A99" s="3371" t="s">
        <v>3273</v>
      </c>
      <c r="B99" s="3362" t="str">
        <f>估价对象房地状况!C21</f>
        <v>一般</v>
      </c>
      <c r="C99" s="2041"/>
      <c r="D99" s="3358">
        <f t="shared" si="30"/>
        <v>0</v>
      </c>
      <c r="E99" s="3375"/>
      <c r="F99" s="1813"/>
      <c r="G99" s="3365"/>
      <c r="H99" s="3413" t="str">
        <f t="shared" si="31"/>
        <v>——</v>
      </c>
      <c r="I99" s="3359">
        <v>0.06</v>
      </c>
      <c r="J99" s="3337">
        <f t="shared" si="27"/>
        <v>0</v>
      </c>
      <c r="K99" s="3337">
        <f t="shared" si="28"/>
        <v>0</v>
      </c>
      <c r="L99" s="3337">
        <v>0</v>
      </c>
      <c r="M99" s="3337">
        <f t="shared" si="29"/>
        <v>0</v>
      </c>
      <c r="N99" s="3337">
        <f t="shared" si="29"/>
        <v>0</v>
      </c>
    </row>
    <row r="100" spans="1:14" ht="24">
      <c r="A100" s="3371" t="s">
        <v>3274</v>
      </c>
      <c r="B100" s="3362" t="str">
        <f>估价对象房地状况!C22</f>
        <v>七通</v>
      </c>
      <c r="C100" s="2041"/>
      <c r="D100" s="3358">
        <f t="shared" si="30"/>
        <v>0</v>
      </c>
      <c r="E100" s="3375"/>
      <c r="F100" s="1813"/>
      <c r="G100" s="3365"/>
      <c r="H100" s="3413" t="str">
        <f t="shared" si="31"/>
        <v>——</v>
      </c>
      <c r="I100" s="3359">
        <v>0.09</v>
      </c>
      <c r="J100" s="3337">
        <f t="shared" si="27"/>
        <v>0</v>
      </c>
      <c r="K100" s="3337">
        <f t="shared" si="28"/>
        <v>0</v>
      </c>
      <c r="L100" s="3337">
        <v>0</v>
      </c>
      <c r="M100" s="3337">
        <f t="shared" si="29"/>
        <v>0</v>
      </c>
      <c r="N100" s="3337">
        <f t="shared" si="29"/>
        <v>0</v>
      </c>
    </row>
    <row r="101" spans="1:14" ht="24.75" thickBot="1">
      <c r="A101" s="3372" t="s">
        <v>3275</v>
      </c>
      <c r="B101" s="3379" t="str">
        <f>估价对象房地状况!C20</f>
        <v>一般</v>
      </c>
      <c r="C101" s="2041"/>
      <c r="D101" s="3358">
        <f t="shared" si="30"/>
        <v>0</v>
      </c>
      <c r="E101" s="3376"/>
      <c r="F101" s="1813"/>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668" t="s">
        <v>3290</v>
      </c>
      <c r="B103" s="3668"/>
      <c r="C103" s="3668"/>
      <c r="D103" s="3668"/>
      <c r="E103" s="3668"/>
      <c r="F103" s="3668"/>
      <c r="G103" s="3668"/>
      <c r="H103" s="3668"/>
      <c r="I103" s="3668"/>
      <c r="J103" s="3668"/>
      <c r="K103" s="3382"/>
      <c r="L103" s="3382"/>
      <c r="M103" s="3382"/>
      <c r="N103" s="3382"/>
    </row>
    <row r="104" spans="1:14">
      <c r="A104" s="3669" t="s">
        <v>3291</v>
      </c>
      <c r="B104" s="3669" t="s">
        <v>3292</v>
      </c>
      <c r="C104" s="3383" t="s">
        <v>3293</v>
      </c>
      <c r="D104" s="3384"/>
      <c r="E104" s="3384"/>
      <c r="F104" s="3384"/>
      <c r="G104" s="3384"/>
      <c r="H104" s="3384"/>
      <c r="I104" s="3384"/>
      <c r="J104" s="3385"/>
      <c r="K104" s="3386"/>
      <c r="L104" s="3386"/>
      <c r="M104" s="3386"/>
      <c r="N104" s="3386"/>
    </row>
    <row r="105" spans="1:14">
      <c r="A105" s="3669"/>
      <c r="B105" s="3669"/>
      <c r="C105" s="3387" t="s">
        <v>3294</v>
      </c>
      <c r="D105" s="3387" t="s">
        <v>3295</v>
      </c>
      <c r="E105" s="3387" t="s">
        <v>3296</v>
      </c>
      <c r="F105" s="3387" t="s">
        <v>3297</v>
      </c>
      <c r="G105" s="3387" t="s">
        <v>3298</v>
      </c>
      <c r="H105" s="3387" t="s">
        <v>3299</v>
      </c>
      <c r="I105" s="3387" t="s">
        <v>3300</v>
      </c>
      <c r="J105" s="3387" t="s">
        <v>3301</v>
      </c>
      <c r="K105" s="3387" t="s">
        <v>3302</v>
      </c>
      <c r="L105" s="3387" t="s">
        <v>3303</v>
      </c>
      <c r="M105" s="3387" t="s">
        <v>3304</v>
      </c>
      <c r="N105" s="3387" t="s">
        <v>3305</v>
      </c>
    </row>
    <row r="106" spans="1:14">
      <c r="A106" s="3655" t="s">
        <v>3306</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656"/>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656"/>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656"/>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656"/>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656"/>
      <c r="B111" s="3387" t="s">
        <v>3264</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657"/>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658" t="s">
        <v>3307</v>
      </c>
      <c r="B113" s="3658"/>
      <c r="C113" s="3658"/>
      <c r="D113" s="3658"/>
      <c r="E113" s="3658"/>
      <c r="F113" s="3658"/>
      <c r="G113" s="3658"/>
      <c r="H113" s="3658"/>
      <c r="I113" s="3658"/>
      <c r="J113" s="3658"/>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3308</v>
      </c>
      <c r="B116" s="3408">
        <f>G3</f>
        <v>3.89</v>
      </c>
      <c r="C116" s="3392" t="s">
        <v>3309</v>
      </c>
      <c r="D116" s="3393">
        <f>SUMPRODUCT((A118:A122=F116)*(B117:M117=H116)*B118:M122)</f>
        <v>0.88629999999999998</v>
      </c>
      <c r="E116" s="1997" t="s">
        <v>3310</v>
      </c>
      <c r="F116" s="3394" t="str">
        <f>E2</f>
        <v>办公</v>
      </c>
      <c r="G116" s="1997" t="s">
        <v>3311</v>
      </c>
      <c r="H116" s="3394" t="str">
        <f>G2</f>
        <v>七级</v>
      </c>
      <c r="I116" s="1997"/>
      <c r="J116" s="3395"/>
      <c r="K116" s="3395"/>
      <c r="L116" s="3395"/>
      <c r="M116" s="3395"/>
      <c r="N116" s="3390"/>
    </row>
    <row r="117" spans="1:14">
      <c r="A117" s="3396"/>
      <c r="B117" s="3397" t="s">
        <v>3312</v>
      </c>
      <c r="C117" s="3397" t="s">
        <v>3313</v>
      </c>
      <c r="D117" s="3397" t="s">
        <v>3314</v>
      </c>
      <c r="E117" s="3398" t="s">
        <v>3315</v>
      </c>
      <c r="F117" s="3398" t="s">
        <v>3316</v>
      </c>
      <c r="G117" s="3398" t="s">
        <v>3317</v>
      </c>
      <c r="H117" s="3399" t="s">
        <v>3318</v>
      </c>
      <c r="I117" s="3399" t="s">
        <v>3319</v>
      </c>
      <c r="J117" s="3400" t="s">
        <v>3320</v>
      </c>
      <c r="K117" s="3400" t="s">
        <v>3321</v>
      </c>
      <c r="L117" s="3400" t="s">
        <v>3322</v>
      </c>
      <c r="M117" s="3401" t="s">
        <v>3323</v>
      </c>
      <c r="N117" s="3390"/>
    </row>
    <row r="118" spans="1:14">
      <c r="A118" s="3402" t="s">
        <v>3324</v>
      </c>
      <c r="B118" s="3380">
        <f>ROUND(0.9968-0.011*B116,4)</f>
        <v>0.95399999999999996</v>
      </c>
      <c r="C118" s="3380">
        <f>B118</f>
        <v>0.95399999999999996</v>
      </c>
      <c r="D118" s="3380">
        <f>ROUND(0.949-0.014*B116,4)</f>
        <v>0.89449999999999996</v>
      </c>
      <c r="E118" s="3380">
        <f>D118</f>
        <v>0.89449999999999996</v>
      </c>
      <c r="F118" s="3380">
        <f>E118</f>
        <v>0.89449999999999996</v>
      </c>
      <c r="G118" s="3380">
        <f>F118</f>
        <v>0.89449999999999996</v>
      </c>
      <c r="H118" s="3380">
        <f>G118</f>
        <v>0.89449999999999996</v>
      </c>
      <c r="I118" s="3380">
        <f>ROUND(0.8486-0.018*B116,4)</f>
        <v>0.77859999999999996</v>
      </c>
      <c r="J118" s="3380">
        <f t="shared" ref="J118:M122" si="35">I118</f>
        <v>0.77859999999999996</v>
      </c>
      <c r="K118" s="3380">
        <f t="shared" si="35"/>
        <v>0.77859999999999996</v>
      </c>
      <c r="L118" s="3380">
        <f t="shared" si="35"/>
        <v>0.77859999999999996</v>
      </c>
      <c r="M118" s="3403">
        <f t="shared" si="35"/>
        <v>0.77859999999999996</v>
      </c>
      <c r="N118" s="3390"/>
    </row>
    <row r="119" spans="1:14">
      <c r="A119" s="3402" t="s">
        <v>3325</v>
      </c>
      <c r="B119" s="3380">
        <f>ROUND(0.993-0.0112*B116,4)</f>
        <v>0.94940000000000002</v>
      </c>
      <c r="C119" s="3380">
        <f>B119</f>
        <v>0.94940000000000002</v>
      </c>
      <c r="D119" s="3380">
        <f>ROUND(0.9415-0.0142*B116,4)</f>
        <v>0.88629999999999998</v>
      </c>
      <c r="E119" s="3380">
        <f t="shared" ref="E119:H120" si="36">D119</f>
        <v>0.88629999999999998</v>
      </c>
      <c r="F119" s="3380">
        <f t="shared" si="36"/>
        <v>0.88629999999999998</v>
      </c>
      <c r="G119" s="3380">
        <f t="shared" si="36"/>
        <v>0.88629999999999998</v>
      </c>
      <c r="H119" s="3380">
        <f t="shared" si="36"/>
        <v>0.88629999999999998</v>
      </c>
      <c r="I119" s="3380">
        <f>ROUND(0.838-0.0182*B116,4)</f>
        <v>0.76719999999999999</v>
      </c>
      <c r="J119" s="3380">
        <f t="shared" si="35"/>
        <v>0.76719999999999999</v>
      </c>
      <c r="K119" s="3380">
        <f t="shared" si="35"/>
        <v>0.76719999999999999</v>
      </c>
      <c r="L119" s="3380">
        <f t="shared" si="35"/>
        <v>0.76719999999999999</v>
      </c>
      <c r="M119" s="3403">
        <f t="shared" si="35"/>
        <v>0.76719999999999999</v>
      </c>
      <c r="N119" s="3390"/>
    </row>
    <row r="120" spans="1:14">
      <c r="A120" s="3402" t="s">
        <v>3326</v>
      </c>
      <c r="B120" s="3380">
        <f>ROUND(0.9448-0.0115*B116,4)</f>
        <v>0.90010000000000001</v>
      </c>
      <c r="C120" s="3380">
        <f>B120</f>
        <v>0.90010000000000001</v>
      </c>
      <c r="D120" s="3380">
        <f>ROUND(0.937-0.0145*B116,4)</f>
        <v>0.88060000000000005</v>
      </c>
      <c r="E120" s="3380">
        <f t="shared" si="36"/>
        <v>0.88060000000000005</v>
      </c>
      <c r="F120" s="3380">
        <f t="shared" si="36"/>
        <v>0.88060000000000005</v>
      </c>
      <c r="G120" s="3380">
        <f t="shared" si="36"/>
        <v>0.88060000000000005</v>
      </c>
      <c r="H120" s="3380">
        <f t="shared" si="36"/>
        <v>0.88060000000000005</v>
      </c>
      <c r="I120" s="3380">
        <f>ROUND(0.7965-0.0185*B116,4)</f>
        <v>0.72450000000000003</v>
      </c>
      <c r="J120" s="3380">
        <f t="shared" si="35"/>
        <v>0.72450000000000003</v>
      </c>
      <c r="K120" s="3380">
        <f t="shared" si="35"/>
        <v>0.72450000000000003</v>
      </c>
      <c r="L120" s="3380">
        <f t="shared" si="35"/>
        <v>0.72450000000000003</v>
      </c>
      <c r="M120" s="3403">
        <f t="shared" si="35"/>
        <v>0.72450000000000003</v>
      </c>
      <c r="N120" s="3390"/>
    </row>
    <row r="121" spans="1:14" ht="13.5" thickBot="1">
      <c r="A121" s="3404" t="s">
        <v>3327</v>
      </c>
      <c r="B121" s="3405">
        <f>ROUND(0.7836-0.012*B116,4)</f>
        <v>0.7369</v>
      </c>
      <c r="C121" s="3405">
        <f>B121</f>
        <v>0.7369</v>
      </c>
      <c r="D121" s="3405">
        <f>ROUND(0.753-0.015*B116,4)</f>
        <v>0.69469999999999998</v>
      </c>
      <c r="E121" s="3405">
        <f>D121</f>
        <v>0.69469999999999998</v>
      </c>
      <c r="F121" s="3405">
        <f>E121</f>
        <v>0.69469999999999998</v>
      </c>
      <c r="G121" s="3405">
        <f>ROUND(0.6612-0.018*B116,4)</f>
        <v>0.59119999999999995</v>
      </c>
      <c r="H121" s="3405">
        <f>G121</f>
        <v>0.59119999999999995</v>
      </c>
      <c r="I121" s="3405">
        <f>ROUND(0.5905-0.019*B116,4)</f>
        <v>0.51659999999999995</v>
      </c>
      <c r="J121" s="3405">
        <f t="shared" si="35"/>
        <v>0.51659999999999995</v>
      </c>
      <c r="K121" s="3405">
        <f t="shared" si="35"/>
        <v>0.51659999999999995</v>
      </c>
      <c r="L121" s="3405">
        <f t="shared" si="35"/>
        <v>0.51659999999999995</v>
      </c>
      <c r="M121" s="3406">
        <f t="shared" si="35"/>
        <v>0.51659999999999995</v>
      </c>
      <c r="N121" s="3390"/>
    </row>
    <row r="122" spans="1:14">
      <c r="A122" s="3407" t="s">
        <v>2607</v>
      </c>
      <c r="B122" s="3380">
        <f>ROUND(0.9404-0.0106*B116,4)</f>
        <v>0.8992</v>
      </c>
      <c r="C122" s="3380">
        <f>B122</f>
        <v>0.8992</v>
      </c>
      <c r="D122" s="3380">
        <f>ROUND(0.8955-0.0135*B116,4)</f>
        <v>0.84299999999999997</v>
      </c>
      <c r="E122" s="3380">
        <f t="shared" ref="E122:H122" si="37">D122</f>
        <v>0.84299999999999997</v>
      </c>
      <c r="F122" s="3380">
        <f t="shared" si="37"/>
        <v>0.84299999999999997</v>
      </c>
      <c r="G122" s="3380">
        <f t="shared" si="37"/>
        <v>0.84299999999999997</v>
      </c>
      <c r="H122" s="3380">
        <f t="shared" si="37"/>
        <v>0.84299999999999997</v>
      </c>
      <c r="I122" s="3380">
        <f>ROUND(0.7632-0.0166*B116,4)</f>
        <v>0.6986</v>
      </c>
      <c r="J122" s="3380">
        <f t="shared" si="35"/>
        <v>0.6986</v>
      </c>
      <c r="K122" s="3380">
        <f t="shared" si="35"/>
        <v>0.6986</v>
      </c>
      <c r="L122" s="3380">
        <f t="shared" si="35"/>
        <v>0.6986</v>
      </c>
      <c r="M122" s="3403">
        <f t="shared" si="35"/>
        <v>0.6986</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L29" sqref="L2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71521</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9484</v>
      </c>
      <c r="C3" s="203" t="s">
        <v>1869</v>
      </c>
      <c r="D3" s="1192"/>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5">
      <c r="A4" s="355" t="s">
        <v>1769</v>
      </c>
      <c r="B4" s="356"/>
      <c r="C4" s="3678" t="s">
        <v>1770</v>
      </c>
      <c r="D4" s="3690"/>
      <c r="E4" s="3691" t="s">
        <v>1771</v>
      </c>
      <c r="F4" s="3692"/>
      <c r="G4" s="3678" t="s">
        <v>1772</v>
      </c>
      <c r="H4" s="3690"/>
      <c r="I4" s="3678" t="s">
        <v>1773</v>
      </c>
      <c r="J4" s="3690"/>
      <c r="K4" s="559" t="s">
        <v>1774</v>
      </c>
      <c r="L4" s="2707"/>
      <c r="M4" s="2708"/>
      <c r="N4" s="2708"/>
      <c r="O4" s="2708"/>
      <c r="P4" s="3693" t="s">
        <v>1775</v>
      </c>
      <c r="Q4" s="3694"/>
      <c r="R4" s="3699" t="s">
        <v>1771</v>
      </c>
      <c r="S4" s="3700"/>
      <c r="T4" s="3699" t="s">
        <v>1772</v>
      </c>
      <c r="U4" s="3700"/>
      <c r="V4" s="3686" t="s">
        <v>1773</v>
      </c>
      <c r="W4" s="3686"/>
      <c r="X4" s="1354"/>
      <c r="Y4" s="3699" t="s">
        <v>1775</v>
      </c>
      <c r="Z4" s="3700"/>
      <c r="AA4" s="3687" t="s">
        <v>1771</v>
      </c>
      <c r="AB4" s="3688" t="s">
        <v>1772</v>
      </c>
      <c r="AC4" s="3687" t="s">
        <v>1773</v>
      </c>
    </row>
    <row r="5" spans="1:30" ht="48.75" customHeight="1">
      <c r="A5" s="358"/>
      <c r="B5" s="359"/>
      <c r="C5" s="3712">
        <f>项目基本情况!F10</f>
        <v>0</v>
      </c>
      <c r="D5" s="3708"/>
      <c r="E5" s="3715" t="str">
        <f>土地案例!A2</f>
        <v>北京经济技术开发区亦庄新城0303街区C14C-3地块F3其他类多功能用地</v>
      </c>
      <c r="F5" s="3716"/>
      <c r="G5" s="3707" t="str">
        <f>土地案例!A3</f>
        <v>北京大兴国际机场临空经济区 DX12-0105-6006、6009 地块F3其他类多功能用地</v>
      </c>
      <c r="H5" s="3708"/>
      <c r="I5" s="3707" t="str">
        <f>土地案例!A4</f>
        <v>北京经济技术开发区亦庄新城0902街区JG01-07地块F3其他类多功能用地</v>
      </c>
      <c r="J5" s="3708"/>
      <c r="K5" s="559"/>
      <c r="L5" s="2707"/>
      <c r="M5" s="2708"/>
      <c r="N5" s="2708"/>
      <c r="O5" s="2708"/>
      <c r="P5" s="3695"/>
      <c r="Q5" s="3696"/>
      <c r="R5" s="3701"/>
      <c r="S5" s="3702"/>
      <c r="T5" s="3701"/>
      <c r="U5" s="3702"/>
      <c r="V5" s="3686"/>
      <c r="W5" s="3686"/>
      <c r="X5" s="1354"/>
      <c r="Y5" s="3701"/>
      <c r="Z5" s="3702"/>
      <c r="AA5" s="3688"/>
      <c r="AB5" s="3688"/>
      <c r="AC5" s="3688"/>
    </row>
    <row r="6" spans="1:30" ht="15.75" thickBot="1">
      <c r="A6" s="360"/>
      <c r="B6" s="361"/>
      <c r="C6" s="3705" t="s">
        <v>1677</v>
      </c>
      <c r="D6" s="3706"/>
      <c r="E6" s="3713" t="s">
        <v>1677</v>
      </c>
      <c r="F6" s="3714"/>
      <c r="G6" s="3705" t="s">
        <v>1677</v>
      </c>
      <c r="H6" s="3706"/>
      <c r="I6" s="3705" t="s">
        <v>1677</v>
      </c>
      <c r="J6" s="3706"/>
      <c r="K6" s="559" t="s">
        <v>1678</v>
      </c>
      <c r="L6" s="2707"/>
      <c r="M6" s="2708"/>
      <c r="N6" s="2708"/>
      <c r="O6" s="2708"/>
      <c r="P6" s="3697"/>
      <c r="Q6" s="3698"/>
      <c r="R6" s="3701"/>
      <c r="S6" s="3702"/>
      <c r="T6" s="3703"/>
      <c r="U6" s="3704"/>
      <c r="V6" s="3686"/>
      <c r="W6" s="3686"/>
      <c r="X6" s="1354"/>
      <c r="Y6" s="3703"/>
      <c r="Z6" s="3704"/>
      <c r="AA6" s="3689"/>
      <c r="AB6" s="3689"/>
      <c r="AC6" s="3689"/>
    </row>
    <row r="7" spans="1:30" s="108" customFormat="1" ht="15.75" thickBot="1">
      <c r="A7" s="362" t="s">
        <v>1679</v>
      </c>
      <c r="B7" s="363"/>
      <c r="C7" s="364">
        <f>'数据-取费表'!B2</f>
        <v>45160</v>
      </c>
      <c r="D7" s="365">
        <v>100</v>
      </c>
      <c r="E7" s="366">
        <f>土地案例!AC2</f>
        <v>44735.000497685185</v>
      </c>
      <c r="F7" s="367">
        <f>SUMIF(69:69,YEAR(E7)&amp;"-"&amp;INT((MONTH(E7)+2)/3),70:70)</f>
        <v>97.5</v>
      </c>
      <c r="G7" s="1971">
        <f>土地案例!AC3</f>
        <v>44680.000497685185</v>
      </c>
      <c r="H7" s="365">
        <f>SUMIF(69:69,YEAR(G7)&amp;"-"&amp;INT((MONTH(G7)+2)/3),70:70)</f>
        <v>97.5</v>
      </c>
      <c r="I7" s="1971">
        <f>土地案例!AC4</f>
        <v>44600.000497685185</v>
      </c>
      <c r="J7" s="365">
        <f>SUMIF(69:69,YEAR(I7)&amp;"-"&amp;INT((MONTH(I7)+2)/3),70:70)</f>
        <v>97</v>
      </c>
      <c r="K7" s="560"/>
      <c r="L7" s="2709"/>
      <c r="M7" s="2710"/>
      <c r="N7" s="2710"/>
      <c r="O7" s="2710"/>
      <c r="P7" s="3709" t="s">
        <v>1680</v>
      </c>
      <c r="Q7" s="3711"/>
      <c r="R7" s="701" t="s">
        <v>14</v>
      </c>
      <c r="S7" s="702">
        <f t="shared" ref="S7:S15" si="0">F7</f>
        <v>97.5</v>
      </c>
      <c r="T7" s="701" t="s">
        <v>14</v>
      </c>
      <c r="U7" s="702">
        <f t="shared" ref="U7:U15" si="1">H7</f>
        <v>97.5</v>
      </c>
      <c r="V7" s="701" t="s">
        <v>14</v>
      </c>
      <c r="W7" s="702">
        <f t="shared" ref="W7:W15" si="2">J7</f>
        <v>97</v>
      </c>
      <c r="X7" s="703"/>
      <c r="Y7" s="3709" t="s">
        <v>1680</v>
      </c>
      <c r="Z7" s="3710"/>
      <c r="AA7" s="704">
        <f>D7/F7</f>
        <v>1.0256410256410255</v>
      </c>
      <c r="AB7" s="704">
        <f>D7/H7</f>
        <v>1.0256410256410255</v>
      </c>
      <c r="AC7" s="704">
        <f>D7/J7</f>
        <v>1.0309278350515463</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09"/>
      <c r="M8" s="2710"/>
      <c r="N8" s="2710"/>
      <c r="O8" s="2710"/>
      <c r="P8" s="3709" t="s">
        <v>1683</v>
      </c>
      <c r="Q8" s="3710"/>
      <c r="R8" s="701" t="s">
        <v>14</v>
      </c>
      <c r="S8" s="702">
        <f t="shared" si="0"/>
        <v>100</v>
      </c>
      <c r="T8" s="701" t="s">
        <v>14</v>
      </c>
      <c r="U8" s="702">
        <f t="shared" si="1"/>
        <v>100</v>
      </c>
      <c r="V8" s="701" t="s">
        <v>14</v>
      </c>
      <c r="W8" s="702">
        <f t="shared" si="2"/>
        <v>100</v>
      </c>
      <c r="X8" s="703"/>
      <c r="Y8" s="3709" t="s">
        <v>1683</v>
      </c>
      <c r="Z8" s="3710"/>
      <c r="AA8" s="704">
        <f t="shared" ref="AA8:AA45" si="3">D8/F8</f>
        <v>1</v>
      </c>
      <c r="AB8" s="704">
        <f t="shared" ref="AB8:AB45" si="4">D8/H8</f>
        <v>1</v>
      </c>
      <c r="AC8" s="704">
        <f t="shared" ref="AC8:AC45" si="5">D8/J8</f>
        <v>1</v>
      </c>
    </row>
    <row r="9" spans="1:30" s="108" customFormat="1">
      <c r="A9" s="369" t="s">
        <v>1684</v>
      </c>
      <c r="B9" s="63" t="s">
        <v>1685</v>
      </c>
      <c r="C9" s="1974" t="s">
        <v>3665</v>
      </c>
      <c r="D9" s="126">
        <v>100</v>
      </c>
      <c r="E9" s="1974" t="s">
        <v>3665</v>
      </c>
      <c r="F9" s="126">
        <f>SUMIF(74:74,E9,75:75)-SUMIF(74:74,C9,75:75)+100</f>
        <v>100</v>
      </c>
      <c r="G9" s="1974" t="s">
        <v>3665</v>
      </c>
      <c r="H9" s="126">
        <f>SUMIF(74:74,G9,75:75)-SUMIF(74:74,C9,75:75)+100</f>
        <v>100</v>
      </c>
      <c r="I9" s="1974" t="s">
        <v>3665</v>
      </c>
      <c r="J9" s="126">
        <f>SUMIF(74:74,I9,75:75)-SUMIF(74:74,C9,75:75)+100</f>
        <v>100</v>
      </c>
      <c r="K9" s="560"/>
      <c r="L9" s="2709"/>
      <c r="M9" s="2710"/>
      <c r="N9" s="2710"/>
      <c r="O9" s="2764"/>
      <c r="P9" s="3681"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f>项目基本情况!E15</f>
        <v>47.75</v>
      </c>
      <c r="D10" s="127">
        <v>100</v>
      </c>
      <c r="E10" s="416" t="s">
        <v>3666</v>
      </c>
      <c r="F10" s="127">
        <f>ROUND(100/'数据-取费表'!G16,0)</f>
        <v>101</v>
      </c>
      <c r="G10" s="416" t="s">
        <v>3666</v>
      </c>
      <c r="H10" s="127">
        <f>ROUND(100/'数据-取费表'!G16,0)</f>
        <v>101</v>
      </c>
      <c r="I10" s="416" t="s">
        <v>3666</v>
      </c>
      <c r="J10" s="127">
        <f>ROUND(100/'数据-取费表'!G16,0)</f>
        <v>101</v>
      </c>
      <c r="K10" s="620"/>
      <c r="L10" s="2711"/>
      <c r="M10" s="2712"/>
      <c r="N10" s="2712"/>
      <c r="O10" s="2765"/>
      <c r="P10" s="3681"/>
      <c r="Q10" s="1342" t="str">
        <f t="shared" si="6"/>
        <v>土地使用年限（年）</v>
      </c>
      <c r="R10" s="701" t="s">
        <v>14</v>
      </c>
      <c r="S10" s="702">
        <f t="shared" si="0"/>
        <v>101</v>
      </c>
      <c r="T10" s="701" t="s">
        <v>14</v>
      </c>
      <c r="U10" s="702">
        <f t="shared" si="1"/>
        <v>101</v>
      </c>
      <c r="V10" s="701" t="s">
        <v>14</v>
      </c>
      <c r="W10" s="702">
        <f t="shared" si="2"/>
        <v>101</v>
      </c>
      <c r="X10" s="703"/>
      <c r="Y10" s="3559"/>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f>'数据-汇总表'!I4</f>
        <v>3.92</v>
      </c>
      <c r="D11" s="127">
        <v>100</v>
      </c>
      <c r="E11" s="380">
        <f>土地案例!K2</f>
        <v>5</v>
      </c>
      <c r="F11" s="127">
        <f>LOOKUP(E11,79:79,80:80)-LOOKUP(C11,79:79,80:80)+100</f>
        <v>96</v>
      </c>
      <c r="G11" s="381">
        <f>土地案例!K3</f>
        <v>2.2000000000000002</v>
      </c>
      <c r="H11" s="127">
        <f>LOOKUP(G11,79:79,80:80)-LOOKUP(C11,79:79,80:80)+100</f>
        <v>102</v>
      </c>
      <c r="I11" s="380">
        <f>土地案例!K4</f>
        <v>3</v>
      </c>
      <c r="J11" s="127">
        <f>LOOKUP(I11,79:79,80:80)-LOOKUP(C11,79:79,80:80)+100</f>
        <v>100</v>
      </c>
      <c r="K11" s="621">
        <v>2</v>
      </c>
      <c r="L11" s="2713"/>
      <c r="M11" s="2708"/>
      <c r="N11" s="2708"/>
      <c r="O11" s="2766"/>
      <c r="P11" s="3681"/>
      <c r="Q11" s="1342" t="str">
        <f t="shared" si="6"/>
        <v>容积率</v>
      </c>
      <c r="R11" s="701" t="s">
        <v>14</v>
      </c>
      <c r="S11" s="702">
        <f t="shared" si="0"/>
        <v>96</v>
      </c>
      <c r="T11" s="701" t="s">
        <v>14</v>
      </c>
      <c r="U11" s="702">
        <f t="shared" si="1"/>
        <v>102</v>
      </c>
      <c r="V11" s="701" t="s">
        <v>14</v>
      </c>
      <c r="W11" s="702">
        <f t="shared" si="2"/>
        <v>100</v>
      </c>
      <c r="X11" s="703"/>
      <c r="Y11" s="3559"/>
      <c r="Z11" s="52" t="str">
        <f t="shared" si="7"/>
        <v>容积率</v>
      </c>
      <c r="AA11" s="704">
        <f t="shared" si="3"/>
        <v>1.0416666666666667</v>
      </c>
      <c r="AB11" s="704">
        <f t="shared" si="4"/>
        <v>0.98039215686274506</v>
      </c>
      <c r="AC11" s="704">
        <f t="shared" si="5"/>
        <v>1</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681"/>
      <c r="Q12" s="1342"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681"/>
      <c r="Q13" s="1342">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681"/>
      <c r="Q14" s="1342">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15" hidden="1">
      <c r="A15" s="391" t="s">
        <v>1690</v>
      </c>
      <c r="B15" s="61" t="s">
        <v>1257</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682" t="s">
        <v>1691</v>
      </c>
      <c r="Q15" s="1351" t="str">
        <f t="shared" si="6"/>
        <v>居住社区成熟度</v>
      </c>
      <c r="R15" s="705" t="s">
        <v>14</v>
      </c>
      <c r="S15" s="706">
        <f t="shared" si="0"/>
        <v>100</v>
      </c>
      <c r="T15" s="705" t="s">
        <v>14</v>
      </c>
      <c r="U15" s="706">
        <f t="shared" si="1"/>
        <v>100</v>
      </c>
      <c r="V15" s="705" t="s">
        <v>14</v>
      </c>
      <c r="W15" s="706">
        <f t="shared" si="2"/>
        <v>100</v>
      </c>
      <c r="X15" s="1354"/>
      <c r="Y15" s="3682"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14"/>
      <c r="M16" s="2708"/>
      <c r="N16" s="2708"/>
      <c r="O16" s="2766"/>
      <c r="P16" s="3683"/>
      <c r="Q16" s="1351"/>
      <c r="R16" s="705"/>
      <c r="S16" s="706"/>
      <c r="T16" s="705"/>
      <c r="U16" s="706"/>
      <c r="V16" s="705"/>
      <c r="W16" s="706"/>
      <c r="X16" s="1354"/>
      <c r="Y16" s="3683"/>
      <c r="Z16" s="1355"/>
      <c r="AA16" s="1352">
        <v>1</v>
      </c>
      <c r="AB16" s="1352">
        <v>1</v>
      </c>
      <c r="AC16" s="1352">
        <v>1</v>
      </c>
    </row>
    <row r="17" spans="1:29" ht="15" hidden="1">
      <c r="A17" s="379"/>
      <c r="B17" s="402" t="s">
        <v>1777</v>
      </c>
      <c r="C17" s="1952"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683"/>
      <c r="Q17" s="1351" t="str">
        <f>B17</f>
        <v>商业繁华度</v>
      </c>
      <c r="R17" s="705" t="s">
        <v>14</v>
      </c>
      <c r="S17" s="706">
        <f>F17</f>
        <v>100</v>
      </c>
      <c r="T17" s="705" t="s">
        <v>14</v>
      </c>
      <c r="U17" s="706">
        <f>H17</f>
        <v>100</v>
      </c>
      <c r="V17" s="705" t="s">
        <v>14</v>
      </c>
      <c r="W17" s="706">
        <f>J17</f>
        <v>100</v>
      </c>
      <c r="X17" s="1354"/>
      <c r="Y17" s="3683"/>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14"/>
      <c r="M18" s="2708"/>
      <c r="N18" s="2708"/>
      <c r="O18" s="2766"/>
      <c r="P18" s="3683"/>
      <c r="Q18" s="1351"/>
      <c r="R18" s="705"/>
      <c r="S18" s="706"/>
      <c r="T18" s="705"/>
      <c r="U18" s="706"/>
      <c r="V18" s="705"/>
      <c r="W18" s="706"/>
      <c r="X18" s="1354"/>
      <c r="Y18" s="3683"/>
      <c r="Z18" s="1355"/>
      <c r="AA18" s="1352">
        <v>1</v>
      </c>
      <c r="AB18" s="1352">
        <v>1</v>
      </c>
      <c r="AC18" s="1352">
        <v>1</v>
      </c>
    </row>
    <row r="19" spans="1:29" ht="15">
      <c r="A19" s="379"/>
      <c r="B19" s="402" t="s">
        <v>1811</v>
      </c>
      <c r="C19" s="1952" t="str">
        <f>估价对象房地状况!C17</f>
        <v>一般</v>
      </c>
      <c r="D19" s="406">
        <v>100</v>
      </c>
      <c r="E19" s="403" t="s">
        <v>3390</v>
      </c>
      <c r="F19" s="406">
        <f>SUMIF(91:91,E20,92:92)-SUMIF(91:91,C20,92:92)+100</f>
        <v>102</v>
      </c>
      <c r="G19" s="408" t="s">
        <v>3467</v>
      </c>
      <c r="H19" s="401">
        <f>SUMIF(91:91,G20,92:92)-SUMIF(91:91,C20,92:92)+100</f>
        <v>98</v>
      </c>
      <c r="I19" s="408" t="s">
        <v>3467</v>
      </c>
      <c r="J19" s="401">
        <f>SUMIF(91:91,I20,92:92)-SUMIF(91:91,C20,92:92)+100</f>
        <v>100</v>
      </c>
      <c r="K19" s="621">
        <v>2</v>
      </c>
      <c r="L19" s="2714"/>
      <c r="M19" s="2708"/>
      <c r="N19" s="2708"/>
      <c r="O19" s="2766"/>
      <c r="P19" s="3683"/>
      <c r="Q19" s="1351" t="str">
        <f>B19</f>
        <v>办公集聚程度</v>
      </c>
      <c r="R19" s="705" t="s">
        <v>14</v>
      </c>
      <c r="S19" s="706">
        <f>F19</f>
        <v>102</v>
      </c>
      <c r="T19" s="705" t="s">
        <v>14</v>
      </c>
      <c r="U19" s="706">
        <f>H19</f>
        <v>98</v>
      </c>
      <c r="V19" s="705" t="s">
        <v>14</v>
      </c>
      <c r="W19" s="706">
        <f>J19</f>
        <v>100</v>
      </c>
      <c r="X19" s="1354"/>
      <c r="Y19" s="3683"/>
      <c r="Z19" s="1355" t="str">
        <f>Q19</f>
        <v>办公集聚程度</v>
      </c>
      <c r="AA19" s="1352">
        <f t="shared" si="3"/>
        <v>0.98039215686274506</v>
      </c>
      <c r="AB19" s="1352">
        <f t="shared" si="4"/>
        <v>1.0204081632653061</v>
      </c>
      <c r="AC19" s="1352">
        <f t="shared" si="5"/>
        <v>1</v>
      </c>
    </row>
    <row r="20" spans="1:29" ht="15">
      <c r="A20" s="379"/>
      <c r="B20" s="407"/>
      <c r="C20" s="398" t="s">
        <v>3467</v>
      </c>
      <c r="D20" s="399"/>
      <c r="E20" s="1897" t="s">
        <v>3390</v>
      </c>
      <c r="F20" s="399"/>
      <c r="G20" s="1897" t="s">
        <v>3470</v>
      </c>
      <c r="H20" s="399"/>
      <c r="I20" s="1897" t="s">
        <v>3467</v>
      </c>
      <c r="J20" s="399"/>
      <c r="K20" s="620"/>
      <c r="L20" s="2714"/>
      <c r="M20" s="2708"/>
      <c r="N20" s="2708"/>
      <c r="O20" s="2766"/>
      <c r="P20" s="3683"/>
      <c r="Q20" s="1351"/>
      <c r="R20" s="705"/>
      <c r="S20" s="706"/>
      <c r="T20" s="705"/>
      <c r="U20" s="706"/>
      <c r="V20" s="705"/>
      <c r="W20" s="706"/>
      <c r="X20" s="1354"/>
      <c r="Y20" s="3683"/>
      <c r="Z20" s="1355"/>
      <c r="AA20" s="1352">
        <v>1</v>
      </c>
      <c r="AB20" s="1352">
        <v>1</v>
      </c>
      <c r="AC20" s="1352">
        <v>1</v>
      </c>
    </row>
    <row r="21" spans="1:29" ht="15">
      <c r="A21" s="379"/>
      <c r="B21" s="402" t="s">
        <v>1833</v>
      </c>
      <c r="C21" s="1899" t="str">
        <f>估价对象房地状况!C18</f>
        <v>一般</v>
      </c>
      <c r="D21" s="401">
        <v>100</v>
      </c>
      <c r="E21" s="403" t="s">
        <v>3390</v>
      </c>
      <c r="F21" s="406">
        <f>SUMIF(93:93,E22,94:94)-SUMIF(93:93,C22,94:94)+100</f>
        <v>102</v>
      </c>
      <c r="G21" s="403" t="s">
        <v>3467</v>
      </c>
      <c r="H21" s="401">
        <f>SUMIF(93:93,G22,94:94)-SUMIF(93:93,C22,94:94)+100</f>
        <v>98</v>
      </c>
      <c r="I21" s="403" t="s">
        <v>3390</v>
      </c>
      <c r="J21" s="401">
        <f>SUMIF(93:93,I22,94:94)-SUMIF(93:93,C22,94:94)+100</f>
        <v>102</v>
      </c>
      <c r="K21" s="621">
        <v>2</v>
      </c>
      <c r="L21" s="2714"/>
      <c r="M21" s="2708"/>
      <c r="N21" s="2708"/>
      <c r="O21" s="2766"/>
      <c r="P21" s="3683"/>
      <c r="Q21" s="1351" t="str">
        <f>B21</f>
        <v>交通便捷度</v>
      </c>
      <c r="R21" s="705" t="s">
        <v>14</v>
      </c>
      <c r="S21" s="706">
        <f>F21</f>
        <v>102</v>
      </c>
      <c r="T21" s="705" t="s">
        <v>14</v>
      </c>
      <c r="U21" s="706">
        <f>H21</f>
        <v>98</v>
      </c>
      <c r="V21" s="705" t="s">
        <v>14</v>
      </c>
      <c r="W21" s="706">
        <f>J21</f>
        <v>102</v>
      </c>
      <c r="X21" s="1354"/>
      <c r="Y21" s="3683"/>
      <c r="Z21" s="1355" t="str">
        <f>Q21</f>
        <v>交通便捷度</v>
      </c>
      <c r="AA21" s="1352">
        <f t="shared" si="3"/>
        <v>0.98039215686274506</v>
      </c>
      <c r="AB21" s="1352">
        <f t="shared" si="4"/>
        <v>1.0204081632653061</v>
      </c>
      <c r="AC21" s="1352">
        <f t="shared" si="5"/>
        <v>0.98039215686274506</v>
      </c>
    </row>
    <row r="22" spans="1:29" ht="15">
      <c r="A22" s="379"/>
      <c r="B22" s="1131"/>
      <c r="C22" s="398" t="s">
        <v>3467</v>
      </c>
      <c r="D22" s="401"/>
      <c r="E22" s="1897" t="s">
        <v>3390</v>
      </c>
      <c r="F22" s="399"/>
      <c r="G22" s="1897" t="s">
        <v>3470</v>
      </c>
      <c r="H22" s="399"/>
      <c r="I22" s="1897" t="s">
        <v>3390</v>
      </c>
      <c r="J22" s="399"/>
      <c r="K22" s="620"/>
      <c r="L22" s="2714"/>
      <c r="M22" s="2708"/>
      <c r="N22" s="2708"/>
      <c r="O22" s="2766"/>
      <c r="P22" s="3683"/>
      <c r="Q22" s="1351"/>
      <c r="R22" s="705"/>
      <c r="S22" s="706"/>
      <c r="T22" s="705"/>
      <c r="U22" s="706"/>
      <c r="V22" s="705"/>
      <c r="W22" s="706"/>
      <c r="X22" s="1354"/>
      <c r="Y22" s="3683"/>
      <c r="Z22" s="1355"/>
      <c r="AA22" s="1352">
        <v>1</v>
      </c>
      <c r="AB22" s="1352">
        <v>1</v>
      </c>
      <c r="AC22" s="1352">
        <v>1</v>
      </c>
    </row>
    <row r="23" spans="1:29" ht="15">
      <c r="A23" s="358"/>
      <c r="B23" s="402" t="s">
        <v>1871</v>
      </c>
      <c r="C23" s="1136" t="str">
        <f>估价对象房地状况!C19</f>
        <v>较好</v>
      </c>
      <c r="D23" s="406">
        <v>100</v>
      </c>
      <c r="E23" s="403" t="s">
        <v>3390</v>
      </c>
      <c r="F23" s="406">
        <f>SUMIF(95:95,E24,96:96)-SUMIF(95:95,C24,96:96)+100</f>
        <v>100</v>
      </c>
      <c r="G23" s="403" t="s">
        <v>3390</v>
      </c>
      <c r="H23" s="406">
        <f>SUMIF(95:95,G24,96:96)-SUMIF(95:95,C24,96:96)+100</f>
        <v>100</v>
      </c>
      <c r="I23" s="403" t="s">
        <v>3390</v>
      </c>
      <c r="J23" s="406">
        <f>SUMIF(95:95,I24,96:96)-SUMIF(95:95,C24,96:96)+100</f>
        <v>100</v>
      </c>
      <c r="K23" s="621">
        <v>2</v>
      </c>
      <c r="L23" s="2714"/>
      <c r="M23" s="2708"/>
      <c r="N23" s="2708"/>
      <c r="O23" s="2766"/>
      <c r="P23" s="3683"/>
      <c r="Q23" s="1351" t="str">
        <f t="shared" ref="Q23:Q37" si="8">B23</f>
        <v>区域土地利用方向</v>
      </c>
      <c r="R23" s="705" t="s">
        <v>14</v>
      </c>
      <c r="S23" s="706">
        <f>F23</f>
        <v>100</v>
      </c>
      <c r="T23" s="705" t="s">
        <v>14</v>
      </c>
      <c r="U23" s="706">
        <f>H23</f>
        <v>100</v>
      </c>
      <c r="V23" s="705" t="s">
        <v>14</v>
      </c>
      <c r="W23" s="706">
        <f>J23</f>
        <v>100</v>
      </c>
      <c r="X23" s="1354"/>
      <c r="Y23" s="3683"/>
      <c r="Z23" s="1355" t="str">
        <f>Q23</f>
        <v>区域土地利用方向</v>
      </c>
      <c r="AA23" s="1352">
        <f t="shared" si="3"/>
        <v>1</v>
      </c>
      <c r="AB23" s="1352">
        <f t="shared" si="4"/>
        <v>1</v>
      </c>
      <c r="AC23" s="1352">
        <f t="shared" si="5"/>
        <v>1</v>
      </c>
    </row>
    <row r="24" spans="1:29" ht="15">
      <c r="A24" s="358"/>
      <c r="B24" s="407"/>
      <c r="C24" s="565" t="s">
        <v>3390</v>
      </c>
      <c r="D24" s="399"/>
      <c r="E24" s="1897" t="s">
        <v>3390</v>
      </c>
      <c r="F24" s="399"/>
      <c r="G24" s="1897" t="s">
        <v>3390</v>
      </c>
      <c r="H24" s="399"/>
      <c r="I24" s="1897" t="s">
        <v>3390</v>
      </c>
      <c r="J24" s="399"/>
      <c r="K24" s="740"/>
      <c r="L24" s="2714"/>
      <c r="M24" s="2708"/>
      <c r="N24" s="2708"/>
      <c r="O24" s="2766"/>
      <c r="P24" s="3683"/>
      <c r="Q24" s="1351"/>
      <c r="R24" s="705"/>
      <c r="S24" s="706"/>
      <c r="T24" s="705"/>
      <c r="U24" s="706"/>
      <c r="V24" s="705"/>
      <c r="W24" s="706"/>
      <c r="X24" s="1354"/>
      <c r="Y24" s="3683"/>
      <c r="Z24" s="1355"/>
      <c r="AA24" s="1352"/>
      <c r="AB24" s="1352"/>
      <c r="AC24" s="1352"/>
    </row>
    <row r="25" spans="1:29" ht="27">
      <c r="A25" s="358"/>
      <c r="B25" s="1131" t="s">
        <v>1872</v>
      </c>
      <c r="C25" s="1952" t="str">
        <f>估价对象房地状况!C20</f>
        <v>一般</v>
      </c>
      <c r="D25" s="401">
        <v>100</v>
      </c>
      <c r="E25" s="403" t="s">
        <v>3467</v>
      </c>
      <c r="F25" s="401">
        <f>SUMIF(97:97,E26,98:98)-SUMIF(97:97,C26,98:98)+100</f>
        <v>100</v>
      </c>
      <c r="G25" s="403" t="s">
        <v>3467</v>
      </c>
      <c r="H25" s="401">
        <f>SUMIF(97:97,G26,98:98)-SUMIF(97:97,C26,98:98)+100</f>
        <v>100</v>
      </c>
      <c r="I25" s="403" t="s">
        <v>3467</v>
      </c>
      <c r="J25" s="401">
        <f>SUMIF(97:97,I26,98:98)-SUMIF(97:97,C26,98:98)+100</f>
        <v>100</v>
      </c>
      <c r="K25" s="621">
        <v>2</v>
      </c>
      <c r="L25" s="2714"/>
      <c r="M25" s="2708"/>
      <c r="N25" s="2708"/>
      <c r="O25" s="2766"/>
      <c r="P25" s="3683"/>
      <c r="Q25" s="1351" t="str">
        <f t="shared" si="8"/>
        <v>自然及人文环境状况</v>
      </c>
      <c r="R25" s="705" t="s">
        <v>14</v>
      </c>
      <c r="S25" s="706">
        <f>F25</f>
        <v>100</v>
      </c>
      <c r="T25" s="705" t="s">
        <v>14</v>
      </c>
      <c r="U25" s="706">
        <f>H25</f>
        <v>100</v>
      </c>
      <c r="V25" s="705" t="s">
        <v>14</v>
      </c>
      <c r="W25" s="706">
        <f>J25</f>
        <v>100</v>
      </c>
      <c r="X25" s="1354"/>
      <c r="Y25" s="3683"/>
      <c r="Z25" s="1355" t="str">
        <f>Q25</f>
        <v>自然及人文环境状况</v>
      </c>
      <c r="AA25" s="1352">
        <f t="shared" si="3"/>
        <v>1</v>
      </c>
      <c r="AB25" s="1352">
        <f t="shared" si="4"/>
        <v>1</v>
      </c>
      <c r="AC25" s="1352">
        <f t="shared" si="5"/>
        <v>1</v>
      </c>
    </row>
    <row r="26" spans="1:29" ht="15">
      <c r="A26" s="358"/>
      <c r="B26" s="407"/>
      <c r="C26" s="398" t="s">
        <v>3467</v>
      </c>
      <c r="D26" s="399"/>
      <c r="E26" s="1903" t="s">
        <v>3467</v>
      </c>
      <c r="F26" s="399"/>
      <c r="G26" s="1903" t="s">
        <v>3467</v>
      </c>
      <c r="H26" s="399"/>
      <c r="I26" s="1903" t="s">
        <v>3467</v>
      </c>
      <c r="J26" s="399"/>
      <c r="K26" s="620"/>
      <c r="L26" s="2714"/>
      <c r="M26" s="2708"/>
      <c r="N26" s="2708"/>
      <c r="O26" s="2766"/>
      <c r="P26" s="3683"/>
      <c r="Q26" s="1351"/>
      <c r="R26" s="705"/>
      <c r="S26" s="706"/>
      <c r="T26" s="705"/>
      <c r="U26" s="706"/>
      <c r="V26" s="705"/>
      <c r="W26" s="706"/>
      <c r="X26" s="1354"/>
      <c r="Y26" s="3683"/>
      <c r="Z26" s="1355"/>
      <c r="AA26" s="1352">
        <v>1</v>
      </c>
      <c r="AB26" s="1352">
        <v>1</v>
      </c>
      <c r="AC26" s="1352">
        <v>1</v>
      </c>
    </row>
    <row r="27" spans="1:29" s="108" customFormat="1" ht="15">
      <c r="A27" s="597"/>
      <c r="B27" s="1131" t="s">
        <v>1778</v>
      </c>
      <c r="C27" s="1899" t="str">
        <f>估价对象房地状况!C21</f>
        <v>一般</v>
      </c>
      <c r="D27" s="401">
        <v>100</v>
      </c>
      <c r="E27" s="403" t="s">
        <v>3467</v>
      </c>
      <c r="F27" s="401">
        <f>SUMIF(99:99,E28,100:100)-SUMIF(99:99,C28,100:100)+100</f>
        <v>100</v>
      </c>
      <c r="G27" s="403" t="s">
        <v>3467</v>
      </c>
      <c r="H27" s="401">
        <f>SUMIF(99:99,G28,100:100)-SUMIF(99:99,C28,100:100)+100</f>
        <v>98</v>
      </c>
      <c r="I27" s="403" t="s">
        <v>3467</v>
      </c>
      <c r="J27" s="401">
        <f>SUMIF(99:99,I28,100:100)-SUMIF(99:99,C28,100:100)+100</f>
        <v>100</v>
      </c>
      <c r="K27" s="621">
        <v>2</v>
      </c>
      <c r="L27" s="2709"/>
      <c r="M27" s="2710"/>
      <c r="N27" s="2710"/>
      <c r="O27" s="2764"/>
      <c r="P27" s="3683"/>
      <c r="Q27" s="1342" t="str">
        <f t="shared" si="8"/>
        <v>公共配套设施</v>
      </c>
      <c r="R27" s="701" t="s">
        <v>14</v>
      </c>
      <c r="S27" s="702">
        <f>F27</f>
        <v>100</v>
      </c>
      <c r="T27" s="701" t="s">
        <v>14</v>
      </c>
      <c r="U27" s="702">
        <f>H27</f>
        <v>98</v>
      </c>
      <c r="V27" s="701" t="s">
        <v>14</v>
      </c>
      <c r="W27" s="702">
        <f>J27</f>
        <v>100</v>
      </c>
      <c r="X27" s="703"/>
      <c r="Y27" s="3683"/>
      <c r="Z27" s="52" t="str">
        <f>Q27</f>
        <v>公共配套设施</v>
      </c>
      <c r="AA27" s="1352">
        <f>D27/F27</f>
        <v>1</v>
      </c>
      <c r="AB27" s="1352">
        <f>D27/H27</f>
        <v>1.0204081632653061</v>
      </c>
      <c r="AC27" s="1352">
        <f>D27/J27</f>
        <v>1</v>
      </c>
    </row>
    <row r="28" spans="1:29" s="108" customFormat="1" ht="15">
      <c r="A28" s="597"/>
      <c r="B28" s="407"/>
      <c r="C28" s="1975" t="s">
        <v>3467</v>
      </c>
      <c r="D28" s="399"/>
      <c r="E28" s="1903" t="s">
        <v>3467</v>
      </c>
      <c r="F28" s="399"/>
      <c r="G28" s="1903" t="s">
        <v>3470</v>
      </c>
      <c r="H28" s="399"/>
      <c r="I28" s="1903" t="s">
        <v>3467</v>
      </c>
      <c r="J28" s="399"/>
      <c r="K28" s="620"/>
      <c r="L28" s="2709"/>
      <c r="M28" s="2710"/>
      <c r="N28" s="2710"/>
      <c r="O28" s="2764"/>
      <c r="P28" s="3683"/>
      <c r="Q28" s="1342"/>
      <c r="R28" s="701"/>
      <c r="S28" s="702"/>
      <c r="T28" s="701"/>
      <c r="U28" s="702"/>
      <c r="V28" s="701"/>
      <c r="W28" s="702"/>
      <c r="X28" s="703"/>
      <c r="Y28" s="3683"/>
      <c r="Z28" s="52"/>
      <c r="AA28" s="1352">
        <v>1</v>
      </c>
      <c r="AB28" s="1352">
        <v>1</v>
      </c>
      <c r="AC28" s="1352">
        <v>1</v>
      </c>
    </row>
    <row r="29" spans="1:29" s="108" customFormat="1" ht="15">
      <c r="A29" s="597"/>
      <c r="B29" s="1131" t="s">
        <v>1779</v>
      </c>
      <c r="C29" s="1899" t="str">
        <f>估价对象房地状况!C22</f>
        <v>七通</v>
      </c>
      <c r="D29" s="401">
        <v>100</v>
      </c>
      <c r="E29" s="403" t="s">
        <v>3393</v>
      </c>
      <c r="F29" s="401">
        <f>SUMIF(101:101,E30,102:102)-SUMIF(101:101,C30,102:102)+100</f>
        <v>100</v>
      </c>
      <c r="G29" s="403" t="s">
        <v>3393</v>
      </c>
      <c r="H29" s="401">
        <f>SUMIF(101:101,G30,102:102)-SUMIF(101:101,C30,102:102)+100</f>
        <v>100</v>
      </c>
      <c r="I29" s="403" t="s">
        <v>3393</v>
      </c>
      <c r="J29" s="401">
        <f>SUMIF(101:101,I30,102:102)-SUMIF(101:101,C30,102:102)+100</f>
        <v>100</v>
      </c>
      <c r="K29" s="621">
        <v>1</v>
      </c>
      <c r="L29" s="2709"/>
      <c r="M29" s="2710"/>
      <c r="N29" s="2710"/>
      <c r="O29" s="2764"/>
      <c r="P29" s="3683"/>
      <c r="Q29" s="1342" t="str">
        <f t="shared" ref="Q29" si="9">B29</f>
        <v>基础设施水平</v>
      </c>
      <c r="R29" s="701" t="s">
        <v>14</v>
      </c>
      <c r="S29" s="702">
        <f>F29</f>
        <v>100</v>
      </c>
      <c r="T29" s="701" t="s">
        <v>14</v>
      </c>
      <c r="U29" s="702">
        <f>H29</f>
        <v>100</v>
      </c>
      <c r="V29" s="701" t="s">
        <v>14</v>
      </c>
      <c r="W29" s="702">
        <f>J29</f>
        <v>100</v>
      </c>
      <c r="X29" s="703"/>
      <c r="Y29" s="3683"/>
      <c r="Z29" s="52" t="str">
        <f>Q29</f>
        <v>基础设施水平</v>
      </c>
      <c r="AA29" s="1352">
        <f>D29/F29</f>
        <v>1</v>
      </c>
      <c r="AB29" s="1352">
        <f>D29/H29</f>
        <v>1</v>
      </c>
      <c r="AC29" s="1352">
        <f>D29/J29</f>
        <v>1</v>
      </c>
    </row>
    <row r="30" spans="1:29" s="108" customFormat="1" ht="15.75" thickBot="1">
      <c r="A30" s="597"/>
      <c r="B30" s="407"/>
      <c r="C30" s="1975" t="s">
        <v>3393</v>
      </c>
      <c r="D30" s="399"/>
      <c r="E30" s="1976" t="s">
        <v>3393</v>
      </c>
      <c r="F30" s="399"/>
      <c r="G30" s="1976" t="s">
        <v>3393</v>
      </c>
      <c r="H30" s="399"/>
      <c r="I30" s="1976" t="s">
        <v>3393</v>
      </c>
      <c r="J30" s="399"/>
      <c r="K30" s="620"/>
      <c r="L30" s="2709"/>
      <c r="M30" s="2710"/>
      <c r="N30" s="2710"/>
      <c r="O30" s="2764"/>
      <c r="P30" s="3683"/>
      <c r="Q30" s="1342"/>
      <c r="R30" s="701"/>
      <c r="S30" s="702"/>
      <c r="T30" s="701"/>
      <c r="U30" s="702"/>
      <c r="V30" s="701"/>
      <c r="W30" s="702"/>
      <c r="X30" s="703"/>
      <c r="Y30" s="3683"/>
      <c r="Z30" s="52"/>
      <c r="AA30" s="1352">
        <v>1</v>
      </c>
      <c r="AB30" s="1352">
        <v>1</v>
      </c>
      <c r="AC30" s="1352">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68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83"/>
      <c r="Z31" s="1355" t="str">
        <f t="shared" ref="Z31:Z45" si="13">Q31</f>
        <v>临街状况</v>
      </c>
      <c r="AA31" s="1352">
        <f t="shared" si="3"/>
        <v>1</v>
      </c>
      <c r="AB31" s="1352">
        <f t="shared" si="4"/>
        <v>1</v>
      </c>
      <c r="AC31" s="1352">
        <f t="shared" si="5"/>
        <v>1</v>
      </c>
    </row>
    <row r="32" spans="1:29" ht="27" hidden="1">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683"/>
      <c r="Q32" s="1351" t="str">
        <f t="shared" si="8"/>
        <v>毗邻道路的类型与等级</v>
      </c>
      <c r="R32" s="705" t="s">
        <v>14</v>
      </c>
      <c r="S32" s="706">
        <f t="shared" si="10"/>
        <v>100</v>
      </c>
      <c r="T32" s="705" t="s">
        <v>14</v>
      </c>
      <c r="U32" s="706">
        <f t="shared" si="11"/>
        <v>100</v>
      </c>
      <c r="V32" s="705" t="s">
        <v>14</v>
      </c>
      <c r="W32" s="706">
        <f t="shared" si="12"/>
        <v>100</v>
      </c>
      <c r="X32" s="1354"/>
      <c r="Y32" s="3683"/>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14"/>
      <c r="M33" s="2708"/>
      <c r="N33" s="2708"/>
      <c r="O33" s="2766"/>
      <c r="P33" s="3683"/>
      <c r="Q33" s="1351"/>
      <c r="R33" s="705"/>
      <c r="S33" s="706"/>
      <c r="T33" s="705"/>
      <c r="U33" s="706"/>
      <c r="V33" s="705"/>
      <c r="W33" s="706"/>
      <c r="X33" s="1354"/>
      <c r="Y33" s="3683"/>
      <c r="Z33" s="1355"/>
      <c r="AA33" s="1352">
        <v>1</v>
      </c>
      <c r="AB33" s="1352">
        <v>1</v>
      </c>
      <c r="AC33" s="1352">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683"/>
      <c r="Q34" s="1351" t="str">
        <f t="shared" si="8"/>
        <v>土地级别</v>
      </c>
      <c r="R34" s="705" t="s">
        <v>14</v>
      </c>
      <c r="S34" s="706">
        <f t="shared" si="10"/>
        <v>100</v>
      </c>
      <c r="T34" s="705" t="s">
        <v>14</v>
      </c>
      <c r="U34" s="706">
        <f t="shared" si="11"/>
        <v>100</v>
      </c>
      <c r="V34" s="705" t="s">
        <v>14</v>
      </c>
      <c r="W34" s="706">
        <f t="shared" si="12"/>
        <v>100</v>
      </c>
      <c r="X34" s="1354"/>
      <c r="Y34" s="3683"/>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683"/>
      <c r="Q35" s="1351">
        <f t="shared" si="8"/>
        <v>111</v>
      </c>
      <c r="R35" s="705" t="s">
        <v>14</v>
      </c>
      <c r="S35" s="706">
        <f t="shared" si="10"/>
        <v>100</v>
      </c>
      <c r="T35" s="705" t="s">
        <v>14</v>
      </c>
      <c r="U35" s="706">
        <f t="shared" si="11"/>
        <v>100</v>
      </c>
      <c r="V35" s="705" t="s">
        <v>14</v>
      </c>
      <c r="W35" s="706">
        <f t="shared" si="12"/>
        <v>100</v>
      </c>
      <c r="X35" s="1354"/>
      <c r="Y35" s="3683"/>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684" t="s">
        <v>1696</v>
      </c>
      <c r="Q36" s="1351">
        <f t="shared" si="8"/>
        <v>111</v>
      </c>
      <c r="R36" s="705" t="s">
        <v>14</v>
      </c>
      <c r="S36" s="706">
        <f t="shared" si="10"/>
        <v>100</v>
      </c>
      <c r="T36" s="705" t="s">
        <v>14</v>
      </c>
      <c r="U36" s="706">
        <f t="shared" si="11"/>
        <v>100</v>
      </c>
      <c r="V36" s="705" t="s">
        <v>14</v>
      </c>
      <c r="W36" s="706">
        <f t="shared" si="12"/>
        <v>100</v>
      </c>
      <c r="X36" s="1354"/>
      <c r="Y36" s="3685" t="s">
        <v>1696</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685"/>
      <c r="Q37" s="1351">
        <f t="shared" si="8"/>
        <v>111</v>
      </c>
      <c r="R37" s="708" t="s">
        <v>14</v>
      </c>
      <c r="S37" s="709">
        <f t="shared" si="10"/>
        <v>100</v>
      </c>
      <c r="T37" s="708" t="s">
        <v>14</v>
      </c>
      <c r="U37" s="709">
        <f t="shared" si="11"/>
        <v>100</v>
      </c>
      <c r="V37" s="708" t="s">
        <v>14</v>
      </c>
      <c r="W37" s="709">
        <f t="shared" si="12"/>
        <v>100</v>
      </c>
      <c r="X37" s="710"/>
      <c r="Y37" s="3685"/>
      <c r="Z37" s="711">
        <f t="shared" si="13"/>
        <v>111</v>
      </c>
      <c r="AA37" s="1352">
        <f t="shared" si="3"/>
        <v>1</v>
      </c>
      <c r="AB37" s="1352">
        <f t="shared" si="4"/>
        <v>1</v>
      </c>
      <c r="AC37" s="1352">
        <f t="shared" si="5"/>
        <v>1</v>
      </c>
    </row>
    <row r="38" spans="1:29" ht="15">
      <c r="A38" s="423" t="s">
        <v>1694</v>
      </c>
      <c r="B38" s="407" t="s">
        <v>1874</v>
      </c>
      <c r="C38" s="627">
        <f>'数据-基础表'!A3</f>
        <v>16569.86</v>
      </c>
      <c r="D38" s="418">
        <v>100</v>
      </c>
      <c r="E38" s="627">
        <f>土地案例!I2</f>
        <v>17308.8</v>
      </c>
      <c r="F38" s="418">
        <f>LOOKUP(E38,116:116,117:117)-LOOKUP(C38,116:116,117:117)+100</f>
        <v>100</v>
      </c>
      <c r="G38" s="627">
        <f>土地案例!I3</f>
        <v>59169.74</v>
      </c>
      <c r="H38" s="418">
        <f>LOOKUP(G38,116:116,117:117)-LOOKUP(C38,116:116,117:117)+100</f>
        <v>102</v>
      </c>
      <c r="I38" s="479">
        <f>土地案例!I4</f>
        <v>15178.6</v>
      </c>
      <c r="J38" s="418">
        <f>LOOKUP(I38,116:116,117:117)-LOOKUP(C38,116:116,117:117)+100</f>
        <v>100</v>
      </c>
      <c r="K38" s="562"/>
      <c r="L38" s="2714"/>
      <c r="M38" s="2708"/>
      <c r="N38" s="2708"/>
      <c r="O38" s="2766"/>
      <c r="P38" s="3685"/>
      <c r="Q38" s="1351" t="str">
        <f>B38</f>
        <v>宗地面积</v>
      </c>
      <c r="R38" s="705" t="s">
        <v>14</v>
      </c>
      <c r="S38" s="706">
        <f t="shared" si="10"/>
        <v>100</v>
      </c>
      <c r="T38" s="705" t="s">
        <v>14</v>
      </c>
      <c r="U38" s="706">
        <f t="shared" si="11"/>
        <v>102</v>
      </c>
      <c r="V38" s="705" t="s">
        <v>14</v>
      </c>
      <c r="W38" s="706">
        <f t="shared" si="12"/>
        <v>100</v>
      </c>
      <c r="X38" s="1354"/>
      <c r="Y38" s="3685"/>
      <c r="Z38" s="1355" t="str">
        <f t="shared" si="13"/>
        <v>宗地面积</v>
      </c>
      <c r="AA38" s="1352">
        <f t="shared" si="3"/>
        <v>1</v>
      </c>
      <c r="AB38" s="1352">
        <f t="shared" si="4"/>
        <v>0.98039215686274506</v>
      </c>
      <c r="AC38" s="1352">
        <f t="shared" si="5"/>
        <v>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v>2</v>
      </c>
      <c r="L39" s="2714"/>
      <c r="M39" s="2708"/>
      <c r="N39" s="2708"/>
      <c r="O39" s="2766"/>
      <c r="P39" s="3685"/>
      <c r="Q39" s="1351" t="str">
        <f t="shared" ref="Q39:Q45" si="14">B39</f>
        <v>宗地形状</v>
      </c>
      <c r="R39" s="705" t="s">
        <v>14</v>
      </c>
      <c r="S39" s="706">
        <f t="shared" si="10"/>
        <v>100</v>
      </c>
      <c r="T39" s="705" t="s">
        <v>14</v>
      </c>
      <c r="U39" s="706">
        <f t="shared" si="11"/>
        <v>100</v>
      </c>
      <c r="V39" s="705" t="s">
        <v>14</v>
      </c>
      <c r="W39" s="706">
        <f t="shared" si="12"/>
        <v>100</v>
      </c>
      <c r="X39" s="1354"/>
      <c r="Y39" s="368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v>2</v>
      </c>
      <c r="L40" s="2714"/>
      <c r="M40" s="2708"/>
      <c r="N40" s="2708"/>
      <c r="O40" s="2766"/>
      <c r="P40" s="3685"/>
      <c r="Q40" s="1351" t="str">
        <f t="shared" si="14"/>
        <v>临街宽度及深度</v>
      </c>
      <c r="R40" s="705" t="s">
        <v>14</v>
      </c>
      <c r="S40" s="706">
        <f t="shared" si="10"/>
        <v>100</v>
      </c>
      <c r="T40" s="705" t="s">
        <v>14</v>
      </c>
      <c r="U40" s="706">
        <f t="shared" si="11"/>
        <v>100</v>
      </c>
      <c r="V40" s="705" t="s">
        <v>14</v>
      </c>
      <c r="W40" s="706">
        <f t="shared" si="12"/>
        <v>100</v>
      </c>
      <c r="X40" s="1354"/>
      <c r="Y40" s="3685"/>
      <c r="Z40" s="1355" t="str">
        <f t="shared" si="13"/>
        <v>临街宽度及深度</v>
      </c>
      <c r="AA40" s="1352">
        <f t="shared" si="3"/>
        <v>1</v>
      </c>
      <c r="AB40" s="1352">
        <f t="shared" si="4"/>
        <v>1</v>
      </c>
      <c r="AC40" s="1352">
        <f t="shared" si="5"/>
        <v>1</v>
      </c>
    </row>
    <row r="41" spans="1:29" s="108" customFormat="1" ht="15">
      <c r="A41" s="424"/>
      <c r="B41" s="375" t="s">
        <v>1877</v>
      </c>
      <c r="C41" s="1977" t="s">
        <v>3393</v>
      </c>
      <c r="D41" s="127">
        <v>100</v>
      </c>
      <c r="E41" s="1977" t="s">
        <v>3393</v>
      </c>
      <c r="F41" s="386">
        <f>SUMIF(122:122,E41,123:123)-SUMIF(122:122,C41,123:123)+100</f>
        <v>100</v>
      </c>
      <c r="G41" s="1977" t="s">
        <v>3675</v>
      </c>
      <c r="H41" s="386">
        <f>SUMIF(122:122,G41,123:123)-SUMIF(122:122,C41,123:123)+100</f>
        <v>99</v>
      </c>
      <c r="I41" s="1977" t="s">
        <v>3678</v>
      </c>
      <c r="J41" s="386">
        <f>SUMIF(122:122,I41,123:123)-SUMIF(122:122,C41,123:123)+100</f>
        <v>98</v>
      </c>
      <c r="K41" s="561">
        <v>1</v>
      </c>
      <c r="L41" s="2709"/>
      <c r="M41" s="2710"/>
      <c r="N41" s="2710"/>
      <c r="O41" s="2764"/>
      <c r="P41" s="3685"/>
      <c r="Q41" s="1351" t="str">
        <f t="shared" si="14"/>
        <v>宗地开发程度</v>
      </c>
      <c r="R41" s="701" t="s">
        <v>14</v>
      </c>
      <c r="S41" s="702">
        <f t="shared" si="10"/>
        <v>100</v>
      </c>
      <c r="T41" s="701" t="s">
        <v>14</v>
      </c>
      <c r="U41" s="702">
        <f t="shared" si="11"/>
        <v>99</v>
      </c>
      <c r="V41" s="701" t="s">
        <v>14</v>
      </c>
      <c r="W41" s="702">
        <f t="shared" si="12"/>
        <v>98</v>
      </c>
      <c r="X41" s="703"/>
      <c r="Y41" s="3685"/>
      <c r="Z41" s="52" t="str">
        <f t="shared" si="13"/>
        <v>宗地开发程度</v>
      </c>
      <c r="AA41" s="704">
        <f t="shared" si="3"/>
        <v>1</v>
      </c>
      <c r="AB41" s="704">
        <f t="shared" si="4"/>
        <v>1.0101010101010102</v>
      </c>
      <c r="AC41" s="704">
        <f t="shared" si="5"/>
        <v>1.0204081632653061</v>
      </c>
    </row>
    <row r="42" spans="1:29" ht="15.75" thickBot="1">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v>2</v>
      </c>
      <c r="L42" s="2714"/>
      <c r="M42" s="2708"/>
      <c r="N42" s="2708"/>
      <c r="O42" s="2766"/>
      <c r="P42" s="3685" t="s">
        <v>1696</v>
      </c>
      <c r="Q42" s="1351" t="str">
        <f t="shared" si="14"/>
        <v>工程地质条件</v>
      </c>
      <c r="R42" s="705" t="s">
        <v>14</v>
      </c>
      <c r="S42" s="706">
        <f t="shared" si="10"/>
        <v>100</v>
      </c>
      <c r="T42" s="705" t="s">
        <v>14</v>
      </c>
      <c r="U42" s="706">
        <f t="shared" si="11"/>
        <v>100</v>
      </c>
      <c r="V42" s="705" t="s">
        <v>14</v>
      </c>
      <c r="W42" s="706">
        <f t="shared" si="12"/>
        <v>100</v>
      </c>
      <c r="X42" s="1354"/>
      <c r="Y42" s="3685" t="s">
        <v>1696</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685"/>
      <c r="Q43" s="1351">
        <f t="shared" si="14"/>
        <v>111</v>
      </c>
      <c r="R43" s="705" t="s">
        <v>14</v>
      </c>
      <c r="S43" s="706">
        <f t="shared" si="10"/>
        <v>100</v>
      </c>
      <c r="T43" s="705" t="s">
        <v>14</v>
      </c>
      <c r="U43" s="706">
        <f t="shared" si="11"/>
        <v>100</v>
      </c>
      <c r="V43" s="705" t="s">
        <v>14</v>
      </c>
      <c r="W43" s="706">
        <f t="shared" si="12"/>
        <v>100</v>
      </c>
      <c r="X43" s="1354"/>
      <c r="Y43" s="3685"/>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685"/>
      <c r="Q44" s="1351">
        <f t="shared" si="14"/>
        <v>111</v>
      </c>
      <c r="R44" s="705" t="s">
        <v>14</v>
      </c>
      <c r="S44" s="706">
        <f t="shared" si="10"/>
        <v>100</v>
      </c>
      <c r="T44" s="705" t="s">
        <v>14</v>
      </c>
      <c r="U44" s="706">
        <f t="shared" si="11"/>
        <v>100</v>
      </c>
      <c r="V44" s="705" t="s">
        <v>14</v>
      </c>
      <c r="W44" s="706">
        <f t="shared" si="12"/>
        <v>100</v>
      </c>
      <c r="X44" s="1354"/>
      <c r="Y44" s="3685"/>
      <c r="Z44" s="1355">
        <f t="shared" si="13"/>
        <v>111</v>
      </c>
      <c r="AA44" s="1352">
        <f t="shared" si="3"/>
        <v>1</v>
      </c>
      <c r="AB44" s="1352">
        <f t="shared" si="4"/>
        <v>1</v>
      </c>
      <c r="AC44" s="1352">
        <f t="shared" si="5"/>
        <v>1</v>
      </c>
    </row>
    <row r="45" spans="1:29" s="422" customFormat="1" ht="15.75" hidden="1"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685"/>
      <c r="Q45" s="1351">
        <f t="shared" si="14"/>
        <v>111</v>
      </c>
      <c r="R45" s="708" t="s">
        <v>14</v>
      </c>
      <c r="S45" s="709">
        <f t="shared" si="10"/>
        <v>100</v>
      </c>
      <c r="T45" s="708" t="s">
        <v>14</v>
      </c>
      <c r="U45" s="709">
        <f t="shared" si="11"/>
        <v>100</v>
      </c>
      <c r="V45" s="708" t="s">
        <v>14</v>
      </c>
      <c r="W45" s="709">
        <f t="shared" si="12"/>
        <v>100</v>
      </c>
      <c r="X45" s="710"/>
      <c r="Y45" s="3685"/>
      <c r="Z45" s="711">
        <f t="shared" si="13"/>
        <v>111</v>
      </c>
      <c r="AA45" s="1352">
        <f t="shared" si="3"/>
        <v>1</v>
      </c>
      <c r="AB45" s="1352">
        <f t="shared" si="4"/>
        <v>1</v>
      </c>
      <c r="AC45" s="1352">
        <f t="shared" si="5"/>
        <v>1</v>
      </c>
    </row>
    <row r="46" spans="1:29" ht="15">
      <c r="A46" s="430" t="s">
        <v>1844</v>
      </c>
      <c r="B46" s="1979" t="s">
        <v>1879</v>
      </c>
      <c r="C46" s="630" t="s">
        <v>0</v>
      </c>
      <c r="D46" s="432"/>
      <c r="E46" s="433">
        <f>土地案例!AP2</f>
        <v>10561</v>
      </c>
      <c r="F46" s="434"/>
      <c r="G46" s="435">
        <f>土地案例!AP3</f>
        <v>10110</v>
      </c>
      <c r="H46" s="436"/>
      <c r="I46" s="433">
        <f>土地案例!AP4</f>
        <v>12825</v>
      </c>
      <c r="J46" s="436"/>
      <c r="K46" s="714"/>
      <c r="L46" s="2716"/>
      <c r="M46" s="2717"/>
      <c r="N46" s="2708"/>
      <c r="O46" s="2717"/>
      <c r="P46" s="3681" t="str">
        <f>A46</f>
        <v>成交单价</v>
      </c>
      <c r="Q46" s="3681"/>
      <c r="R46" s="3686">
        <f>E46</f>
        <v>10561</v>
      </c>
      <c r="S46" s="3686"/>
      <c r="T46" s="3686">
        <f>G46</f>
        <v>10110</v>
      </c>
      <c r="U46" s="3686"/>
      <c r="V46" s="3686">
        <f>I46</f>
        <v>12825</v>
      </c>
      <c r="W46" s="3686"/>
      <c r="X46" s="690"/>
      <c r="Y46" s="712"/>
      <c r="Z46" s="690"/>
      <c r="AA46" s="690"/>
      <c r="AB46" s="690"/>
      <c r="AC46" s="690"/>
    </row>
    <row r="47" spans="1:29" ht="15.75" thickBot="1">
      <c r="A47" s="437" t="s">
        <v>1793</v>
      </c>
      <c r="B47" s="631"/>
      <c r="C47" s="440">
        <f>R48</f>
        <v>11475</v>
      </c>
      <c r="D47" s="2314" t="s">
        <v>2138</v>
      </c>
      <c r="E47" s="440">
        <f>R47</f>
        <v>10738</v>
      </c>
      <c r="F47" s="2315"/>
      <c r="G47" s="439">
        <f>T47</f>
        <v>10590</v>
      </c>
      <c r="H47" s="2315"/>
      <c r="I47" s="440">
        <f>V47</f>
        <v>13096</v>
      </c>
      <c r="J47" s="2315"/>
      <c r="K47" s="2317">
        <f>F47+H47+J47</f>
        <v>0</v>
      </c>
      <c r="L47" s="2716"/>
      <c r="M47" s="2717"/>
      <c r="N47" s="2717"/>
      <c r="O47" s="2717"/>
      <c r="P47" s="3681" t="str">
        <f>A47</f>
        <v>比较价值（元/平方米）</v>
      </c>
      <c r="Q47" s="3681"/>
      <c r="R47" s="3674">
        <f>ROUND(PRODUCT(R46,AA7:AA45),0)</f>
        <v>10738</v>
      </c>
      <c r="S47" s="3674"/>
      <c r="T47" s="3674">
        <f>ROUND(PRODUCT(T46,AB7:AB45),0)</f>
        <v>10590</v>
      </c>
      <c r="U47" s="3674"/>
      <c r="V47" s="3674">
        <f>ROUND(PRODUCT(V46,AC7:AC45),0)</f>
        <v>13096</v>
      </c>
      <c r="W47" s="3674"/>
      <c r="X47" s="690"/>
      <c r="Y47" s="690"/>
      <c r="Z47" s="690"/>
      <c r="AA47" s="690"/>
      <c r="AB47" s="690"/>
      <c r="AC47" s="690"/>
    </row>
    <row r="48" spans="1:29" ht="15.75" thickBot="1">
      <c r="A48" s="441" t="s">
        <v>1880</v>
      </c>
      <c r="B48" s="442"/>
      <c r="C48" s="443">
        <f>R48</f>
        <v>11475</v>
      </c>
      <c r="D48" s="443"/>
      <c r="E48" s="443"/>
      <c r="F48" s="443"/>
      <c r="G48" s="443"/>
      <c r="H48" s="443"/>
      <c r="I48" s="443"/>
      <c r="J48" s="443"/>
      <c r="K48" s="715"/>
      <c r="L48" s="2716"/>
      <c r="M48" s="2717"/>
      <c r="N48" s="2717"/>
      <c r="O48" s="2717"/>
      <c r="P48" s="3675" t="str">
        <f>A48</f>
        <v>估价对象XX用房的比较价值（楼面单价，元/平方米）</v>
      </c>
      <c r="Q48" s="3676"/>
      <c r="R48" s="3677">
        <f>ROUND(IF(D47="简单平均",AVERAGE(R47:W47),R47*F47+T47*H47+V47*J47),0)</f>
        <v>11475</v>
      </c>
      <c r="S48" s="3677"/>
      <c r="T48" s="3677"/>
      <c r="U48" s="3677"/>
      <c r="V48" s="3677"/>
      <c r="W48" s="3677"/>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1795</v>
      </c>
      <c r="D51" s="447"/>
      <c r="E51" s="448">
        <f>IF(E46&lt;E47,E47/E46-1,E46/E47-1)</f>
        <v>1.6759776536312776E-2</v>
      </c>
      <c r="F51" s="449" t="str">
        <f>IF(OR(E51&gt;=0.3,E51&lt;=-0.3),"超过30%","")</f>
        <v/>
      </c>
      <c r="G51" s="448">
        <f>IF(G46&lt;G47,G47/G46-1,G46/G47-1)</f>
        <v>4.7477744807121747E-2</v>
      </c>
      <c r="H51" s="449" t="str">
        <f>IF(OR(G51&gt;=0.3,G51&lt;=-0.3),"超过30%","")</f>
        <v/>
      </c>
      <c r="I51" s="448">
        <f>IF(I46&lt;I47,I47/I46-1,I46/I47-1)</f>
        <v>2.1130604288499111E-2</v>
      </c>
      <c r="J51" s="449"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1796</v>
      </c>
      <c r="D52" s="450"/>
      <c r="E52" s="448">
        <f>IF(E47&lt;G47,G47/E47-1,E47/G47-1)</f>
        <v>1.3975448536355017E-2</v>
      </c>
      <c r="F52" s="449" t="str">
        <f>IF(OR(E52&gt;=0.2,E52&lt;=-0.2),"超过20%","")</f>
        <v/>
      </c>
      <c r="G52" s="448">
        <f>IF(G47&lt;I47,I47/G47-1,G47/I47-1)</f>
        <v>0.23663833805476875</v>
      </c>
      <c r="H52" s="449" t="str">
        <f>IF(OR(G52&gt;=0.2,G52&lt;=-0.2),"超过20%","")</f>
        <v>超过20%</v>
      </c>
      <c r="I52" s="448">
        <f>IF(I47&lt;E47,E47/I47-1,I47/E47-1)</f>
        <v>0.21959396535667719</v>
      </c>
      <c r="J52" s="449" t="str">
        <f>IF(OR(I52&gt;=0.2,I52&lt;=-0.2),"超过20%","")</f>
        <v>超过20%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1797</v>
      </c>
      <c r="D53" s="450"/>
      <c r="E53" s="448">
        <f>IF(E46&lt;G46,G46/E46-1,E46/G46-1)</f>
        <v>4.4609297725024755E-2</v>
      </c>
      <c r="F53" s="449" t="str">
        <f>IF(OR(E53&gt;=0.3,E53&lt;=-0.3),"超过30%","")</f>
        <v/>
      </c>
      <c r="G53" s="448">
        <f>IF(G46&lt;I46,I46/G46-1,G46/I46-1)</f>
        <v>0.2685459940652819</v>
      </c>
      <c r="H53" s="449" t="str">
        <f>IF(OR(G53&gt;=0.3,G53&lt;=-0.3),"超过30%","")</f>
        <v/>
      </c>
      <c r="I53" s="448">
        <f>IF(I46&lt;E46,E46/I46-1,I46/E46-1)</f>
        <v>0.21437363885995642</v>
      </c>
      <c r="J53" s="449"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1881</v>
      </c>
      <c r="B55" s="633" t="s">
        <v>1882</v>
      </c>
      <c r="C55" s="1980" t="s">
        <v>1883</v>
      </c>
      <c r="D55" s="1981" t="s">
        <v>1884</v>
      </c>
      <c r="E55" s="634" t="s">
        <v>1885</v>
      </c>
      <c r="F55" s="890" t="s">
        <v>1886</v>
      </c>
      <c r="G55" s="3678" t="s">
        <v>1887</v>
      </c>
      <c r="H55" s="3679"/>
      <c r="I55" s="135" t="s">
        <v>1888</v>
      </c>
      <c r="J55" s="1982">
        <f>项目基本情况!F35</f>
        <v>0</v>
      </c>
      <c r="K55" s="1983" t="s">
        <v>1889</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1890</v>
      </c>
      <c r="B56" s="637">
        <f>C48</f>
        <v>11475</v>
      </c>
      <c r="C56" s="638">
        <v>1</v>
      </c>
      <c r="D56" s="944">
        <v>1</v>
      </c>
      <c r="E56" s="638">
        <f>'数据-汇总表'!E8+'数据-汇总表'!E9</f>
        <v>62017.94</v>
      </c>
      <c r="F56" s="886">
        <f t="shared" ref="F56:F64" si="15">ROUND(B56*E56/10000,0)</f>
        <v>71166</v>
      </c>
      <c r="G56" s="3680"/>
      <c r="H56" s="3681"/>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1891</v>
      </c>
      <c r="B57" s="218">
        <f>ROUND($C$48*C57*D57,0)</f>
        <v>1721</v>
      </c>
      <c r="C57" s="171">
        <f t="shared" ref="C57:C64" si="16">IF($C$55="北京市系数",I57,J57)</f>
        <v>0.6</v>
      </c>
      <c r="D57" s="945">
        <v>0.25</v>
      </c>
      <c r="E57" s="642"/>
      <c r="F57" s="886">
        <f t="shared" si="15"/>
        <v>0</v>
      </c>
      <c r="G57" s="2998" t="s">
        <v>1892</v>
      </c>
      <c r="H57" s="887" t="str">
        <f>项目基本情况!B37</f>
        <v>七级</v>
      </c>
      <c r="I57" s="891">
        <f>SUMIF(修正!A57:A68,H57,修正!B57:B68)</f>
        <v>0.6</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1893</v>
      </c>
      <c r="B58" s="218">
        <f t="shared" ref="B58:B64" si="17">ROUND($C$48*C58*D58,0)</f>
        <v>861</v>
      </c>
      <c r="C58" s="171">
        <f t="shared" si="16"/>
        <v>0.3</v>
      </c>
      <c r="D58" s="945">
        <v>0.25</v>
      </c>
      <c r="E58" s="642"/>
      <c r="F58" s="886">
        <f t="shared" si="15"/>
        <v>0</v>
      </c>
      <c r="G58" s="2999"/>
      <c r="H58" s="887" t="str">
        <f>项目基本情况!B37</f>
        <v>七级</v>
      </c>
      <c r="I58" s="891">
        <f>SUMIF(修正!A57:A68,H58,修正!C57:C68)</f>
        <v>0.3</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1894</v>
      </c>
      <c r="B59" s="218">
        <f t="shared" si="17"/>
        <v>717</v>
      </c>
      <c r="C59" s="171">
        <f t="shared" si="16"/>
        <v>0.25</v>
      </c>
      <c r="D59" s="945">
        <v>0.25</v>
      </c>
      <c r="E59" s="642"/>
      <c r="F59" s="886">
        <f t="shared" si="15"/>
        <v>0</v>
      </c>
      <c r="G59" s="2999"/>
      <c r="H59" s="887" t="str">
        <f>项目基本情况!B37</f>
        <v>七级</v>
      </c>
      <c r="I59" s="891">
        <f>SUMIF(修正!A57:A68,H59,修正!D57:D68)</f>
        <v>0.25</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1895</v>
      </c>
      <c r="B60" s="218">
        <f t="shared" si="17"/>
        <v>717</v>
      </c>
      <c r="C60" s="171">
        <f t="shared" si="16"/>
        <v>0.25</v>
      </c>
      <c r="D60" s="945">
        <v>0.25</v>
      </c>
      <c r="E60" s="217">
        <f>'数据-汇总表'!E11</f>
        <v>0</v>
      </c>
      <c r="F60" s="886">
        <f t="shared" si="15"/>
        <v>0</v>
      </c>
      <c r="G60" s="1984" t="s">
        <v>1896</v>
      </c>
      <c r="H60" s="887" t="str">
        <f>项目基本情况!C37</f>
        <v>七级</v>
      </c>
      <c r="I60" s="891">
        <f>SUMIF(修正!A57:A68,H60,修正!E57:E68)</f>
        <v>0.25</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1897</v>
      </c>
      <c r="B61" s="218">
        <f t="shared" si="17"/>
        <v>717</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七级</v>
      </c>
      <c r="I61" s="891">
        <f>SUMIF(修正!A57:A68,H61,修正!F57:F68)</f>
        <v>0.25</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1899</v>
      </c>
      <c r="B62" s="218">
        <f t="shared" si="17"/>
        <v>430</v>
      </c>
      <c r="C62" s="171">
        <f t="shared" si="16"/>
        <v>0.15</v>
      </c>
      <c r="D62" s="945">
        <v>0.25</v>
      </c>
      <c r="E62" s="217">
        <f>'数据-汇总表'!E13</f>
        <v>8259.5399999999991</v>
      </c>
      <c r="F62" s="886">
        <f t="shared" si="15"/>
        <v>355</v>
      </c>
      <c r="G62" s="892" t="s">
        <v>1900</v>
      </c>
      <c r="H62" s="887" t="str">
        <f>IF(G62="商业",项目基本情况!B37,IF(G62="办公",项目基本情况!C37,IF(G62="住宅",项目基本情况!D37,项目基本情况!E37)))</f>
        <v>七级</v>
      </c>
      <c r="I62" s="891">
        <f>SUMIF(修正!A57:A68,H62,修正!G57:G68)</f>
        <v>0.15</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1901</v>
      </c>
      <c r="B63" s="218">
        <f t="shared" si="17"/>
        <v>430</v>
      </c>
      <c r="C63" s="171">
        <f t="shared" si="16"/>
        <v>0.15</v>
      </c>
      <c r="D63" s="945">
        <v>0.25</v>
      </c>
      <c r="E63" s="217">
        <f>'数据-汇总表'!E14</f>
        <v>0</v>
      </c>
      <c r="F63" s="886">
        <f t="shared" si="15"/>
        <v>0</v>
      </c>
      <c r="G63" s="1984" t="s">
        <v>1892</v>
      </c>
      <c r="H63" s="887" t="str">
        <f>项目基本情况!B37</f>
        <v>七级</v>
      </c>
      <c r="I63" s="891">
        <f>SUMIF(修正!A57:A68,H63,修正!G57:G68)</f>
        <v>0.15</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1902</v>
      </c>
      <c r="B64" s="218">
        <f t="shared" si="17"/>
        <v>430</v>
      </c>
      <c r="C64" s="171">
        <f t="shared" si="16"/>
        <v>0.15</v>
      </c>
      <c r="D64" s="945">
        <v>0.25</v>
      </c>
      <c r="E64" s="217">
        <f>'数据-汇总表'!E15</f>
        <v>0</v>
      </c>
      <c r="F64" s="886">
        <f t="shared" si="15"/>
        <v>0</v>
      </c>
      <c r="G64" s="1985" t="s">
        <v>1896</v>
      </c>
      <c r="H64" s="897" t="str">
        <f>项目基本情况!C37</f>
        <v>七级</v>
      </c>
      <c r="I64" s="893">
        <f>SUMIF(修正!A57:A68,H64,修正!G57:G68)</f>
        <v>0.15</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1903</v>
      </c>
      <c r="B65" s="644" t="s">
        <v>22</v>
      </c>
      <c r="C65" s="644" t="s">
        <v>23</v>
      </c>
      <c r="D65" s="644" t="s">
        <v>392</v>
      </c>
      <c r="E65" s="644">
        <f>IF(B46="楼面地价",SUM(E56:E64),'数据-汇总表'!D3)</f>
        <v>70277.48</v>
      </c>
      <c r="F65" s="645">
        <f>IF(B46="楼面地价",SUM(F56:F64),ROUND(C48*E65/10000,0))</f>
        <v>71521</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17"/>
      <c r="Q67" s="2717"/>
      <c r="R67" s="2717"/>
      <c r="S67" s="2717"/>
      <c r="T67" s="2717"/>
      <c r="U67" s="2717"/>
      <c r="V67" s="2717"/>
      <c r="W67" s="2717"/>
      <c r="X67" s="2717"/>
      <c r="Y67" s="2717"/>
      <c r="Z67" s="2717"/>
      <c r="AA67" s="2717"/>
      <c r="AB67" s="2717"/>
      <c r="AC67" s="2717"/>
    </row>
    <row r="68" spans="1:29" ht="21.75" thickBot="1">
      <c r="A68" s="694" t="s">
        <v>1798</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5">
      <c r="A69" s="1986"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68"/>
      <c r="Q69" s="2733"/>
      <c r="R69" s="2733"/>
      <c r="S69" s="2733"/>
      <c r="T69" s="2733"/>
      <c r="U69" s="2733"/>
      <c r="V69" s="2733"/>
      <c r="W69" s="2733"/>
      <c r="X69" s="2733"/>
      <c r="Y69" s="2733"/>
      <c r="Z69" s="2733"/>
      <c r="AA69" s="2733"/>
      <c r="AB69" s="2733"/>
      <c r="AC69" s="2733"/>
    </row>
    <row r="70" spans="1:29" s="108" customFormat="1" ht="30" customHeight="1">
      <c r="A70" s="1987" t="s">
        <v>1905</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1"/>
      <c r="Q70" s="2653"/>
      <c r="R70" s="2653"/>
      <c r="S70" s="2653"/>
      <c r="T70" s="2653"/>
      <c r="U70" s="2653"/>
      <c r="V70" s="2653"/>
      <c r="W70" s="2653"/>
      <c r="X70" s="2653"/>
      <c r="Y70" s="2653"/>
      <c r="Z70" s="2653"/>
      <c r="AA70" s="2653"/>
      <c r="AB70" s="2653"/>
      <c r="AC70" s="2653"/>
    </row>
    <row r="71" spans="1:29" s="108" customFormat="1" ht="15.75" thickBot="1">
      <c r="A71" s="464" t="s">
        <v>1716</v>
      </c>
      <c r="B71" s="465"/>
      <c r="C71" s="466"/>
      <c r="D71" s="467"/>
      <c r="E71" s="467"/>
      <c r="F71" s="467"/>
      <c r="G71" s="467"/>
      <c r="H71" s="467"/>
      <c r="I71" s="467"/>
      <c r="J71" s="467"/>
      <c r="K71" s="467"/>
      <c r="L71" s="467"/>
      <c r="M71" s="468"/>
      <c r="N71" s="467"/>
      <c r="O71" s="943"/>
      <c r="P71" s="2731"/>
      <c r="Q71" s="2731"/>
      <c r="R71" s="2653"/>
      <c r="S71" s="2653"/>
      <c r="T71" s="2653"/>
      <c r="U71" s="2653"/>
      <c r="V71" s="2653"/>
      <c r="W71" s="2653"/>
      <c r="X71" s="2653"/>
      <c r="Y71" s="2653"/>
      <c r="Z71" s="2653"/>
      <c r="AA71" s="2653"/>
      <c r="AB71" s="2653"/>
      <c r="AC71" s="2653"/>
    </row>
    <row r="72" spans="1:29" s="108" customFormat="1" ht="15">
      <c r="A72" s="470" t="s">
        <v>1681</v>
      </c>
      <c r="B72" s="459"/>
      <c r="C72" s="471" t="s">
        <v>1776</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c r="A74" s="476" t="s">
        <v>1719</v>
      </c>
      <c r="B74" s="477" t="s">
        <v>1685</v>
      </c>
      <c r="C74" s="479" t="s">
        <v>3664</v>
      </c>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v>100</v>
      </c>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1688</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v>0</v>
      </c>
      <c r="D79" s="498">
        <v>1</v>
      </c>
      <c r="E79" s="498">
        <v>2</v>
      </c>
      <c r="F79" s="498">
        <v>3</v>
      </c>
      <c r="G79" s="498">
        <v>4</v>
      </c>
      <c r="H79" s="498">
        <v>5</v>
      </c>
      <c r="I79" s="498">
        <v>6</v>
      </c>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1690</v>
      </c>
      <c r="B87" s="477" t="s">
        <v>1720</v>
      </c>
      <c r="C87" s="522" t="s">
        <v>1721</v>
      </c>
      <c r="D87" s="522" t="s">
        <v>1722</v>
      </c>
      <c r="E87" s="522" t="s">
        <v>1723</v>
      </c>
      <c r="F87" s="522" t="s">
        <v>1724</v>
      </c>
      <c r="G87" s="522" t="s">
        <v>1725</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1906</v>
      </c>
      <c r="C89" s="527" t="s">
        <v>1721</v>
      </c>
      <c r="D89" s="527" t="s">
        <v>1722</v>
      </c>
      <c r="E89" s="527" t="s">
        <v>1723</v>
      </c>
      <c r="F89" s="527" t="s">
        <v>1724</v>
      </c>
      <c r="G89" s="527" t="s">
        <v>1725</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1821</v>
      </c>
      <c r="C91" s="527" t="s">
        <v>1721</v>
      </c>
      <c r="D91" s="527" t="s">
        <v>1722</v>
      </c>
      <c r="E91" s="527" t="s">
        <v>1723</v>
      </c>
      <c r="F91" s="527" t="s">
        <v>1724</v>
      </c>
      <c r="G91" s="527" t="s">
        <v>1725</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98</v>
      </c>
      <c r="E92" s="493">
        <f>D92-$K19</f>
        <v>96</v>
      </c>
      <c r="F92" s="493">
        <f>E92-$K19</f>
        <v>94</v>
      </c>
      <c r="G92" s="493">
        <f>F92-$K19</f>
        <v>92</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1726</v>
      </c>
      <c r="C93" s="527" t="s">
        <v>1721</v>
      </c>
      <c r="D93" s="527" t="s">
        <v>1722</v>
      </c>
      <c r="E93" s="527" t="s">
        <v>1723</v>
      </c>
      <c r="F93" s="527" t="s">
        <v>1724</v>
      </c>
      <c r="G93" s="527" t="s">
        <v>1725</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98</v>
      </c>
      <c r="E94" s="493">
        <f>D94-$K21</f>
        <v>96</v>
      </c>
      <c r="F94" s="493">
        <f>E94-$K21</f>
        <v>94</v>
      </c>
      <c r="G94" s="493">
        <f>F94-$K21</f>
        <v>92</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1815</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1873</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ht="28.5">
      <c r="A115" s="476" t="s">
        <v>1694</v>
      </c>
      <c r="B115" s="477" t="s">
        <v>1913</v>
      </c>
      <c r="C115" s="478" t="str">
        <f>C116&amp;"(含)"&amp;"-"&amp;D116</f>
        <v>0(含)-10000</v>
      </c>
      <c r="D115" s="478" t="str">
        <f t="shared" ref="D115:M115" si="26">D116&amp;"(含)"&amp;"-"&amp;E116</f>
        <v>10000(含)-20000</v>
      </c>
      <c r="E115" s="478" t="str">
        <f t="shared" si="26"/>
        <v>20000(含)-30000</v>
      </c>
      <c r="F115" s="478" t="str">
        <f t="shared" si="26"/>
        <v>30000(含)-50000</v>
      </c>
      <c r="G115" s="478" t="str">
        <f t="shared" si="26"/>
        <v>50000(含)-100000</v>
      </c>
      <c r="H115" s="478" t="str">
        <f t="shared" si="26"/>
        <v>100000(含)-200000</v>
      </c>
      <c r="I115" s="478" t="str">
        <f t="shared" si="26"/>
        <v>200000(含)-</v>
      </c>
      <c r="J115" s="478" t="str">
        <f t="shared" si="26"/>
        <v>(含)-</v>
      </c>
      <c r="K115" s="478" t="str">
        <f t="shared" si="26"/>
        <v>(含)-</v>
      </c>
      <c r="L115" s="478" t="str">
        <f t="shared" si="26"/>
        <v>(含)-</v>
      </c>
      <c r="M115" s="478" t="str">
        <f t="shared" si="26"/>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v>0</v>
      </c>
      <c r="D116" s="544">
        <v>10000</v>
      </c>
      <c r="E116" s="544">
        <v>20000</v>
      </c>
      <c r="F116" s="544">
        <v>30000</v>
      </c>
      <c r="G116" s="544">
        <v>50000</v>
      </c>
      <c r="H116" s="544">
        <v>100000</v>
      </c>
      <c r="I116" s="544">
        <v>200000</v>
      </c>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40">
        <f>D117-2</f>
        <v>94</v>
      </c>
      <c r="D117" s="540">
        <f>E117-2</f>
        <v>96</v>
      </c>
      <c r="E117" s="540">
        <f>F117-2</f>
        <v>98</v>
      </c>
      <c r="F117" s="540">
        <v>100</v>
      </c>
      <c r="G117" s="540">
        <f>F117-2</f>
        <v>98</v>
      </c>
      <c r="H117" s="540">
        <f>G117-2</f>
        <v>96</v>
      </c>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1914</v>
      </c>
      <c r="C118" s="3467" t="s">
        <v>3667</v>
      </c>
      <c r="D118" s="3467" t="s">
        <v>3668</v>
      </c>
      <c r="E118" s="3467" t="s">
        <v>3669</v>
      </c>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1915</v>
      </c>
      <c r="C120" s="3468" t="s">
        <v>3670</v>
      </c>
      <c r="D120" s="3468" t="s">
        <v>3671</v>
      </c>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1917</v>
      </c>
      <c r="C124" s="503" t="str">
        <f>C99</f>
        <v>好</v>
      </c>
      <c r="D124" s="503" t="str">
        <f>D99</f>
        <v>较好</v>
      </c>
      <c r="E124" s="503" t="str">
        <f>E99</f>
        <v>一般</v>
      </c>
      <c r="F124" s="503" t="str">
        <f>F99</f>
        <v>较差</v>
      </c>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zoomScale="80" zoomScaleNormal="80" workbookViewId="0">
      <selection activeCell="A4" sqref="A4"/>
    </sheetView>
  </sheetViews>
  <sheetFormatPr defaultRowHeight="14.25"/>
  <cols>
    <col min="1" max="1" width="38.5" style="3463" customWidth="1"/>
    <col min="2" max="4" width="20" style="3463" hidden="1" customWidth="1"/>
    <col min="5" max="5" width="10.875" style="3463" customWidth="1"/>
    <col min="6" max="6" width="11.5" style="3463" customWidth="1"/>
    <col min="7" max="7" width="20" style="3463" hidden="1" customWidth="1"/>
    <col min="8" max="8" width="20" style="3463" customWidth="1"/>
    <col min="9" max="9" width="10.375" style="3463" customWidth="1"/>
    <col min="10" max="10" width="12.25" style="3463" customWidth="1"/>
    <col min="11" max="11" width="11.375" style="3463" customWidth="1"/>
    <col min="12" max="12" width="20" style="3463" hidden="1" customWidth="1"/>
    <col min="13" max="14" width="20" style="3463" customWidth="1"/>
    <col min="15" max="28" width="20" style="3463" hidden="1" customWidth="1"/>
    <col min="29" max="29" width="13.75" style="3463" customWidth="1"/>
    <col min="30" max="31" width="20" style="3463" hidden="1" customWidth="1"/>
    <col min="32" max="34" width="20" style="3463" customWidth="1"/>
    <col min="35" max="37" width="20" style="3463" hidden="1" customWidth="1"/>
    <col min="38" max="38" width="11.875" style="3463" customWidth="1"/>
    <col min="39" max="39" width="20" style="3463" hidden="1" customWidth="1"/>
    <col min="40" max="40" width="12.125" style="3463" customWidth="1"/>
    <col min="41" max="41" width="20" style="3463" hidden="1" customWidth="1"/>
    <col min="42" max="42" width="8.25" style="3463" customWidth="1"/>
    <col min="43" max="44" width="20" style="3463" hidden="1" customWidth="1"/>
    <col min="45" max="45" width="9.375" style="3463" customWidth="1"/>
    <col min="46" max="46" width="20" style="3463" customWidth="1"/>
    <col min="47" max="51" width="20" style="3463" hidden="1" customWidth="1"/>
    <col min="52" max="52" width="7.125" style="3463" customWidth="1"/>
    <col min="53" max="53" width="20" style="3463" customWidth="1"/>
    <col min="54" max="16384" width="9" style="3463"/>
  </cols>
  <sheetData>
    <row r="1" spans="1:52">
      <c r="A1" s="3463" t="s">
        <v>3473</v>
      </c>
      <c r="B1" s="3463" t="s">
        <v>3474</v>
      </c>
      <c r="C1" s="3463" t="s">
        <v>3475</v>
      </c>
      <c r="D1" s="3463" t="s">
        <v>3476</v>
      </c>
      <c r="E1" s="3463" t="s">
        <v>3477</v>
      </c>
      <c r="F1" s="3463" t="s">
        <v>3478</v>
      </c>
      <c r="G1" s="3463" t="s">
        <v>3479</v>
      </c>
      <c r="H1" s="3463" t="s">
        <v>3480</v>
      </c>
      <c r="I1" s="3463" t="s">
        <v>3481</v>
      </c>
      <c r="J1" s="3463" t="s">
        <v>3482</v>
      </c>
      <c r="K1" s="3463" t="s">
        <v>3483</v>
      </c>
      <c r="L1" s="3463" t="s">
        <v>3484</v>
      </c>
      <c r="M1" s="3463" t="s">
        <v>3485</v>
      </c>
      <c r="N1" s="3463" t="s">
        <v>3486</v>
      </c>
      <c r="O1" s="3463" t="s">
        <v>3487</v>
      </c>
      <c r="P1" s="3463" t="s">
        <v>3488</v>
      </c>
      <c r="Q1" s="3463" t="s">
        <v>3489</v>
      </c>
      <c r="R1" s="3463" t="s">
        <v>3490</v>
      </c>
      <c r="S1" s="3463" t="s">
        <v>3491</v>
      </c>
      <c r="T1" s="3463" t="s">
        <v>3492</v>
      </c>
      <c r="U1" s="3463" t="s">
        <v>3493</v>
      </c>
      <c r="V1" s="3463" t="s">
        <v>3494</v>
      </c>
      <c r="W1" s="3463" t="s">
        <v>3495</v>
      </c>
      <c r="X1" s="3463" t="s">
        <v>3496</v>
      </c>
      <c r="Y1" s="3463" t="s">
        <v>3497</v>
      </c>
      <c r="Z1" s="3463" t="s">
        <v>3498</v>
      </c>
      <c r="AA1" s="3463" t="s">
        <v>3499</v>
      </c>
      <c r="AB1" s="3463" t="s">
        <v>3500</v>
      </c>
      <c r="AC1" s="3463" t="s">
        <v>3501</v>
      </c>
      <c r="AD1" s="3463" t="s">
        <v>3502</v>
      </c>
      <c r="AE1" s="3463" t="s">
        <v>3503</v>
      </c>
      <c r="AF1" s="3463" t="s">
        <v>3504</v>
      </c>
      <c r="AG1" s="3463" t="s">
        <v>3505</v>
      </c>
      <c r="AH1" s="3463" t="s">
        <v>3506</v>
      </c>
      <c r="AI1" s="3463" t="s">
        <v>3507</v>
      </c>
      <c r="AJ1" s="3463" t="s">
        <v>3508</v>
      </c>
      <c r="AK1" s="3463" t="s">
        <v>3509</v>
      </c>
      <c r="AL1" s="3463" t="s">
        <v>3510</v>
      </c>
      <c r="AM1" s="3463" t="s">
        <v>3511</v>
      </c>
      <c r="AN1" s="3463" t="s">
        <v>3512</v>
      </c>
      <c r="AO1" s="3463" t="s">
        <v>3513</v>
      </c>
      <c r="AP1" s="3463" t="s">
        <v>3514</v>
      </c>
      <c r="AQ1" s="3463" t="s">
        <v>3515</v>
      </c>
      <c r="AR1" s="3463" t="s">
        <v>3516</v>
      </c>
      <c r="AS1" s="3463" t="s">
        <v>3517</v>
      </c>
      <c r="AT1" s="3463" t="s">
        <v>3518</v>
      </c>
      <c r="AU1" s="3463" t="s">
        <v>3519</v>
      </c>
      <c r="AV1" s="3463" t="s">
        <v>3520</v>
      </c>
      <c r="AW1" s="3463" t="s">
        <v>3521</v>
      </c>
      <c r="AX1" s="3463" t="s">
        <v>3522</v>
      </c>
      <c r="AY1" s="3463" t="s">
        <v>3523</v>
      </c>
      <c r="AZ1" s="3463" t="s">
        <v>3524</v>
      </c>
    </row>
    <row r="2" spans="1:52" s="3465" customFormat="1">
      <c r="A2" s="3465" t="s">
        <v>3672</v>
      </c>
      <c r="B2" s="3465" t="s">
        <v>3375</v>
      </c>
      <c r="C2" s="3465" t="s">
        <v>3553</v>
      </c>
      <c r="D2" s="3465" t="s">
        <v>3527</v>
      </c>
      <c r="E2" s="3465" t="s">
        <v>3528</v>
      </c>
      <c r="F2" s="3465" t="s">
        <v>3554</v>
      </c>
      <c r="G2" s="3465" t="s">
        <v>3555</v>
      </c>
      <c r="H2" s="3465" t="s">
        <v>3531</v>
      </c>
      <c r="I2" s="3465">
        <v>17308.8</v>
      </c>
      <c r="J2" s="3465">
        <v>86544</v>
      </c>
      <c r="K2" s="3465">
        <v>5</v>
      </c>
      <c r="L2" s="3465" t="s">
        <v>3532</v>
      </c>
      <c r="M2" s="3465" t="s">
        <v>3557</v>
      </c>
      <c r="N2" s="3465" t="s">
        <v>3534</v>
      </c>
      <c r="O2" s="3465" t="s">
        <v>3535</v>
      </c>
      <c r="P2" s="3465" t="s">
        <v>3558</v>
      </c>
      <c r="Q2" s="3465">
        <v>100</v>
      </c>
      <c r="R2" s="3465" t="s">
        <v>3536</v>
      </c>
      <c r="S2" s="3465" t="s">
        <v>3536</v>
      </c>
      <c r="T2" s="3465" t="s">
        <v>3536</v>
      </c>
      <c r="U2" s="3465" t="s">
        <v>3536</v>
      </c>
      <c r="V2" s="3465" t="s">
        <v>3536</v>
      </c>
      <c r="W2" s="3465" t="s">
        <v>3536</v>
      </c>
      <c r="X2" s="3465">
        <v>0</v>
      </c>
      <c r="Y2" s="3465">
        <v>0</v>
      </c>
      <c r="Z2" s="3466">
        <v>44701.000497685185</v>
      </c>
      <c r="AA2" s="3466">
        <v>44721.000497685185</v>
      </c>
      <c r="AB2" s="3466">
        <v>44735.000497685185</v>
      </c>
      <c r="AC2" s="3466">
        <v>44735.000497685185</v>
      </c>
      <c r="AD2" s="3465" t="s">
        <v>3559</v>
      </c>
      <c r="AE2" s="3465" t="s">
        <v>3538</v>
      </c>
      <c r="AF2" s="3465" t="s">
        <v>3560</v>
      </c>
      <c r="AG2" s="3465" t="s">
        <v>3561</v>
      </c>
      <c r="AH2" s="3465" t="s">
        <v>3536</v>
      </c>
      <c r="AI2" s="3465">
        <v>91400</v>
      </c>
      <c r="AJ2" s="3465">
        <v>18300</v>
      </c>
      <c r="AK2" s="3465" t="s">
        <v>3562</v>
      </c>
      <c r="AL2" s="3465">
        <v>91400</v>
      </c>
      <c r="AM2" s="3465">
        <v>3520.37</v>
      </c>
      <c r="AN2" s="3465">
        <v>3520.37</v>
      </c>
      <c r="AO2" s="3465">
        <v>10561</v>
      </c>
      <c r="AP2" s="3465">
        <v>10561</v>
      </c>
      <c r="AQ2" s="3465" t="s">
        <v>3536</v>
      </c>
      <c r="AR2" s="3465" t="s">
        <v>3536</v>
      </c>
      <c r="AS2" s="3465">
        <v>0</v>
      </c>
      <c r="AT2" s="3465" t="s">
        <v>3563</v>
      </c>
      <c r="AU2" s="3465" t="s">
        <v>3535</v>
      </c>
      <c r="AV2" s="3465" t="s">
        <v>3536</v>
      </c>
      <c r="AW2" s="3465" t="s">
        <v>3535</v>
      </c>
      <c r="AX2" s="3465" t="s">
        <v>3536</v>
      </c>
      <c r="AY2" s="3465" t="s">
        <v>3536</v>
      </c>
      <c r="AZ2" s="3465" t="s">
        <v>3536</v>
      </c>
    </row>
    <row r="3" spans="1:52" s="3465" customFormat="1">
      <c r="A3" s="3465" t="s">
        <v>3674</v>
      </c>
      <c r="B3" s="3465" t="s">
        <v>3375</v>
      </c>
      <c r="C3" s="3465" t="s">
        <v>3565</v>
      </c>
      <c r="D3" s="3465" t="s">
        <v>3527</v>
      </c>
      <c r="E3" s="3465" t="s">
        <v>3528</v>
      </c>
      <c r="F3" s="3465" t="s">
        <v>3566</v>
      </c>
      <c r="G3" s="3465" t="s">
        <v>3545</v>
      </c>
      <c r="H3" s="3465" t="s">
        <v>3531</v>
      </c>
      <c r="I3" s="3465">
        <v>59169.74</v>
      </c>
      <c r="J3" s="3465">
        <v>130173.43</v>
      </c>
      <c r="K3" s="3465">
        <v>2.2000000000000002</v>
      </c>
      <c r="L3" s="3465" t="s">
        <v>3532</v>
      </c>
      <c r="M3" s="3465" t="s">
        <v>3557</v>
      </c>
      <c r="N3" s="3465" t="s">
        <v>3534</v>
      </c>
      <c r="O3" s="3465" t="s">
        <v>3535</v>
      </c>
      <c r="P3" s="3465" t="s">
        <v>3536</v>
      </c>
      <c r="Q3" s="3465" t="s">
        <v>3536</v>
      </c>
      <c r="R3" s="3465" t="s">
        <v>3536</v>
      </c>
      <c r="S3" s="3465" t="s">
        <v>3536</v>
      </c>
      <c r="T3" s="3465" t="s">
        <v>3536</v>
      </c>
      <c r="U3" s="3465" t="s">
        <v>3536</v>
      </c>
      <c r="V3" s="3465" t="s">
        <v>3536</v>
      </c>
      <c r="W3" s="3465" t="s">
        <v>3536</v>
      </c>
      <c r="X3" s="3465">
        <v>0</v>
      </c>
      <c r="Y3" s="3465">
        <v>0</v>
      </c>
      <c r="Z3" s="3466">
        <v>44648.000497685185</v>
      </c>
      <c r="AA3" s="3466">
        <v>44669.000497685185</v>
      </c>
      <c r="AB3" s="3466">
        <v>44680.000497685185</v>
      </c>
      <c r="AC3" s="3466">
        <v>44680.000497685185</v>
      </c>
      <c r="AD3" s="3465" t="s">
        <v>3568</v>
      </c>
      <c r="AE3" s="3465" t="s">
        <v>3538</v>
      </c>
      <c r="AF3" s="3465" t="s">
        <v>3569</v>
      </c>
      <c r="AG3" s="3465" t="s">
        <v>3570</v>
      </c>
      <c r="AH3" s="3465" t="s">
        <v>3571</v>
      </c>
      <c r="AI3" s="3465">
        <v>131600</v>
      </c>
      <c r="AJ3" s="3465">
        <v>27000</v>
      </c>
      <c r="AK3" s="3465" t="s">
        <v>3572</v>
      </c>
      <c r="AL3" s="3465">
        <v>131600</v>
      </c>
      <c r="AM3" s="3465">
        <v>1482.74</v>
      </c>
      <c r="AN3" s="3465">
        <v>1482.74</v>
      </c>
      <c r="AO3" s="3465">
        <v>10110</v>
      </c>
      <c r="AP3" s="3465">
        <v>10110</v>
      </c>
      <c r="AQ3" s="3465" t="s">
        <v>3536</v>
      </c>
      <c r="AR3" s="3465" t="s">
        <v>3536</v>
      </c>
      <c r="AS3" s="3465">
        <v>0</v>
      </c>
      <c r="AT3" s="3465" t="s">
        <v>3573</v>
      </c>
      <c r="AU3" s="3465" t="s">
        <v>3535</v>
      </c>
      <c r="AV3" s="3465" t="s">
        <v>3536</v>
      </c>
      <c r="AW3" s="3465" t="s">
        <v>3535</v>
      </c>
      <c r="AX3" s="3465" t="s">
        <v>3536</v>
      </c>
      <c r="AY3" s="3465" t="s">
        <v>3536</v>
      </c>
      <c r="AZ3" s="3465" t="s">
        <v>3536</v>
      </c>
    </row>
    <row r="4" spans="1:52" s="3465" customFormat="1">
      <c r="A4" s="3465" t="s">
        <v>3677</v>
      </c>
      <c r="B4" s="3465" t="s">
        <v>3375</v>
      </c>
      <c r="C4" s="3465" t="s">
        <v>3583</v>
      </c>
      <c r="D4" s="3465" t="s">
        <v>3527</v>
      </c>
      <c r="E4" s="3465" t="s">
        <v>3528</v>
      </c>
      <c r="F4" s="3465" t="s">
        <v>3584</v>
      </c>
      <c r="G4" s="3465" t="s">
        <v>3585</v>
      </c>
      <c r="H4" s="3465" t="s">
        <v>3531</v>
      </c>
      <c r="I4" s="3465">
        <v>15178.6</v>
      </c>
      <c r="J4" s="3465">
        <v>45535.8</v>
      </c>
      <c r="K4" s="3465">
        <v>3</v>
      </c>
      <c r="L4" s="3465" t="s">
        <v>3532</v>
      </c>
      <c r="M4" s="3465" t="s">
        <v>3557</v>
      </c>
      <c r="N4" s="3465" t="s">
        <v>3534</v>
      </c>
      <c r="O4" s="3465" t="s">
        <v>3535</v>
      </c>
      <c r="P4" s="3465" t="s">
        <v>3536</v>
      </c>
      <c r="Q4" s="3465" t="s">
        <v>3536</v>
      </c>
      <c r="R4" s="3465" t="s">
        <v>3536</v>
      </c>
      <c r="S4" s="3465" t="s">
        <v>3536</v>
      </c>
      <c r="T4" s="3465" t="s">
        <v>3536</v>
      </c>
      <c r="U4" s="3465" t="s">
        <v>3536</v>
      </c>
      <c r="V4" s="3465" t="s">
        <v>3536</v>
      </c>
      <c r="W4" s="3465" t="s">
        <v>3536</v>
      </c>
      <c r="X4" s="3465">
        <v>0</v>
      </c>
      <c r="Y4" s="3465">
        <v>0</v>
      </c>
      <c r="Z4" s="3466">
        <v>44561.000497685185</v>
      </c>
      <c r="AA4" s="3466">
        <v>44581.000497685185</v>
      </c>
      <c r="AB4" s="3466">
        <v>44600.000497685185</v>
      </c>
      <c r="AC4" s="3466">
        <v>44600.000497685185</v>
      </c>
      <c r="AD4" s="3465" t="s">
        <v>3586</v>
      </c>
      <c r="AE4" s="3465" t="s">
        <v>3538</v>
      </c>
      <c r="AF4" s="3465" t="s">
        <v>3587</v>
      </c>
      <c r="AG4" s="3465" t="s">
        <v>3588</v>
      </c>
      <c r="AH4" s="3465" t="s">
        <v>3571</v>
      </c>
      <c r="AI4" s="3465">
        <v>58400</v>
      </c>
      <c r="AJ4" s="3465">
        <v>11700</v>
      </c>
      <c r="AK4" s="3465" t="s">
        <v>633</v>
      </c>
      <c r="AL4" s="3465">
        <v>58400</v>
      </c>
      <c r="AM4" s="3465">
        <v>2565.0100000000002</v>
      </c>
      <c r="AN4" s="3465">
        <v>2565.0100000000002</v>
      </c>
      <c r="AO4" s="3465">
        <v>12825</v>
      </c>
      <c r="AP4" s="3465">
        <v>12825</v>
      </c>
      <c r="AQ4" s="3465" t="s">
        <v>3536</v>
      </c>
      <c r="AR4" s="3465" t="s">
        <v>3536</v>
      </c>
      <c r="AS4" s="3465">
        <v>0</v>
      </c>
      <c r="AT4" s="3465" t="s">
        <v>3589</v>
      </c>
      <c r="AU4" s="3465" t="s">
        <v>3535</v>
      </c>
      <c r="AV4" s="3465" t="s">
        <v>3536</v>
      </c>
      <c r="AW4" s="3465" t="s">
        <v>3535</v>
      </c>
      <c r="AX4" s="3465" t="s">
        <v>3536</v>
      </c>
      <c r="AY4" s="3465" t="s">
        <v>3536</v>
      </c>
      <c r="AZ4" s="3465" t="s">
        <v>3536</v>
      </c>
    </row>
    <row r="6" spans="1:52">
      <c r="A6" s="3463" t="s">
        <v>3473</v>
      </c>
      <c r="B6" s="3463" t="s">
        <v>3474</v>
      </c>
      <c r="C6" s="3463" t="s">
        <v>3475</v>
      </c>
      <c r="D6" s="3463" t="s">
        <v>3476</v>
      </c>
      <c r="E6" s="3463" t="s">
        <v>3477</v>
      </c>
      <c r="F6" s="3463" t="s">
        <v>3478</v>
      </c>
      <c r="G6" s="3463" t="s">
        <v>3479</v>
      </c>
      <c r="H6" s="3463" t="s">
        <v>3480</v>
      </c>
      <c r="I6" s="3463" t="s">
        <v>3481</v>
      </c>
      <c r="J6" s="3463" t="s">
        <v>3482</v>
      </c>
      <c r="K6" s="3463" t="s">
        <v>3483</v>
      </c>
      <c r="L6" s="3463" t="s">
        <v>3484</v>
      </c>
      <c r="M6" s="3463" t="s">
        <v>3485</v>
      </c>
      <c r="N6" s="3463" t="s">
        <v>3486</v>
      </c>
      <c r="O6" s="3463" t="s">
        <v>3487</v>
      </c>
      <c r="P6" s="3463" t="s">
        <v>3488</v>
      </c>
      <c r="Q6" s="3463" t="s">
        <v>3489</v>
      </c>
      <c r="R6" s="3463" t="s">
        <v>3490</v>
      </c>
      <c r="S6" s="3463" t="s">
        <v>3491</v>
      </c>
      <c r="T6" s="3463" t="s">
        <v>3492</v>
      </c>
      <c r="U6" s="3463" t="s">
        <v>3493</v>
      </c>
      <c r="V6" s="3463" t="s">
        <v>3494</v>
      </c>
      <c r="W6" s="3463" t="s">
        <v>3495</v>
      </c>
      <c r="X6" s="3463" t="s">
        <v>3496</v>
      </c>
      <c r="Y6" s="3463" t="s">
        <v>3497</v>
      </c>
      <c r="Z6" s="3463" t="s">
        <v>3498</v>
      </c>
      <c r="AA6" s="3463" t="s">
        <v>3499</v>
      </c>
      <c r="AB6" s="3463" t="s">
        <v>3500</v>
      </c>
      <c r="AC6" s="3463" t="s">
        <v>3501</v>
      </c>
      <c r="AD6" s="3463" t="s">
        <v>3502</v>
      </c>
      <c r="AE6" s="3463" t="s">
        <v>3503</v>
      </c>
      <c r="AF6" s="3463" t="s">
        <v>3504</v>
      </c>
      <c r="AG6" s="3463" t="s">
        <v>3505</v>
      </c>
      <c r="AH6" s="3463" t="s">
        <v>3506</v>
      </c>
      <c r="AI6" s="3463" t="s">
        <v>3507</v>
      </c>
      <c r="AJ6" s="3463" t="s">
        <v>3508</v>
      </c>
      <c r="AK6" s="3463" t="s">
        <v>3509</v>
      </c>
      <c r="AL6" s="3463" t="s">
        <v>3510</v>
      </c>
      <c r="AM6" s="3463" t="s">
        <v>3511</v>
      </c>
      <c r="AN6" s="3463" t="s">
        <v>3512</v>
      </c>
      <c r="AO6" s="3463" t="s">
        <v>3513</v>
      </c>
      <c r="AP6" s="3463" t="s">
        <v>3514</v>
      </c>
      <c r="AQ6" s="3463" t="s">
        <v>3515</v>
      </c>
      <c r="AR6" s="3463" t="s">
        <v>3516</v>
      </c>
      <c r="AS6" s="3463" t="s">
        <v>3517</v>
      </c>
      <c r="AT6" s="3463" t="s">
        <v>3518</v>
      </c>
      <c r="AU6" s="3463" t="s">
        <v>3519</v>
      </c>
      <c r="AV6" s="3463" t="s">
        <v>3520</v>
      </c>
      <c r="AW6" s="3463" t="s">
        <v>3521</v>
      </c>
      <c r="AX6" s="3463" t="s">
        <v>3522</v>
      </c>
      <c r="AY6" s="3463" t="s">
        <v>3523</v>
      </c>
      <c r="AZ6" s="3463" t="s">
        <v>3524</v>
      </c>
    </row>
    <row r="7" spans="1:52">
      <c r="A7" s="3463" t="s">
        <v>3525</v>
      </c>
      <c r="B7" s="3463" t="s">
        <v>3375</v>
      </c>
      <c r="C7" s="3463" t="s">
        <v>3526</v>
      </c>
      <c r="D7" s="3463" t="s">
        <v>3527</v>
      </c>
      <c r="E7" s="3463" t="s">
        <v>3528</v>
      </c>
      <c r="F7" s="3463" t="s">
        <v>3529</v>
      </c>
      <c r="G7" s="3463" t="s">
        <v>3530</v>
      </c>
      <c r="H7" s="3463" t="s">
        <v>3531</v>
      </c>
      <c r="I7" s="3463">
        <v>82500</v>
      </c>
      <c r="J7" s="3463">
        <v>165000</v>
      </c>
      <c r="K7" s="3463">
        <v>2</v>
      </c>
      <c r="L7" s="3463" t="s">
        <v>3532</v>
      </c>
      <c r="M7" s="3463" t="s">
        <v>3533</v>
      </c>
      <c r="N7" s="3463" t="s">
        <v>3534</v>
      </c>
      <c r="O7" s="3463" t="s">
        <v>3535</v>
      </c>
      <c r="P7" s="3463" t="s">
        <v>3536</v>
      </c>
      <c r="Q7" s="3463" t="s">
        <v>3536</v>
      </c>
      <c r="R7" s="3463" t="s">
        <v>3536</v>
      </c>
      <c r="S7" s="3463" t="s">
        <v>3536</v>
      </c>
      <c r="T7" s="3463" t="s">
        <v>3536</v>
      </c>
      <c r="U7" s="3463" t="s">
        <v>3536</v>
      </c>
      <c r="V7" s="3463" t="s">
        <v>3536</v>
      </c>
      <c r="W7" s="3463" t="s">
        <v>3536</v>
      </c>
      <c r="X7" s="3463">
        <v>0</v>
      </c>
      <c r="Y7" s="3463">
        <v>0</v>
      </c>
      <c r="Z7" s="3464">
        <v>44978.000497685185</v>
      </c>
      <c r="AA7" s="3464">
        <v>44997.000497685185</v>
      </c>
      <c r="AB7" s="3464">
        <v>45012.000497685185</v>
      </c>
      <c r="AC7" s="3464">
        <v>45012.000497685185</v>
      </c>
      <c r="AD7" s="3463" t="s">
        <v>3537</v>
      </c>
      <c r="AE7" s="3463" t="s">
        <v>3538</v>
      </c>
      <c r="AF7" s="3463" t="s">
        <v>3539</v>
      </c>
      <c r="AG7" s="3463" t="s">
        <v>3540</v>
      </c>
      <c r="AH7" s="3463" t="s">
        <v>3541</v>
      </c>
      <c r="AI7" s="3463">
        <v>260700</v>
      </c>
      <c r="AJ7" s="3463">
        <v>78000</v>
      </c>
      <c r="AK7" s="3463" t="s">
        <v>633</v>
      </c>
      <c r="AL7" s="3463">
        <v>260700</v>
      </c>
      <c r="AM7" s="3463">
        <v>2106.67</v>
      </c>
      <c r="AN7" s="3463">
        <v>2106.67</v>
      </c>
      <c r="AO7" s="3463">
        <v>15800</v>
      </c>
      <c r="AP7" s="3463">
        <v>15800</v>
      </c>
      <c r="AQ7" s="3463" t="s">
        <v>3536</v>
      </c>
      <c r="AR7" s="3463" t="s">
        <v>3536</v>
      </c>
      <c r="AS7" s="3463">
        <v>0</v>
      </c>
      <c r="AT7" s="3463">
        <v>40</v>
      </c>
      <c r="AU7" s="3463" t="s">
        <v>3535</v>
      </c>
      <c r="AV7" s="3463" t="s">
        <v>3536</v>
      </c>
      <c r="AW7" s="3463" t="s">
        <v>3535</v>
      </c>
      <c r="AX7" s="3463" t="s">
        <v>3536</v>
      </c>
      <c r="AY7" s="3463" t="s">
        <v>3536</v>
      </c>
      <c r="AZ7" s="3463" t="s">
        <v>3536</v>
      </c>
    </row>
    <row r="8" spans="1:52">
      <c r="A8" s="3463" t="s">
        <v>3542</v>
      </c>
      <c r="B8" s="3463" t="s">
        <v>3375</v>
      </c>
      <c r="C8" s="3463" t="s">
        <v>3543</v>
      </c>
      <c r="D8" s="3463" t="s">
        <v>3527</v>
      </c>
      <c r="E8" s="3463" t="s">
        <v>3528</v>
      </c>
      <c r="F8" s="3463" t="s">
        <v>3544</v>
      </c>
      <c r="G8" s="3463" t="s">
        <v>3545</v>
      </c>
      <c r="H8" s="3463" t="s">
        <v>3531</v>
      </c>
      <c r="I8" s="3463">
        <v>4800</v>
      </c>
      <c r="J8" s="3463">
        <v>1920</v>
      </c>
      <c r="K8" s="3463" t="s">
        <v>3546</v>
      </c>
      <c r="L8" s="3463" t="s">
        <v>3532</v>
      </c>
      <c r="M8" s="3463" t="s">
        <v>3547</v>
      </c>
      <c r="N8" s="3463" t="s">
        <v>3534</v>
      </c>
      <c r="O8" s="3463" t="s">
        <v>3535</v>
      </c>
      <c r="P8" s="3463" t="s">
        <v>3536</v>
      </c>
      <c r="Q8" s="3463" t="s">
        <v>3536</v>
      </c>
      <c r="R8" s="3463" t="s">
        <v>3536</v>
      </c>
      <c r="S8" s="3463" t="s">
        <v>3536</v>
      </c>
      <c r="T8" s="3463" t="s">
        <v>3536</v>
      </c>
      <c r="U8" s="3463" t="s">
        <v>3536</v>
      </c>
      <c r="V8" s="3463" t="s">
        <v>3536</v>
      </c>
      <c r="W8" s="3463" t="s">
        <v>3536</v>
      </c>
      <c r="X8" s="3463">
        <v>0</v>
      </c>
      <c r="Y8" s="3463">
        <v>0</v>
      </c>
      <c r="Z8" s="3464">
        <v>44911.000497685185</v>
      </c>
      <c r="AA8" s="3464">
        <v>44931.000497685185</v>
      </c>
      <c r="AB8" s="3464">
        <v>44945.000497685185</v>
      </c>
      <c r="AC8" s="3464">
        <v>44945.000497685185</v>
      </c>
      <c r="AD8" s="3463" t="s">
        <v>3548</v>
      </c>
      <c r="AE8" s="3463" t="s">
        <v>3538</v>
      </c>
      <c r="AF8" s="3463" t="s">
        <v>3549</v>
      </c>
      <c r="AG8" s="3463" t="s">
        <v>3536</v>
      </c>
      <c r="AH8" s="3463" t="s">
        <v>3536</v>
      </c>
      <c r="AI8" s="3463">
        <v>5800</v>
      </c>
      <c r="AJ8" s="3463">
        <v>1200</v>
      </c>
      <c r="AK8" s="3463" t="s">
        <v>3550</v>
      </c>
      <c r="AL8" s="3463">
        <v>5800</v>
      </c>
      <c r="AM8" s="3463">
        <v>805.56</v>
      </c>
      <c r="AN8" s="3463">
        <v>805.56</v>
      </c>
      <c r="AO8" s="3463">
        <v>30208</v>
      </c>
      <c r="AP8" s="3463">
        <v>30208</v>
      </c>
      <c r="AQ8" s="3463" t="s">
        <v>3536</v>
      </c>
      <c r="AR8" s="3463" t="s">
        <v>3536</v>
      </c>
      <c r="AS8" s="3463">
        <v>0</v>
      </c>
      <c r="AT8" s="3463" t="s">
        <v>3551</v>
      </c>
      <c r="AU8" s="3463" t="s">
        <v>3535</v>
      </c>
      <c r="AV8" s="3463" t="s">
        <v>3536</v>
      </c>
      <c r="AW8" s="3463" t="s">
        <v>3535</v>
      </c>
      <c r="AX8" s="3463" t="s">
        <v>3536</v>
      </c>
      <c r="AY8" s="3463" t="s">
        <v>3536</v>
      </c>
      <c r="AZ8" s="3463" t="s">
        <v>3536</v>
      </c>
    </row>
    <row r="9" spans="1:52" s="3465" customFormat="1">
      <c r="A9" s="3465" t="s">
        <v>3552</v>
      </c>
      <c r="B9" s="3465" t="s">
        <v>3375</v>
      </c>
      <c r="C9" s="3465" t="s">
        <v>3553</v>
      </c>
      <c r="D9" s="3465" t="s">
        <v>3527</v>
      </c>
      <c r="E9" s="3465" t="s">
        <v>3528</v>
      </c>
      <c r="F9" s="3465" t="s">
        <v>3554</v>
      </c>
      <c r="G9" s="3465" t="s">
        <v>3555</v>
      </c>
      <c r="H9" s="3465" t="s">
        <v>3531</v>
      </c>
      <c r="I9" s="3465">
        <v>17308.8</v>
      </c>
      <c r="J9" s="3465">
        <v>86544</v>
      </c>
      <c r="K9" s="3465" t="s">
        <v>3556</v>
      </c>
      <c r="L9" s="3465" t="s">
        <v>3532</v>
      </c>
      <c r="M9" s="3465" t="s">
        <v>3557</v>
      </c>
      <c r="N9" s="3465" t="s">
        <v>3534</v>
      </c>
      <c r="O9" s="3465" t="s">
        <v>3535</v>
      </c>
      <c r="P9" s="3465" t="s">
        <v>3558</v>
      </c>
      <c r="Q9" s="3465">
        <v>100</v>
      </c>
      <c r="R9" s="3465" t="s">
        <v>3536</v>
      </c>
      <c r="S9" s="3465" t="s">
        <v>3536</v>
      </c>
      <c r="T9" s="3465" t="s">
        <v>3536</v>
      </c>
      <c r="U9" s="3465" t="s">
        <v>3536</v>
      </c>
      <c r="V9" s="3465" t="s">
        <v>3536</v>
      </c>
      <c r="W9" s="3465" t="s">
        <v>3536</v>
      </c>
      <c r="X9" s="3465">
        <v>0</v>
      </c>
      <c r="Y9" s="3465">
        <v>0</v>
      </c>
      <c r="Z9" s="3466">
        <v>44701.000497685185</v>
      </c>
      <c r="AA9" s="3466">
        <v>44721.000497685185</v>
      </c>
      <c r="AB9" s="3466">
        <v>44735.000497685185</v>
      </c>
      <c r="AC9" s="3466">
        <v>44735.000497685185</v>
      </c>
      <c r="AD9" s="3465" t="s">
        <v>3559</v>
      </c>
      <c r="AE9" s="3465" t="s">
        <v>3538</v>
      </c>
      <c r="AF9" s="3465" t="s">
        <v>3560</v>
      </c>
      <c r="AG9" s="3465" t="s">
        <v>3561</v>
      </c>
      <c r="AH9" s="3465" t="s">
        <v>3536</v>
      </c>
      <c r="AI9" s="3465">
        <v>91400</v>
      </c>
      <c r="AJ9" s="3465">
        <v>18300</v>
      </c>
      <c r="AK9" s="3465" t="s">
        <v>3562</v>
      </c>
      <c r="AL9" s="3465">
        <v>91400</v>
      </c>
      <c r="AM9" s="3465">
        <v>3520.37</v>
      </c>
      <c r="AN9" s="3465">
        <v>3520.37</v>
      </c>
      <c r="AO9" s="3465">
        <v>10561</v>
      </c>
      <c r="AP9" s="3465">
        <v>10561</v>
      </c>
      <c r="AQ9" s="3465" t="s">
        <v>3536</v>
      </c>
      <c r="AR9" s="3465" t="s">
        <v>3536</v>
      </c>
      <c r="AS9" s="3465">
        <v>0</v>
      </c>
      <c r="AT9" s="3465" t="s">
        <v>3563</v>
      </c>
      <c r="AU9" s="3465" t="s">
        <v>3535</v>
      </c>
      <c r="AV9" s="3465" t="s">
        <v>3536</v>
      </c>
      <c r="AW9" s="3465" t="s">
        <v>3535</v>
      </c>
      <c r="AX9" s="3465" t="s">
        <v>3536</v>
      </c>
      <c r="AY9" s="3465" t="s">
        <v>3536</v>
      </c>
      <c r="AZ9" s="3465" t="s">
        <v>3536</v>
      </c>
    </row>
    <row r="10" spans="1:52" s="3465" customFormat="1">
      <c r="A10" s="3465" t="s">
        <v>3564</v>
      </c>
      <c r="B10" s="3465" t="s">
        <v>3375</v>
      </c>
      <c r="C10" s="3465" t="s">
        <v>3565</v>
      </c>
      <c r="D10" s="3465" t="s">
        <v>3527</v>
      </c>
      <c r="E10" s="3465" t="s">
        <v>3528</v>
      </c>
      <c r="F10" s="3465" t="s">
        <v>3566</v>
      </c>
      <c r="G10" s="3465" t="s">
        <v>3545</v>
      </c>
      <c r="H10" s="3465" t="s">
        <v>3531</v>
      </c>
      <c r="I10" s="3465">
        <v>59169.74</v>
      </c>
      <c r="J10" s="3465">
        <v>130173.43</v>
      </c>
      <c r="K10" s="3465" t="s">
        <v>3567</v>
      </c>
      <c r="L10" s="3465" t="s">
        <v>3532</v>
      </c>
      <c r="M10" s="3465" t="s">
        <v>3557</v>
      </c>
      <c r="N10" s="3465" t="s">
        <v>3534</v>
      </c>
      <c r="O10" s="3465" t="s">
        <v>3535</v>
      </c>
      <c r="P10" s="3465" t="s">
        <v>3536</v>
      </c>
      <c r="Q10" s="3465" t="s">
        <v>3536</v>
      </c>
      <c r="R10" s="3465" t="s">
        <v>3536</v>
      </c>
      <c r="S10" s="3465" t="s">
        <v>3536</v>
      </c>
      <c r="T10" s="3465" t="s">
        <v>3536</v>
      </c>
      <c r="U10" s="3465" t="s">
        <v>3536</v>
      </c>
      <c r="V10" s="3465" t="s">
        <v>3536</v>
      </c>
      <c r="W10" s="3465" t="s">
        <v>3536</v>
      </c>
      <c r="X10" s="3465">
        <v>0</v>
      </c>
      <c r="Y10" s="3465">
        <v>0</v>
      </c>
      <c r="Z10" s="3466">
        <v>44648.000497685185</v>
      </c>
      <c r="AA10" s="3466">
        <v>44669.000497685185</v>
      </c>
      <c r="AB10" s="3466">
        <v>44680.000497685185</v>
      </c>
      <c r="AC10" s="3466">
        <v>44680.000497685185</v>
      </c>
      <c r="AD10" s="3465" t="s">
        <v>3568</v>
      </c>
      <c r="AE10" s="3465" t="s">
        <v>3538</v>
      </c>
      <c r="AF10" s="3465" t="s">
        <v>3569</v>
      </c>
      <c r="AG10" s="3465" t="s">
        <v>3570</v>
      </c>
      <c r="AH10" s="3465" t="s">
        <v>3571</v>
      </c>
      <c r="AI10" s="3465">
        <v>131600</v>
      </c>
      <c r="AJ10" s="3465">
        <v>27000</v>
      </c>
      <c r="AK10" s="3465" t="s">
        <v>3572</v>
      </c>
      <c r="AL10" s="3465">
        <v>131600</v>
      </c>
      <c r="AM10" s="3465">
        <v>1482.74</v>
      </c>
      <c r="AN10" s="3465">
        <v>1482.74</v>
      </c>
      <c r="AO10" s="3465">
        <v>10110</v>
      </c>
      <c r="AP10" s="3465">
        <v>10110</v>
      </c>
      <c r="AQ10" s="3465" t="s">
        <v>3536</v>
      </c>
      <c r="AR10" s="3465" t="s">
        <v>3536</v>
      </c>
      <c r="AS10" s="3465">
        <v>0</v>
      </c>
      <c r="AT10" s="3465" t="s">
        <v>3573</v>
      </c>
      <c r="AU10" s="3465" t="s">
        <v>3535</v>
      </c>
      <c r="AV10" s="3465" t="s">
        <v>3536</v>
      </c>
      <c r="AW10" s="3465" t="s">
        <v>3535</v>
      </c>
      <c r="AX10" s="3465" t="s">
        <v>3536</v>
      </c>
      <c r="AY10" s="3465" t="s">
        <v>3536</v>
      </c>
      <c r="AZ10" s="3465" t="s">
        <v>3536</v>
      </c>
    </row>
    <row r="11" spans="1:52">
      <c r="A11" s="3463" t="s">
        <v>3574</v>
      </c>
      <c r="B11" s="3463" t="s">
        <v>3375</v>
      </c>
      <c r="C11" s="3463" t="s">
        <v>3575</v>
      </c>
      <c r="D11" s="3463" t="s">
        <v>3527</v>
      </c>
      <c r="E11" s="3463" t="s">
        <v>3528</v>
      </c>
      <c r="F11" s="3463" t="s">
        <v>3544</v>
      </c>
      <c r="G11" s="3463" t="s">
        <v>3576</v>
      </c>
      <c r="H11" s="3463" t="s">
        <v>3531</v>
      </c>
      <c r="I11" s="3463">
        <v>12066.9</v>
      </c>
      <c r="J11" s="3463">
        <v>18100.349999999999</v>
      </c>
      <c r="K11" s="3463">
        <v>1.5</v>
      </c>
      <c r="L11" s="3463" t="s">
        <v>3532</v>
      </c>
      <c r="M11" s="3463" t="s">
        <v>3577</v>
      </c>
      <c r="N11" s="3463" t="s">
        <v>3534</v>
      </c>
      <c r="O11" s="3463" t="s">
        <v>3535</v>
      </c>
      <c r="P11" s="3463" t="s">
        <v>3578</v>
      </c>
      <c r="Q11" s="3463" t="s">
        <v>3579</v>
      </c>
      <c r="R11" s="3463" t="s">
        <v>3536</v>
      </c>
      <c r="S11" s="3463" t="s">
        <v>3536</v>
      </c>
      <c r="T11" s="3463" t="s">
        <v>3536</v>
      </c>
      <c r="U11" s="3463" t="s">
        <v>3536</v>
      </c>
      <c r="V11" s="3463">
        <v>0</v>
      </c>
      <c r="W11" s="3463">
        <v>0</v>
      </c>
      <c r="X11" s="3463">
        <v>0</v>
      </c>
      <c r="Y11" s="3463">
        <v>0</v>
      </c>
      <c r="Z11" s="3464">
        <v>44587.000497685185</v>
      </c>
      <c r="AA11" s="3464">
        <v>44607.000497685185</v>
      </c>
      <c r="AB11" s="3464">
        <v>44621.000497685185</v>
      </c>
      <c r="AC11" s="3464">
        <v>44621.000497685185</v>
      </c>
      <c r="AD11" s="3463" t="s">
        <v>3580</v>
      </c>
      <c r="AE11" s="3463" t="s">
        <v>3538</v>
      </c>
      <c r="AF11" s="3463" t="s">
        <v>3569</v>
      </c>
      <c r="AG11" s="3463" t="s">
        <v>3536</v>
      </c>
      <c r="AH11" s="3463" t="s">
        <v>3536</v>
      </c>
      <c r="AI11" s="3463">
        <v>9400</v>
      </c>
      <c r="AJ11" s="3463">
        <v>1900</v>
      </c>
      <c r="AK11" s="3463" t="s">
        <v>633</v>
      </c>
      <c r="AL11" s="3463">
        <v>9400</v>
      </c>
      <c r="AM11" s="3463">
        <v>519.33000000000004</v>
      </c>
      <c r="AN11" s="3463">
        <v>519.33000000000004</v>
      </c>
      <c r="AO11" s="3463">
        <v>5193</v>
      </c>
      <c r="AP11" s="3463">
        <v>5193</v>
      </c>
      <c r="AQ11" s="3463" t="s">
        <v>3536</v>
      </c>
      <c r="AR11" s="3463" t="s">
        <v>3536</v>
      </c>
      <c r="AS11" s="3463">
        <v>0</v>
      </c>
      <c r="AT11" s="3463" t="s">
        <v>3581</v>
      </c>
      <c r="AU11" s="3463" t="s">
        <v>3535</v>
      </c>
      <c r="AV11" s="3463" t="s">
        <v>3536</v>
      </c>
      <c r="AW11" s="3463" t="s">
        <v>3535</v>
      </c>
      <c r="AX11" s="3463" t="s">
        <v>3536</v>
      </c>
      <c r="AY11" s="3463" t="s">
        <v>3536</v>
      </c>
      <c r="AZ11" s="3463" t="s">
        <v>3536</v>
      </c>
    </row>
    <row r="12" spans="1:52" s="3465" customFormat="1">
      <c r="A12" s="3465" t="s">
        <v>3582</v>
      </c>
      <c r="B12" s="3465" t="s">
        <v>3375</v>
      </c>
      <c r="C12" s="3465" t="s">
        <v>3583</v>
      </c>
      <c r="D12" s="3465" t="s">
        <v>3527</v>
      </c>
      <c r="E12" s="3465" t="s">
        <v>3528</v>
      </c>
      <c r="F12" s="3465" t="s">
        <v>3584</v>
      </c>
      <c r="G12" s="3465" t="s">
        <v>3585</v>
      </c>
      <c r="H12" s="3465" t="s">
        <v>3531</v>
      </c>
      <c r="I12" s="3465">
        <v>15178.6</v>
      </c>
      <c r="J12" s="3465">
        <v>45535.8</v>
      </c>
      <c r="K12" s="3465">
        <v>3</v>
      </c>
      <c r="L12" s="3465" t="s">
        <v>3532</v>
      </c>
      <c r="M12" s="3465" t="s">
        <v>3557</v>
      </c>
      <c r="N12" s="3465" t="s">
        <v>3534</v>
      </c>
      <c r="O12" s="3465" t="s">
        <v>3535</v>
      </c>
      <c r="P12" s="3465" t="s">
        <v>3536</v>
      </c>
      <c r="Q12" s="3465" t="s">
        <v>3536</v>
      </c>
      <c r="R12" s="3465" t="s">
        <v>3536</v>
      </c>
      <c r="S12" s="3465" t="s">
        <v>3536</v>
      </c>
      <c r="T12" s="3465" t="s">
        <v>3536</v>
      </c>
      <c r="U12" s="3465" t="s">
        <v>3536</v>
      </c>
      <c r="V12" s="3465" t="s">
        <v>3536</v>
      </c>
      <c r="W12" s="3465" t="s">
        <v>3536</v>
      </c>
      <c r="X12" s="3465">
        <v>0</v>
      </c>
      <c r="Y12" s="3465">
        <v>0</v>
      </c>
      <c r="Z12" s="3466">
        <v>44561.000497685185</v>
      </c>
      <c r="AA12" s="3466">
        <v>44581.000497685185</v>
      </c>
      <c r="AB12" s="3466">
        <v>44600.000497685185</v>
      </c>
      <c r="AC12" s="3466">
        <v>44600.000497685185</v>
      </c>
      <c r="AD12" s="3465" t="s">
        <v>3586</v>
      </c>
      <c r="AE12" s="3465" t="s">
        <v>3538</v>
      </c>
      <c r="AF12" s="3465" t="s">
        <v>3587</v>
      </c>
      <c r="AG12" s="3465" t="s">
        <v>3588</v>
      </c>
      <c r="AH12" s="3465" t="s">
        <v>3571</v>
      </c>
      <c r="AI12" s="3465">
        <v>58400</v>
      </c>
      <c r="AJ12" s="3465">
        <v>11700</v>
      </c>
      <c r="AK12" s="3465" t="s">
        <v>633</v>
      </c>
      <c r="AL12" s="3465">
        <v>58400</v>
      </c>
      <c r="AM12" s="3465">
        <v>2565.0100000000002</v>
      </c>
      <c r="AN12" s="3465">
        <v>2565.0100000000002</v>
      </c>
      <c r="AO12" s="3465">
        <v>12825</v>
      </c>
      <c r="AP12" s="3465">
        <v>12825</v>
      </c>
      <c r="AQ12" s="3465" t="s">
        <v>3536</v>
      </c>
      <c r="AR12" s="3465" t="s">
        <v>3536</v>
      </c>
      <c r="AS12" s="3465">
        <v>0</v>
      </c>
      <c r="AT12" s="3465" t="s">
        <v>3589</v>
      </c>
      <c r="AU12" s="3465" t="s">
        <v>3535</v>
      </c>
      <c r="AV12" s="3465" t="s">
        <v>3536</v>
      </c>
      <c r="AW12" s="3465" t="s">
        <v>3535</v>
      </c>
      <c r="AX12" s="3465" t="s">
        <v>3536</v>
      </c>
      <c r="AY12" s="3465" t="s">
        <v>3536</v>
      </c>
      <c r="AZ12" s="3465" t="s">
        <v>3536</v>
      </c>
    </row>
    <row r="13" spans="1:52">
      <c r="A13" s="3463" t="s">
        <v>3590</v>
      </c>
      <c r="B13" s="3463" t="s">
        <v>3375</v>
      </c>
      <c r="C13" s="3463" t="s">
        <v>3591</v>
      </c>
      <c r="D13" s="3463" t="s">
        <v>3527</v>
      </c>
      <c r="E13" s="3463" t="s">
        <v>3528</v>
      </c>
      <c r="F13" s="3463" t="s">
        <v>3592</v>
      </c>
      <c r="G13" s="3463" t="s">
        <v>3593</v>
      </c>
      <c r="H13" s="3463" t="s">
        <v>3531</v>
      </c>
      <c r="I13" s="3463">
        <v>15197.52</v>
      </c>
      <c r="J13" s="3463">
        <v>30395.05</v>
      </c>
      <c r="K13" s="3463">
        <v>2</v>
      </c>
      <c r="L13" s="3463" t="s">
        <v>3532</v>
      </c>
      <c r="M13" s="3463" t="s">
        <v>3594</v>
      </c>
      <c r="N13" s="3463" t="s">
        <v>3595</v>
      </c>
      <c r="O13" s="3463" t="s">
        <v>3535</v>
      </c>
      <c r="P13" s="3463" t="s">
        <v>3536</v>
      </c>
      <c r="Q13" s="3463">
        <v>36</v>
      </c>
      <c r="R13" s="3463" t="s">
        <v>3536</v>
      </c>
      <c r="S13" s="3463" t="s">
        <v>3536</v>
      </c>
      <c r="T13" s="3463" t="s">
        <v>3536</v>
      </c>
      <c r="U13" s="3463" t="s">
        <v>3536</v>
      </c>
      <c r="V13" s="3463" t="s">
        <v>3536</v>
      </c>
      <c r="W13" s="3463" t="s">
        <v>3536</v>
      </c>
      <c r="X13" s="3463">
        <v>0</v>
      </c>
      <c r="Y13" s="3463">
        <v>0</v>
      </c>
      <c r="Z13" s="3464">
        <v>44519.000497685185</v>
      </c>
      <c r="AA13" s="3464">
        <v>44540.000497685185</v>
      </c>
      <c r="AB13" s="3464">
        <v>44554.000497685185</v>
      </c>
      <c r="AC13" s="3464">
        <v>44554.000497685185</v>
      </c>
      <c r="AD13" s="3463" t="s">
        <v>3596</v>
      </c>
      <c r="AE13" s="3463" t="s">
        <v>3538</v>
      </c>
      <c r="AF13" s="3463" t="s">
        <v>3597</v>
      </c>
      <c r="AG13" s="3463" t="s">
        <v>3598</v>
      </c>
      <c r="AH13" s="3463" t="s">
        <v>3571</v>
      </c>
      <c r="AI13" s="3463">
        <v>42600</v>
      </c>
      <c r="AJ13" s="3463">
        <v>8600</v>
      </c>
      <c r="AK13" s="3463" t="s">
        <v>3599</v>
      </c>
      <c r="AL13" s="3463">
        <v>42600</v>
      </c>
      <c r="AM13" s="3463">
        <v>1868.73</v>
      </c>
      <c r="AN13" s="3463">
        <v>1868.73</v>
      </c>
      <c r="AO13" s="3463">
        <v>14015</v>
      </c>
      <c r="AP13" s="3463">
        <v>14015</v>
      </c>
      <c r="AQ13" s="3463" t="s">
        <v>3536</v>
      </c>
      <c r="AR13" s="3463" t="s">
        <v>3536</v>
      </c>
      <c r="AS13" s="3463">
        <v>0</v>
      </c>
      <c r="AT13" s="3463" t="s">
        <v>3589</v>
      </c>
      <c r="AU13" s="3463" t="s">
        <v>3535</v>
      </c>
      <c r="AV13" s="3463" t="s">
        <v>3536</v>
      </c>
      <c r="AW13" s="3463" t="s">
        <v>3535</v>
      </c>
      <c r="AX13" s="3463" t="s">
        <v>3536</v>
      </c>
      <c r="AY13" s="3463" t="s">
        <v>3536</v>
      </c>
      <c r="AZ13" s="3463" t="s">
        <v>3536</v>
      </c>
    </row>
    <row r="14" spans="1:52" s="3465" customFormat="1">
      <c r="A14" s="3465" t="s">
        <v>3600</v>
      </c>
      <c r="B14" s="3465" t="s">
        <v>3375</v>
      </c>
      <c r="C14" s="3465" t="s">
        <v>3601</v>
      </c>
      <c r="D14" s="3465" t="s">
        <v>3527</v>
      </c>
      <c r="E14" s="3465" t="s">
        <v>3528</v>
      </c>
      <c r="F14" s="3465" t="s">
        <v>3554</v>
      </c>
      <c r="G14" s="3465" t="s">
        <v>3602</v>
      </c>
      <c r="H14" s="3465" t="s">
        <v>3531</v>
      </c>
      <c r="I14" s="3465">
        <v>265269.8</v>
      </c>
      <c r="J14" s="3465">
        <v>665975.69999999995</v>
      </c>
      <c r="K14" s="3465" t="s">
        <v>3603</v>
      </c>
      <c r="L14" s="3465" t="s">
        <v>3532</v>
      </c>
      <c r="M14" s="3465" t="s">
        <v>3557</v>
      </c>
      <c r="N14" s="3465" t="s">
        <v>3534</v>
      </c>
      <c r="O14" s="3465" t="s">
        <v>3535</v>
      </c>
      <c r="P14" s="3465" t="s">
        <v>3604</v>
      </c>
      <c r="Q14" s="3465" t="s">
        <v>3605</v>
      </c>
      <c r="R14" s="3465" t="s">
        <v>3536</v>
      </c>
      <c r="S14" s="3465" t="s">
        <v>3536</v>
      </c>
      <c r="T14" s="3465" t="s">
        <v>3536</v>
      </c>
      <c r="U14" s="3465" t="s">
        <v>3536</v>
      </c>
      <c r="V14" s="3465">
        <v>0</v>
      </c>
      <c r="W14" s="3465">
        <v>0</v>
      </c>
      <c r="X14" s="3465">
        <v>0</v>
      </c>
      <c r="Y14" s="3465">
        <v>0</v>
      </c>
      <c r="Z14" s="3466">
        <v>44012.000497685185</v>
      </c>
      <c r="AA14" s="3466">
        <v>44032.000497685185</v>
      </c>
      <c r="AB14" s="3466">
        <v>44046.000497685185</v>
      </c>
      <c r="AC14" s="3466">
        <v>44046.000497685185</v>
      </c>
      <c r="AD14" s="3465" t="s">
        <v>3606</v>
      </c>
      <c r="AE14" s="3465" t="s">
        <v>3538</v>
      </c>
      <c r="AF14" s="3465" t="s">
        <v>3607</v>
      </c>
      <c r="AG14" s="3465" t="s">
        <v>3608</v>
      </c>
      <c r="AH14" s="3465" t="s">
        <v>3571</v>
      </c>
      <c r="AI14" s="3465">
        <v>699300</v>
      </c>
      <c r="AJ14" s="3465">
        <v>139900</v>
      </c>
      <c r="AK14" s="3465" t="s">
        <v>3609</v>
      </c>
      <c r="AL14" s="3465">
        <v>699300</v>
      </c>
      <c r="AM14" s="3465">
        <v>1757.46</v>
      </c>
      <c r="AN14" s="3465">
        <v>1757.46</v>
      </c>
      <c r="AO14" s="3465">
        <v>10500</v>
      </c>
      <c r="AP14" s="3465">
        <v>10500</v>
      </c>
      <c r="AQ14" s="3465" t="s">
        <v>3536</v>
      </c>
      <c r="AR14" s="3465" t="s">
        <v>3536</v>
      </c>
      <c r="AS14" s="3465">
        <v>0</v>
      </c>
      <c r="AT14" s="3465" t="s">
        <v>3589</v>
      </c>
      <c r="AU14" s="3465" t="s">
        <v>3535</v>
      </c>
      <c r="AV14" s="3465" t="s">
        <v>3536</v>
      </c>
      <c r="AW14" s="3465" t="s">
        <v>3535</v>
      </c>
      <c r="AX14" s="3465" t="s">
        <v>3536</v>
      </c>
      <c r="AY14" s="3465" t="s">
        <v>3536</v>
      </c>
      <c r="AZ14" s="3465" t="s">
        <v>3536</v>
      </c>
    </row>
    <row r="15" spans="1:52">
      <c r="A15" s="3463" t="s">
        <v>3610</v>
      </c>
      <c r="B15" s="3463" t="s">
        <v>3375</v>
      </c>
      <c r="C15" s="3463" t="s">
        <v>3611</v>
      </c>
      <c r="D15" s="3463" t="s">
        <v>3527</v>
      </c>
      <c r="E15" s="3463" t="s">
        <v>3528</v>
      </c>
      <c r="F15" s="3463" t="s">
        <v>3612</v>
      </c>
      <c r="G15" s="3463" t="s">
        <v>3613</v>
      </c>
      <c r="H15" s="3463" t="s">
        <v>3531</v>
      </c>
      <c r="I15" s="3463">
        <v>42276.47</v>
      </c>
      <c r="J15" s="3463">
        <v>84552.93</v>
      </c>
      <c r="K15" s="3463" t="s">
        <v>3614</v>
      </c>
      <c r="L15" s="3463" t="s">
        <v>3532</v>
      </c>
      <c r="M15" s="3463" t="s">
        <v>3577</v>
      </c>
      <c r="N15" s="3463" t="s">
        <v>3534</v>
      </c>
      <c r="O15" s="3463" t="s">
        <v>3535</v>
      </c>
      <c r="P15" s="3463" t="s">
        <v>3615</v>
      </c>
      <c r="Q15" s="3463" t="s">
        <v>3616</v>
      </c>
      <c r="R15" s="3463" t="s">
        <v>3536</v>
      </c>
      <c r="S15" s="3463" t="s">
        <v>3536</v>
      </c>
      <c r="T15" s="3463" t="s">
        <v>3536</v>
      </c>
      <c r="U15" s="3463" t="s">
        <v>3536</v>
      </c>
      <c r="V15" s="3463">
        <v>0</v>
      </c>
      <c r="W15" s="3463">
        <v>0</v>
      </c>
      <c r="X15" s="3463">
        <v>0</v>
      </c>
      <c r="Y15" s="3463">
        <v>0</v>
      </c>
      <c r="Z15" s="3464">
        <v>43672.000497685185</v>
      </c>
      <c r="AA15" s="3464">
        <v>43692.000497685185</v>
      </c>
      <c r="AB15" s="3464">
        <v>43706.000497685185</v>
      </c>
      <c r="AC15" s="3464">
        <v>43706.000497685185</v>
      </c>
      <c r="AD15" s="3463" t="s">
        <v>3617</v>
      </c>
      <c r="AE15" s="3463" t="s">
        <v>3538</v>
      </c>
      <c r="AF15" s="3463" t="s">
        <v>3618</v>
      </c>
      <c r="AG15" s="3463" t="s">
        <v>3619</v>
      </c>
      <c r="AH15" s="3463" t="s">
        <v>3620</v>
      </c>
      <c r="AI15" s="3463">
        <v>95000</v>
      </c>
      <c r="AJ15" s="3463">
        <v>19000</v>
      </c>
      <c r="AK15" s="3463" t="s">
        <v>3621</v>
      </c>
      <c r="AL15" s="3463">
        <v>96500</v>
      </c>
      <c r="AM15" s="3463">
        <v>1498.08</v>
      </c>
      <c r="AN15" s="3463">
        <v>1521.73</v>
      </c>
      <c r="AO15" s="3463">
        <v>11236</v>
      </c>
      <c r="AP15" s="3463">
        <v>11413</v>
      </c>
      <c r="AQ15" s="3463" t="s">
        <v>3536</v>
      </c>
      <c r="AR15" s="3463" t="s">
        <v>3536</v>
      </c>
      <c r="AS15" s="3463">
        <v>1.58</v>
      </c>
      <c r="AT15" s="3463" t="s">
        <v>3622</v>
      </c>
      <c r="AU15" s="3463" t="s">
        <v>3535</v>
      </c>
      <c r="AV15" s="3463" t="s">
        <v>3536</v>
      </c>
      <c r="AW15" s="3463" t="s">
        <v>3535</v>
      </c>
      <c r="AX15" s="3463" t="s">
        <v>3536</v>
      </c>
      <c r="AY15" s="3463" t="s">
        <v>3536</v>
      </c>
      <c r="AZ15" s="3463" t="s">
        <v>3536</v>
      </c>
    </row>
    <row r="16" spans="1:52" s="3465" customFormat="1">
      <c r="A16" s="3465" t="s">
        <v>3623</v>
      </c>
      <c r="B16" s="3465" t="s">
        <v>3375</v>
      </c>
      <c r="C16" s="3465" t="s">
        <v>3624</v>
      </c>
      <c r="D16" s="3465" t="s">
        <v>3527</v>
      </c>
      <c r="E16" s="3465" t="s">
        <v>3528</v>
      </c>
      <c r="F16" s="3465" t="s">
        <v>3584</v>
      </c>
      <c r="G16" s="3465" t="s">
        <v>3625</v>
      </c>
      <c r="H16" s="3465" t="s">
        <v>3531</v>
      </c>
      <c r="I16" s="3465">
        <v>51736.9</v>
      </c>
      <c r="J16" s="3465">
        <v>81600.05</v>
      </c>
      <c r="K16" s="3465" t="s">
        <v>3626</v>
      </c>
      <c r="L16" s="3465" t="s">
        <v>3532</v>
      </c>
      <c r="M16" s="3465" t="s">
        <v>3557</v>
      </c>
      <c r="N16" s="3465" t="s">
        <v>3534</v>
      </c>
      <c r="O16" s="3465" t="s">
        <v>3535</v>
      </c>
      <c r="P16" s="3465" t="s">
        <v>3615</v>
      </c>
      <c r="Q16" s="3465" t="s">
        <v>3627</v>
      </c>
      <c r="R16" s="3465" t="s">
        <v>3536</v>
      </c>
      <c r="S16" s="3465" t="s">
        <v>3536</v>
      </c>
      <c r="T16" s="3465" t="s">
        <v>3536</v>
      </c>
      <c r="U16" s="3465" t="s">
        <v>3536</v>
      </c>
      <c r="V16" s="3465">
        <v>0</v>
      </c>
      <c r="W16" s="3465">
        <v>0</v>
      </c>
      <c r="X16" s="3465">
        <v>0</v>
      </c>
      <c r="Y16" s="3465">
        <v>0</v>
      </c>
      <c r="Z16" s="3466">
        <v>43579.000497685185</v>
      </c>
      <c r="AA16" s="3466">
        <v>43599.000497685185</v>
      </c>
      <c r="AB16" s="3466">
        <v>43613.000497685185</v>
      </c>
      <c r="AC16" s="3466">
        <v>43613.000497685185</v>
      </c>
      <c r="AD16" s="3465" t="s">
        <v>3628</v>
      </c>
      <c r="AE16" s="3465" t="s">
        <v>3538</v>
      </c>
      <c r="AF16" s="3465" t="s">
        <v>3629</v>
      </c>
      <c r="AG16" s="3465" t="s">
        <v>3630</v>
      </c>
      <c r="AH16" s="3465" t="s">
        <v>3631</v>
      </c>
      <c r="AI16" s="3465">
        <v>150000</v>
      </c>
      <c r="AJ16" s="3465">
        <v>30000</v>
      </c>
      <c r="AK16" s="3465" t="s">
        <v>633</v>
      </c>
      <c r="AL16" s="3465">
        <v>150000</v>
      </c>
      <c r="AM16" s="3465">
        <v>1932.86</v>
      </c>
      <c r="AN16" s="3465">
        <v>1932.86</v>
      </c>
      <c r="AO16" s="3465">
        <v>18382</v>
      </c>
      <c r="AP16" s="3465">
        <v>18382</v>
      </c>
      <c r="AQ16" s="3465" t="s">
        <v>3536</v>
      </c>
      <c r="AR16" s="3465" t="s">
        <v>3536</v>
      </c>
      <c r="AS16" s="3465">
        <v>0</v>
      </c>
      <c r="AT16" s="3465" t="s">
        <v>3589</v>
      </c>
      <c r="AU16" s="3465" t="s">
        <v>3535</v>
      </c>
      <c r="AV16" s="3465" t="s">
        <v>3536</v>
      </c>
      <c r="AW16" s="3465" t="s">
        <v>3535</v>
      </c>
      <c r="AX16" s="3465" t="s">
        <v>3536</v>
      </c>
      <c r="AY16" s="3465" t="s">
        <v>3536</v>
      </c>
      <c r="AZ16" s="3465" t="s">
        <v>3536</v>
      </c>
    </row>
    <row r="17" spans="1:52">
      <c r="A17" s="3463" t="s">
        <v>3632</v>
      </c>
      <c r="B17" s="3463" t="s">
        <v>3375</v>
      </c>
      <c r="C17" s="3463" t="s">
        <v>3633</v>
      </c>
      <c r="D17" s="3463" t="s">
        <v>3527</v>
      </c>
      <c r="E17" s="3463" t="s">
        <v>3528</v>
      </c>
      <c r="F17" s="3463" t="s">
        <v>3554</v>
      </c>
      <c r="G17" s="3463" t="s">
        <v>3634</v>
      </c>
      <c r="H17" s="3463" t="s">
        <v>3531</v>
      </c>
      <c r="I17" s="3463">
        <v>33071.620000000003</v>
      </c>
      <c r="J17" s="3463">
        <v>122423.9</v>
      </c>
      <c r="K17" s="3463">
        <v>3.7</v>
      </c>
      <c r="L17" s="3463" t="s">
        <v>3532</v>
      </c>
      <c r="M17" s="3463" t="s">
        <v>3635</v>
      </c>
      <c r="N17" s="3463" t="s">
        <v>3534</v>
      </c>
      <c r="O17" s="3463" t="s">
        <v>3535</v>
      </c>
      <c r="P17" s="3463" t="s">
        <v>3536</v>
      </c>
      <c r="Q17" s="3463" t="s">
        <v>3636</v>
      </c>
      <c r="R17" s="3463" t="s">
        <v>3536</v>
      </c>
      <c r="S17" s="3463" t="s">
        <v>3536</v>
      </c>
      <c r="T17" s="3463" t="s">
        <v>3536</v>
      </c>
      <c r="U17" s="3463" t="s">
        <v>3536</v>
      </c>
      <c r="V17" s="3463">
        <v>0</v>
      </c>
      <c r="W17" s="3463">
        <v>0</v>
      </c>
      <c r="X17" s="3463">
        <v>0</v>
      </c>
      <c r="Y17" s="3463">
        <v>0</v>
      </c>
      <c r="Z17" s="3464">
        <v>43231.000497685185</v>
      </c>
      <c r="AA17" s="3464">
        <v>43251.000497685185</v>
      </c>
      <c r="AB17" s="3464">
        <v>43265.000497685185</v>
      </c>
      <c r="AC17" s="3464">
        <v>43265.000497685185</v>
      </c>
      <c r="AD17" s="3463" t="s">
        <v>3637</v>
      </c>
      <c r="AE17" s="3463" t="s">
        <v>3538</v>
      </c>
      <c r="AF17" s="3463" t="s">
        <v>3638</v>
      </c>
      <c r="AG17" s="3463" t="s">
        <v>3639</v>
      </c>
      <c r="AH17" s="3463" t="s">
        <v>3620</v>
      </c>
      <c r="AI17" s="3463">
        <v>183000</v>
      </c>
      <c r="AJ17" s="3463">
        <v>55000</v>
      </c>
      <c r="AK17" s="3463" t="s">
        <v>633</v>
      </c>
      <c r="AL17" s="3463">
        <v>183000</v>
      </c>
      <c r="AM17" s="3463">
        <v>3688.96</v>
      </c>
      <c r="AN17" s="3463">
        <v>3688.96</v>
      </c>
      <c r="AO17" s="3463">
        <v>14948</v>
      </c>
      <c r="AP17" s="3463">
        <v>14948</v>
      </c>
      <c r="AQ17" s="3463" t="s">
        <v>3536</v>
      </c>
      <c r="AR17" s="3463" t="s">
        <v>3536</v>
      </c>
      <c r="AS17" s="3463">
        <v>0</v>
      </c>
      <c r="AT17" s="3463" t="s">
        <v>3622</v>
      </c>
      <c r="AU17" s="3463" t="s">
        <v>3535</v>
      </c>
      <c r="AV17" s="3463" t="s">
        <v>3536</v>
      </c>
      <c r="AW17" s="3463" t="s">
        <v>3535</v>
      </c>
      <c r="AX17" s="3463" t="s">
        <v>3536</v>
      </c>
      <c r="AY17" s="3463" t="s">
        <v>3536</v>
      </c>
      <c r="AZ17" s="3463">
        <v>1120130816</v>
      </c>
    </row>
    <row r="18" spans="1:52">
      <c r="A18" s="3463" t="s">
        <v>3640</v>
      </c>
      <c r="B18" s="3463" t="s">
        <v>3375</v>
      </c>
      <c r="C18" s="3463" t="s">
        <v>3641</v>
      </c>
      <c r="D18" s="3463" t="s">
        <v>3527</v>
      </c>
      <c r="E18" s="3463" t="s">
        <v>3528</v>
      </c>
      <c r="F18" s="3463" t="s">
        <v>3554</v>
      </c>
      <c r="G18" s="3463" t="s">
        <v>3642</v>
      </c>
      <c r="H18" s="3463" t="s">
        <v>3531</v>
      </c>
      <c r="I18" s="3463">
        <v>66237.2</v>
      </c>
      <c r="J18" s="3463">
        <v>264058.7</v>
      </c>
      <c r="K18" s="3463">
        <v>3.99</v>
      </c>
      <c r="L18" s="3463" t="s">
        <v>3532</v>
      </c>
      <c r="M18" s="3463" t="s">
        <v>3635</v>
      </c>
      <c r="N18" s="3463" t="s">
        <v>3534</v>
      </c>
      <c r="O18" s="3463" t="s">
        <v>3535</v>
      </c>
      <c r="P18" s="3463" t="s">
        <v>3615</v>
      </c>
      <c r="Q18" s="3463" t="s">
        <v>3536</v>
      </c>
      <c r="R18" s="3463" t="s">
        <v>3536</v>
      </c>
      <c r="S18" s="3463" t="s">
        <v>3536</v>
      </c>
      <c r="T18" s="3463" t="s">
        <v>3536</v>
      </c>
      <c r="U18" s="3463" t="s">
        <v>3536</v>
      </c>
      <c r="V18" s="3463">
        <v>0</v>
      </c>
      <c r="W18" s="3463">
        <v>0</v>
      </c>
      <c r="X18" s="3463">
        <v>0</v>
      </c>
      <c r="Y18" s="3463">
        <v>0</v>
      </c>
      <c r="Z18" s="3464">
        <v>42916.000497685185</v>
      </c>
      <c r="AA18" s="3464">
        <v>42941.000497685185</v>
      </c>
      <c r="AB18" s="3464">
        <v>42955.000497685185</v>
      </c>
      <c r="AC18" s="3464">
        <v>42955.000497685185</v>
      </c>
      <c r="AD18" s="3463" t="s">
        <v>3643</v>
      </c>
      <c r="AE18" s="3463" t="s">
        <v>3538</v>
      </c>
      <c r="AF18" s="3463" t="s">
        <v>3644</v>
      </c>
      <c r="AG18" s="3463" t="s">
        <v>3536</v>
      </c>
      <c r="AH18" s="3463" t="s">
        <v>3536</v>
      </c>
      <c r="AI18" s="3463">
        <v>385000</v>
      </c>
      <c r="AJ18" s="3463">
        <v>115500</v>
      </c>
      <c r="AK18" s="3463" t="s">
        <v>633</v>
      </c>
      <c r="AL18" s="3463">
        <v>385000</v>
      </c>
      <c r="AM18" s="3463">
        <v>3874.96</v>
      </c>
      <c r="AN18" s="3463">
        <v>3874.96</v>
      </c>
      <c r="AO18" s="3463">
        <v>14580</v>
      </c>
      <c r="AP18" s="3463">
        <v>14580</v>
      </c>
      <c r="AQ18" s="3463" t="s">
        <v>3536</v>
      </c>
      <c r="AR18" s="3463" t="s">
        <v>3536</v>
      </c>
      <c r="AS18" s="3463">
        <v>0</v>
      </c>
      <c r="AT18" s="3463" t="s">
        <v>3622</v>
      </c>
      <c r="AU18" s="3463" t="s">
        <v>3535</v>
      </c>
      <c r="AV18" s="3463" t="s">
        <v>3536</v>
      </c>
      <c r="AW18" s="3463" t="s">
        <v>3535</v>
      </c>
      <c r="AX18" s="3463" t="s">
        <v>3536</v>
      </c>
      <c r="AY18" s="3463" t="s">
        <v>3536</v>
      </c>
      <c r="AZ18" s="3463">
        <v>-51568555</v>
      </c>
    </row>
    <row r="19" spans="1:52">
      <c r="A19" s="3463" t="s">
        <v>3645</v>
      </c>
      <c r="B19" s="3463" t="s">
        <v>3375</v>
      </c>
      <c r="C19" s="3463" t="s">
        <v>3646</v>
      </c>
      <c r="D19" s="3463" t="s">
        <v>3527</v>
      </c>
      <c r="E19" s="3463" t="s">
        <v>3528</v>
      </c>
      <c r="F19" s="3463" t="s">
        <v>3647</v>
      </c>
      <c r="G19" s="3463" t="s">
        <v>3593</v>
      </c>
      <c r="H19" s="3463" t="s">
        <v>3531</v>
      </c>
      <c r="I19" s="3463">
        <v>18303.330000000002</v>
      </c>
      <c r="J19" s="3463">
        <v>58571</v>
      </c>
      <c r="K19" s="3463">
        <v>3.2</v>
      </c>
      <c r="L19" s="3463" t="s">
        <v>3532</v>
      </c>
      <c r="M19" s="3463" t="s">
        <v>3557</v>
      </c>
      <c r="N19" s="3463" t="s">
        <v>3534</v>
      </c>
      <c r="O19" s="3463" t="s">
        <v>3535</v>
      </c>
      <c r="P19" s="3463" t="s">
        <v>3536</v>
      </c>
      <c r="Q19" s="3463" t="s">
        <v>3536</v>
      </c>
      <c r="R19" s="3463" t="s">
        <v>3536</v>
      </c>
      <c r="S19" s="3463" t="s">
        <v>3536</v>
      </c>
      <c r="T19" s="3463" t="s">
        <v>3536</v>
      </c>
      <c r="U19" s="3463" t="s">
        <v>3536</v>
      </c>
      <c r="V19" s="3463">
        <v>0</v>
      </c>
      <c r="W19" s="3463">
        <v>0</v>
      </c>
      <c r="X19" s="3463">
        <v>0</v>
      </c>
      <c r="Y19" s="3463">
        <v>0</v>
      </c>
      <c r="Z19" s="3464">
        <v>42796.000497685185</v>
      </c>
      <c r="AA19" s="3464">
        <v>42816.000497685185</v>
      </c>
      <c r="AB19" s="3464">
        <v>42831.000497685185</v>
      </c>
      <c r="AC19" s="3464">
        <v>42831.000497685185</v>
      </c>
      <c r="AD19" s="3463" t="s">
        <v>3648</v>
      </c>
      <c r="AE19" s="3463" t="s">
        <v>3538</v>
      </c>
      <c r="AF19" s="3463" t="s">
        <v>3649</v>
      </c>
      <c r="AG19" s="3463" t="s">
        <v>3650</v>
      </c>
      <c r="AH19" s="3463" t="s">
        <v>3620</v>
      </c>
      <c r="AI19" s="3463">
        <v>79600</v>
      </c>
      <c r="AJ19" s="3463">
        <v>24000</v>
      </c>
      <c r="AK19" s="3463" t="s">
        <v>633</v>
      </c>
      <c r="AL19" s="3463">
        <v>129000</v>
      </c>
      <c r="AM19" s="3463">
        <v>2899.29</v>
      </c>
      <c r="AN19" s="3463">
        <v>4698.6000000000004</v>
      </c>
      <c r="AO19" s="3463">
        <v>13590</v>
      </c>
      <c r="AP19" s="3463">
        <v>22025</v>
      </c>
      <c r="AQ19" s="3463" t="s">
        <v>3536</v>
      </c>
      <c r="AR19" s="3463" t="s">
        <v>3536</v>
      </c>
      <c r="AS19" s="3463">
        <v>62.06</v>
      </c>
      <c r="AT19" s="3463" t="s">
        <v>3589</v>
      </c>
      <c r="AU19" s="3463" t="s">
        <v>3535</v>
      </c>
      <c r="AV19" s="3463" t="s">
        <v>3536</v>
      </c>
      <c r="AW19" s="3463" t="s">
        <v>3535</v>
      </c>
      <c r="AX19" s="3463" t="s">
        <v>3536</v>
      </c>
      <c r="AY19" s="3463" t="s">
        <v>3536</v>
      </c>
      <c r="AZ19" s="3463" t="s">
        <v>3536</v>
      </c>
    </row>
    <row r="20" spans="1:52">
      <c r="A20" s="3463" t="s">
        <v>3651</v>
      </c>
      <c r="B20" s="3463" t="s">
        <v>3375</v>
      </c>
      <c r="C20" s="3463" t="s">
        <v>3652</v>
      </c>
      <c r="D20" s="3463" t="s">
        <v>3527</v>
      </c>
      <c r="E20" s="3463" t="s">
        <v>3528</v>
      </c>
      <c r="F20" s="3463" t="s">
        <v>3653</v>
      </c>
      <c r="G20" s="3463" t="s">
        <v>3654</v>
      </c>
      <c r="H20" s="3463" t="s">
        <v>3531</v>
      </c>
      <c r="I20" s="3463">
        <v>29183.54</v>
      </c>
      <c r="J20" s="3463">
        <v>72959</v>
      </c>
      <c r="K20" s="3463">
        <v>2.5</v>
      </c>
      <c r="L20" s="3463" t="s">
        <v>3532</v>
      </c>
      <c r="M20" s="3463" t="s">
        <v>3557</v>
      </c>
      <c r="N20" s="3463" t="s">
        <v>3534</v>
      </c>
      <c r="O20" s="3463" t="s">
        <v>3535</v>
      </c>
      <c r="P20" s="3463" t="s">
        <v>3536</v>
      </c>
      <c r="Q20" s="3463" t="s">
        <v>3536</v>
      </c>
      <c r="R20" s="3463" t="s">
        <v>3536</v>
      </c>
      <c r="S20" s="3463" t="s">
        <v>3536</v>
      </c>
      <c r="T20" s="3463" t="s">
        <v>3536</v>
      </c>
      <c r="U20" s="3463" t="s">
        <v>3536</v>
      </c>
      <c r="V20" s="3463">
        <v>0</v>
      </c>
      <c r="W20" s="3463">
        <v>0</v>
      </c>
      <c r="X20" s="3463">
        <v>0</v>
      </c>
      <c r="Y20" s="3463">
        <v>0</v>
      </c>
      <c r="Z20" s="3464">
        <v>42790.000497685185</v>
      </c>
      <c r="AA20" s="3464">
        <v>42810.000497685185</v>
      </c>
      <c r="AB20" s="3464">
        <v>42824.000497685185</v>
      </c>
      <c r="AC20" s="3464">
        <v>42824.000497685185</v>
      </c>
      <c r="AD20" s="3463" t="s">
        <v>3655</v>
      </c>
      <c r="AE20" s="3463" t="s">
        <v>3538</v>
      </c>
      <c r="AF20" s="3463" t="s">
        <v>3656</v>
      </c>
      <c r="AG20" s="3463" t="s">
        <v>3657</v>
      </c>
      <c r="AH20" s="3463" t="s">
        <v>3620</v>
      </c>
      <c r="AI20" s="3463">
        <v>83000</v>
      </c>
      <c r="AJ20" s="3463">
        <v>25000</v>
      </c>
      <c r="AK20" s="3463" t="s">
        <v>633</v>
      </c>
      <c r="AL20" s="3463">
        <v>106000</v>
      </c>
      <c r="AM20" s="3463">
        <v>1896.05</v>
      </c>
      <c r="AN20" s="3463">
        <v>2421.46</v>
      </c>
      <c r="AO20" s="3463">
        <v>11376</v>
      </c>
      <c r="AP20" s="3463">
        <v>14529</v>
      </c>
      <c r="AQ20" s="3463" t="s">
        <v>3536</v>
      </c>
      <c r="AR20" s="3463" t="s">
        <v>3536</v>
      </c>
      <c r="AS20" s="3463">
        <v>27.71</v>
      </c>
      <c r="AT20" s="3463" t="s">
        <v>3589</v>
      </c>
      <c r="AU20" s="3463" t="s">
        <v>3535</v>
      </c>
      <c r="AV20" s="3463" t="s">
        <v>3536</v>
      </c>
      <c r="AW20" s="3463" t="s">
        <v>3535</v>
      </c>
      <c r="AX20" s="3463" t="s">
        <v>3536</v>
      </c>
      <c r="AY20" s="3463" t="s">
        <v>3536</v>
      </c>
      <c r="AZ20" s="3463" t="s">
        <v>3536</v>
      </c>
    </row>
    <row r="21" spans="1:52">
      <c r="A21" s="3463" t="s">
        <v>3658</v>
      </c>
      <c r="B21" s="3463" t="s">
        <v>3375</v>
      </c>
      <c r="C21" s="3463" t="s">
        <v>3659</v>
      </c>
      <c r="D21" s="3463" t="s">
        <v>3527</v>
      </c>
      <c r="E21" s="3463" t="s">
        <v>3528</v>
      </c>
      <c r="F21" s="3463" t="s">
        <v>3647</v>
      </c>
      <c r="G21" s="3463" t="s">
        <v>3593</v>
      </c>
      <c r="H21" s="3463" t="s">
        <v>3531</v>
      </c>
      <c r="I21" s="3463">
        <v>23639.39</v>
      </c>
      <c r="J21" s="3463">
        <v>75646</v>
      </c>
      <c r="K21" s="3463">
        <v>3.2</v>
      </c>
      <c r="L21" s="3463" t="s">
        <v>3532</v>
      </c>
      <c r="M21" s="3463" t="s">
        <v>3557</v>
      </c>
      <c r="N21" s="3463" t="s">
        <v>3534</v>
      </c>
      <c r="O21" s="3463" t="s">
        <v>3535</v>
      </c>
      <c r="P21" s="3463" t="s">
        <v>3536</v>
      </c>
      <c r="Q21" s="3463" t="s">
        <v>3536</v>
      </c>
      <c r="R21" s="3463" t="s">
        <v>3536</v>
      </c>
      <c r="S21" s="3463" t="s">
        <v>3536</v>
      </c>
      <c r="T21" s="3463" t="s">
        <v>3536</v>
      </c>
      <c r="U21" s="3463" t="s">
        <v>3536</v>
      </c>
      <c r="V21" s="3463">
        <v>0</v>
      </c>
      <c r="W21" s="3463">
        <v>0</v>
      </c>
      <c r="X21" s="3463">
        <v>0</v>
      </c>
      <c r="Y21" s="3463">
        <v>0</v>
      </c>
      <c r="Z21" s="3464">
        <v>42690.000497685185</v>
      </c>
      <c r="AA21" s="3464">
        <v>42710.000497685185</v>
      </c>
      <c r="AB21" s="3464">
        <v>42724.000497685185</v>
      </c>
      <c r="AC21" s="3464">
        <v>42724.000497685185</v>
      </c>
      <c r="AD21" s="3463" t="s">
        <v>3660</v>
      </c>
      <c r="AE21" s="3463" t="s">
        <v>3538</v>
      </c>
      <c r="AF21" s="3463" t="s">
        <v>3661</v>
      </c>
      <c r="AG21" s="3463" t="s">
        <v>3662</v>
      </c>
      <c r="AH21" s="3463" t="s">
        <v>3663</v>
      </c>
      <c r="AI21" s="3463">
        <v>102000</v>
      </c>
      <c r="AJ21" s="3463">
        <v>30600</v>
      </c>
      <c r="AK21" s="3463" t="s">
        <v>633</v>
      </c>
      <c r="AL21" s="3463">
        <v>103020</v>
      </c>
      <c r="AM21" s="3463">
        <v>2876.55</v>
      </c>
      <c r="AN21" s="3463">
        <v>2905.32</v>
      </c>
      <c r="AO21" s="3463">
        <v>13484</v>
      </c>
      <c r="AP21" s="3463">
        <v>13619</v>
      </c>
      <c r="AQ21" s="3463" t="s">
        <v>3536</v>
      </c>
      <c r="AR21" s="3463" t="s">
        <v>3536</v>
      </c>
      <c r="AS21" s="3463">
        <v>1</v>
      </c>
      <c r="AT21" s="3463" t="s">
        <v>3589</v>
      </c>
      <c r="AU21" s="3463" t="s">
        <v>3535</v>
      </c>
      <c r="AV21" s="3463" t="s">
        <v>3536</v>
      </c>
      <c r="AW21" s="3463" t="s">
        <v>3535</v>
      </c>
      <c r="AX21" s="3463" t="s">
        <v>3536</v>
      </c>
      <c r="AY21" s="3463" t="s">
        <v>3536</v>
      </c>
      <c r="AZ21" s="3463" t="s">
        <v>3536</v>
      </c>
    </row>
    <row r="27" spans="1:52">
      <c r="AH27" s="3463" t="s">
        <v>3673</v>
      </c>
    </row>
    <row r="39" spans="38:38">
      <c r="AL39" s="3463" t="s">
        <v>3676</v>
      </c>
    </row>
    <row r="61" spans="34:34">
      <c r="AH61" s="3463" t="s">
        <v>3679</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I13" sqref="I13"/>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699"/>
      <c r="G1" s="1488"/>
      <c r="H1" s="1488"/>
      <c r="I1" s="1488"/>
      <c r="J1" s="1488"/>
      <c r="K1" s="1488"/>
      <c r="L1" s="1488"/>
      <c r="M1" s="1488"/>
      <c r="N1" s="1488"/>
      <c r="O1" s="1488"/>
      <c r="P1" s="1488"/>
      <c r="Q1" s="1488"/>
      <c r="R1" s="1488"/>
      <c r="S1" s="1488"/>
    </row>
    <row r="2" spans="1:22" ht="15.75">
      <c r="A2" s="1869" t="s">
        <v>1462</v>
      </c>
      <c r="B2" s="1870">
        <f ca="1">SUMIF(B6:B13,"&lt;&gt;#ref!",B6:B13)</f>
        <v>162453</v>
      </c>
      <c r="C2" s="1871" t="s">
        <v>1651</v>
      </c>
      <c r="D2" s="1872" t="s">
        <v>1652</v>
      </c>
      <c r="E2" s="2599">
        <f>SUM(E6:E13)</f>
        <v>75416.17</v>
      </c>
      <c r="F2" s="2699"/>
      <c r="G2" s="1488"/>
      <c r="H2" s="1488"/>
      <c r="I2" s="1488"/>
      <c r="J2" s="1488"/>
      <c r="K2" s="1488"/>
      <c r="L2" s="1488"/>
      <c r="M2" s="1488"/>
      <c r="N2" s="1488"/>
      <c r="O2" s="1488"/>
      <c r="P2" s="1488"/>
      <c r="Q2" s="1488"/>
      <c r="R2" s="1488"/>
      <c r="S2" s="1488"/>
    </row>
    <row r="3" spans="1:22" ht="15.75">
      <c r="A3" s="1869" t="s">
        <v>686</v>
      </c>
      <c r="B3" s="2593">
        <f ca="1">ROUND(B2*10000/E2,0)</f>
        <v>21541</v>
      </c>
      <c r="C3" s="1871" t="s">
        <v>1659</v>
      </c>
      <c r="D3" s="2701"/>
      <c r="E3" s="2703"/>
      <c r="F3" s="2699"/>
      <c r="G3" s="1488"/>
      <c r="H3" s="1488"/>
      <c r="I3" s="1488"/>
      <c r="J3" s="1488"/>
      <c r="K3" s="1488"/>
      <c r="L3" s="1488"/>
      <c r="M3" s="1488"/>
      <c r="N3" s="1488"/>
      <c r="O3" s="1488"/>
      <c r="P3" s="1488"/>
      <c r="Q3" s="1488"/>
      <c r="R3" s="1488"/>
      <c r="S3" s="1488"/>
    </row>
    <row r="4" spans="1:22" ht="15.75">
      <c r="A4" s="2704"/>
      <c r="B4" s="2701"/>
      <c r="C4" s="2701"/>
      <c r="D4" s="2701"/>
      <c r="E4" s="2703"/>
      <c r="F4" s="2699"/>
      <c r="G4" s="1488"/>
      <c r="H4" s="1488"/>
      <c r="I4" s="1488"/>
      <c r="J4" s="1488"/>
      <c r="K4" s="1488"/>
      <c r="L4" s="1488"/>
      <c r="M4" s="1488"/>
      <c r="N4" s="1488"/>
      <c r="O4" s="1488"/>
      <c r="P4" s="1488"/>
      <c r="Q4" s="1488"/>
      <c r="R4" s="1488"/>
      <c r="S4" s="1488"/>
    </row>
    <row r="5" spans="1:22" ht="15">
      <c r="A5" s="2595" t="s">
        <v>1653</v>
      </c>
      <c r="B5" s="3717" t="s">
        <v>1654</v>
      </c>
      <c r="C5" s="3718"/>
      <c r="D5" s="2700"/>
      <c r="E5" s="1873" t="s">
        <v>1655</v>
      </c>
      <c r="F5" s="1874" t="s">
        <v>1656</v>
      </c>
      <c r="G5" s="1488"/>
      <c r="H5" s="1488"/>
      <c r="I5" s="1488"/>
      <c r="J5" s="1488"/>
      <c r="K5" s="1488"/>
      <c r="L5" s="1488"/>
      <c r="M5" s="1488"/>
      <c r="N5" s="1488"/>
      <c r="O5" s="1488"/>
      <c r="P5" s="1488"/>
      <c r="Q5" s="1488"/>
      <c r="R5" s="1488"/>
      <c r="S5" s="1488"/>
    </row>
    <row r="6" spans="1:22">
      <c r="A6" s="2596" t="str">
        <f>'数据-取费表'!AN6</f>
        <v>收益法-长租公寓</v>
      </c>
      <c r="B6" s="2594">
        <f ca="1">IF(F6="是",'数据-取费表'!AO6,0)</f>
        <v>150763</v>
      </c>
      <c r="C6" s="1871" t="s">
        <v>1651</v>
      </c>
      <c r="D6" s="2701"/>
      <c r="E6" s="2598">
        <f>IF(OR(A6=0,F6="否"),0,'数据-取费表'!K6+'数据-取费表'!S6)</f>
        <v>62260.210000000006</v>
      </c>
      <c r="F6" s="1875" t="s">
        <v>1657</v>
      </c>
      <c r="G6" s="1488"/>
      <c r="H6" s="1488"/>
      <c r="I6" s="1488"/>
      <c r="J6" s="1488"/>
      <c r="K6" s="1488"/>
      <c r="L6" s="1488"/>
      <c r="M6" s="1488"/>
      <c r="N6" s="1488"/>
      <c r="O6" s="1488"/>
      <c r="P6" s="1488"/>
      <c r="Q6" s="1488"/>
      <c r="R6" s="1488"/>
      <c r="S6" s="1488"/>
    </row>
    <row r="7" spans="1:22">
      <c r="A7" s="2596" t="str">
        <f>'数据-取费表'!AN7</f>
        <v>收益法-商业</v>
      </c>
      <c r="B7" s="2594">
        <f ca="1">IF(F7="是",'数据-取费表'!AO7,0)</f>
        <v>10865</v>
      </c>
      <c r="C7" s="1871" t="s">
        <v>1651</v>
      </c>
      <c r="D7" s="2701"/>
      <c r="E7" s="2598">
        <f>IF(OR(A7=0,F7="否"),0,'数据-取费表'!K7+'数据-取费表'!S7)</f>
        <v>4292.4799999999996</v>
      </c>
      <c r="F7" s="1875" t="s">
        <v>1657</v>
      </c>
      <c r="G7" s="1488"/>
      <c r="H7" s="1488"/>
      <c r="I7" s="1488"/>
      <c r="J7" s="1488"/>
      <c r="K7" s="1488"/>
      <c r="L7" s="1488"/>
      <c r="M7" s="1488"/>
      <c r="N7" s="1488"/>
      <c r="O7" s="1488"/>
      <c r="P7" s="1488"/>
      <c r="Q7" s="1488"/>
      <c r="R7" s="1488"/>
      <c r="S7" s="1488"/>
    </row>
    <row r="8" spans="1:22">
      <c r="A8" s="2596" t="str">
        <f>'数据-取费表'!AN8</f>
        <v>收益法-车库</v>
      </c>
      <c r="B8" s="2594">
        <f ca="1">IF(F8="是",'数据-取费表'!AO8,0)</f>
        <v>825</v>
      </c>
      <c r="C8" s="1871" t="s">
        <v>1651</v>
      </c>
      <c r="D8" s="2701"/>
      <c r="E8" s="2598">
        <f>IF(OR(A8=0,F8="否"),0,'数据-取费表'!K8+'数据-取费表'!S8)</f>
        <v>8863.48</v>
      </c>
      <c r="F8" s="1875" t="s">
        <v>3444</v>
      </c>
      <c r="G8" s="1488"/>
      <c r="H8" s="1488"/>
      <c r="I8" s="1488"/>
      <c r="J8" s="1488"/>
      <c r="K8" s="1488"/>
      <c r="L8" s="1488"/>
      <c r="M8" s="1488"/>
      <c r="N8" s="1488"/>
      <c r="O8" s="1488"/>
      <c r="P8" s="1488"/>
      <c r="Q8" s="1488"/>
      <c r="R8" s="1488"/>
      <c r="S8" s="1488"/>
    </row>
    <row r="9" spans="1:22">
      <c r="A9" s="2596">
        <f>'数据-取费表'!AN9</f>
        <v>0</v>
      </c>
      <c r="B9" s="2594">
        <f>IF(F9="是",'数据-取费表'!AO9,0)</f>
        <v>0</v>
      </c>
      <c r="C9" s="1871" t="s">
        <v>1651</v>
      </c>
      <c r="D9" s="2701"/>
      <c r="E9" s="2598">
        <f>IF(OR(A9=0,F9="否"),0,'数据-取费表'!K9+'数据-取费表'!S9)</f>
        <v>0</v>
      </c>
      <c r="F9" s="1875"/>
      <c r="G9" s="1488"/>
      <c r="H9" s="1488"/>
      <c r="I9" s="1488"/>
      <c r="J9" s="1488"/>
      <c r="K9" s="1488"/>
      <c r="L9" s="1488"/>
      <c r="M9" s="1488"/>
      <c r="N9" s="1488"/>
      <c r="O9" s="1488"/>
      <c r="P9" s="1488"/>
      <c r="Q9" s="1488"/>
      <c r="R9" s="1488"/>
      <c r="S9" s="1488"/>
    </row>
    <row r="10" spans="1:22">
      <c r="A10" s="2596">
        <f>'数据-取费表'!AN10</f>
        <v>0</v>
      </c>
      <c r="B10" s="2594">
        <f>IF(F10="是",'数据-取费表'!AO10,0)</f>
        <v>0</v>
      </c>
      <c r="C10" s="1871" t="s">
        <v>1651</v>
      </c>
      <c r="D10" s="2701"/>
      <c r="E10" s="2598">
        <f>IF(OR(A10=0,F10="否"),0,'数据-取费表'!K10+'数据-取费表'!S10)</f>
        <v>0</v>
      </c>
      <c r="F10" s="1875"/>
      <c r="G10" s="1488"/>
      <c r="H10" s="1488"/>
      <c r="I10" s="1488"/>
      <c r="J10" s="1488"/>
      <c r="K10" s="1488"/>
      <c r="L10" s="1488"/>
      <c r="M10" s="1488"/>
      <c r="N10" s="1488"/>
      <c r="O10" s="1488"/>
      <c r="P10" s="1488"/>
      <c r="Q10" s="1488"/>
      <c r="R10" s="1488"/>
      <c r="S10" s="1488"/>
    </row>
    <row r="11" spans="1:22">
      <c r="A11" s="2596">
        <f>'数据-取费表'!AN11</f>
        <v>0</v>
      </c>
      <c r="B11" s="2594">
        <f>IF(F11="是",'数据-取费表'!AO11,0)</f>
        <v>0</v>
      </c>
      <c r="C11" s="1871" t="s">
        <v>1651</v>
      </c>
      <c r="D11" s="2701"/>
      <c r="E11" s="2598">
        <f>IF(OR(A11=0,F11="否"),0,'数据-取费表'!K11+'数据-取费表'!S11)</f>
        <v>0</v>
      </c>
      <c r="F11" s="1875"/>
      <c r="G11" s="1488"/>
      <c r="H11" s="1488"/>
      <c r="I11" s="1488"/>
      <c r="J11" s="1488"/>
      <c r="K11" s="1488"/>
      <c r="L11" s="1488"/>
      <c r="M11" s="1488"/>
      <c r="N11" s="1488"/>
      <c r="O11" s="1488"/>
      <c r="P11" s="1488"/>
      <c r="Q11" s="1488"/>
      <c r="R11" s="1488"/>
      <c r="S11" s="1488"/>
    </row>
    <row r="12" spans="1:22">
      <c r="A12" s="2596">
        <f>'数据-取费表'!AN12</f>
        <v>0</v>
      </c>
      <c r="B12" s="2594">
        <f>IF(F12="是",'数据-取费表'!AO12,0)</f>
        <v>0</v>
      </c>
      <c r="C12" s="1871" t="s">
        <v>1651</v>
      </c>
      <c r="D12" s="2701"/>
      <c r="E12" s="2598">
        <f>IF(OR(A12=0,F12="否"),0,'数据-取费表'!K12+'数据-取费表'!S12)</f>
        <v>0</v>
      </c>
      <c r="F12" s="1875"/>
      <c r="G12" s="1488"/>
      <c r="H12" s="1488"/>
      <c r="I12" s="1488"/>
      <c r="J12" s="1488"/>
      <c r="K12" s="1488"/>
      <c r="L12" s="1488"/>
      <c r="M12" s="1488"/>
      <c r="N12" s="1488"/>
      <c r="O12" s="1488"/>
      <c r="P12" s="1488"/>
      <c r="Q12" s="1488"/>
      <c r="R12" s="1488"/>
      <c r="S12" s="1488"/>
    </row>
    <row r="13" spans="1:22" ht="15" thickBot="1">
      <c r="A13" s="2597">
        <f>'数据-取费表'!AN13</f>
        <v>0</v>
      </c>
      <c r="B13" s="2594">
        <f>IF(F13="是",'数据-取费表'!AO13,0)</f>
        <v>0</v>
      </c>
      <c r="C13" s="1876" t="s">
        <v>1651</v>
      </c>
      <c r="D13" s="2702"/>
      <c r="E13" s="2598">
        <f>IF(OR(A13=0,F13="否"),0,'数据-取费表'!K13+'数据-取费表'!S13)</f>
        <v>0</v>
      </c>
      <c r="F13" s="1875"/>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D20" sqref="D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3448</v>
      </c>
      <c r="D1" s="1361" t="s">
        <v>43</v>
      </c>
      <c r="E1" s="1362" t="s">
        <v>678</v>
      </c>
      <c r="F1" s="1062">
        <f ca="1">J53</f>
        <v>47.75</v>
      </c>
      <c r="G1" s="1377">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150763</v>
      </c>
      <c r="C2" s="1386" t="s">
        <v>805</v>
      </c>
      <c r="D2" s="1386"/>
      <c r="E2" s="1387"/>
      <c r="F2" s="1388"/>
      <c r="G2" s="2698"/>
      <c r="H2" s="2687"/>
      <c r="I2" s="2687"/>
      <c r="J2" s="2687"/>
      <c r="K2" s="2688"/>
      <c r="L2" s="2687"/>
      <c r="M2" s="2687"/>
    </row>
    <row r="3" spans="1:37" ht="18" customHeight="1" thickBot="1">
      <c r="A3" s="1389" t="s">
        <v>806</v>
      </c>
      <c r="B3" s="1390">
        <f ca="1">IF(ISERROR(B2*10000/F43),0,ROUND(B2*10000/F43,0))</f>
        <v>25986</v>
      </c>
      <c r="C3" s="1386" t="s">
        <v>807</v>
      </c>
      <c r="D3" s="1386"/>
      <c r="E3" s="1387"/>
      <c r="F3" s="1388"/>
      <c r="G3" s="2698"/>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7634</v>
      </c>
      <c r="D5" s="1363" t="s">
        <v>693</v>
      </c>
      <c r="E5" s="1071"/>
      <c r="F5" s="1072"/>
      <c r="G5" s="1383"/>
      <c r="H5" s="299">
        <v>1</v>
      </c>
      <c r="I5" s="300" t="s">
        <v>692</v>
      </c>
      <c r="J5" s="1070">
        <f ca="1">J6+J10+J12</f>
        <v>0</v>
      </c>
      <c r="K5" s="1363" t="s">
        <v>693</v>
      </c>
      <c r="L5" s="1071"/>
      <c r="M5" s="1072"/>
    </row>
    <row r="6" spans="1:37" ht="18" customHeight="1">
      <c r="A6" s="1069" t="s">
        <v>398</v>
      </c>
      <c r="B6" s="3721" t="s">
        <v>694</v>
      </c>
      <c r="C6" s="1074">
        <f ca="1">ROUND(F6*F8*F7*(1-F9)/10000,0)</f>
        <v>7624</v>
      </c>
      <c r="D6" s="155" t="s">
        <v>2109</v>
      </c>
      <c r="E6" s="302" t="s">
        <v>696</v>
      </c>
      <c r="F6" s="303">
        <f ca="1">INDIRECT("'数据-取费表'!u"&amp;$G$1)</f>
        <v>4</v>
      </c>
      <c r="G6" s="1383"/>
      <c r="H6" s="1069" t="s">
        <v>398</v>
      </c>
      <c r="I6" s="3721" t="s">
        <v>694</v>
      </c>
      <c r="J6" s="301">
        <f ca="1">ROUND(M6*M8*M7*(1-M9)/10000,0)</f>
        <v>0</v>
      </c>
      <c r="K6" s="155" t="s">
        <v>2108</v>
      </c>
      <c r="L6" s="302" t="s">
        <v>696</v>
      </c>
      <c r="M6" s="303">
        <f ca="1">INDIRECT("'数据-取费表'!z"&amp;$G$1)</f>
        <v>0</v>
      </c>
    </row>
    <row r="7" spans="1:37" ht="18" customHeight="1">
      <c r="A7" s="1073"/>
      <c r="B7" s="3722"/>
      <c r="C7" s="1075"/>
      <c r="D7" s="307"/>
      <c r="E7" s="1076" t="s">
        <v>697</v>
      </c>
      <c r="F7" s="303">
        <f ca="1">IF(INDIRECT("'数据-取费表'!ah"&amp;$G$1)="",INDIRECT("'数据-取费表'!k"&amp;$G$1),INDIRECT("'数据-取费表'!ah"&amp;$G$1))</f>
        <v>58017.94</v>
      </c>
      <c r="G7" s="1383"/>
      <c r="H7" s="304"/>
      <c r="I7" s="3722"/>
      <c r="J7" s="306"/>
      <c r="K7" s="307"/>
      <c r="L7" s="302" t="s">
        <v>697</v>
      </c>
      <c r="M7" s="303">
        <f ca="1">F7</f>
        <v>58017.94</v>
      </c>
    </row>
    <row r="8" spans="1:37" ht="18" customHeight="1">
      <c r="A8" s="304"/>
      <c r="B8" s="3722"/>
      <c r="C8" s="306"/>
      <c r="D8" s="307"/>
      <c r="E8" s="302" t="s">
        <v>698</v>
      </c>
      <c r="F8" s="303">
        <f ca="1">INDIRECT("'数据-取费表'!ai"&amp;$G$1)</f>
        <v>365</v>
      </c>
      <c r="G8" s="1383"/>
      <c r="H8" s="304"/>
      <c r="I8" s="3722"/>
      <c r="J8" s="306"/>
      <c r="K8" s="307"/>
      <c r="L8" s="302" t="s">
        <v>698</v>
      </c>
      <c r="M8" s="303">
        <f ca="1">INDIRECT("'数据-取费表'!ai"&amp;$G$1)</f>
        <v>365</v>
      </c>
    </row>
    <row r="9" spans="1:37" ht="18" customHeight="1">
      <c r="A9" s="304"/>
      <c r="B9" s="3723"/>
      <c r="C9" s="306"/>
      <c r="D9" s="307"/>
      <c r="E9" s="302" t="s">
        <v>699</v>
      </c>
      <c r="F9" s="312">
        <f ca="1">INDIRECT("'数据-取费表'!w"&amp;$G$1)</f>
        <v>0.1</v>
      </c>
      <c r="G9" s="1383"/>
      <c r="H9" s="304"/>
      <c r="I9" s="3723"/>
      <c r="J9" s="306"/>
      <c r="K9" s="307"/>
      <c r="L9" s="313" t="s">
        <v>699</v>
      </c>
      <c r="M9" s="314">
        <f ca="1">INDIRECT("'数据-取费表'!ab"&amp;$G$1)</f>
        <v>0</v>
      </c>
    </row>
    <row r="10" spans="1:37" ht="18" customHeight="1">
      <c r="A10" s="1069" t="s">
        <v>402</v>
      </c>
      <c r="B10" s="1364" t="s">
        <v>700</v>
      </c>
      <c r="C10" s="316">
        <f ca="1">ROUND(IF(F10="押一",C6/12*F11,IF(F10="押二",C6/12*2*F11,IF(F10="押三",C6/12*3*F11,C11*F11))),0)</f>
        <v>10</v>
      </c>
      <c r="D10" s="1365" t="s">
        <v>2117</v>
      </c>
      <c r="E10" s="313" t="s">
        <v>701</v>
      </c>
      <c r="F10" s="1116" t="s">
        <v>3404</v>
      </c>
      <c r="G10" s="1383"/>
      <c r="H10" s="1069" t="s">
        <v>402</v>
      </c>
      <c r="I10" s="1364" t="s">
        <v>700</v>
      </c>
      <c r="J10" s="301">
        <f ca="1">ROUND(IF(M10="押一",J6/12*M11,IF(M10="押二",J6/12*2*M11,IF(M10="押三",J6/12*3*M11,J11*M11))),0)</f>
        <v>0</v>
      </c>
      <c r="K10" s="1365" t="s">
        <v>2116</v>
      </c>
      <c r="L10" s="313" t="s">
        <v>701</v>
      </c>
      <c r="M10" s="1116" t="s">
        <v>3404</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42043</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29546</v>
      </c>
      <c r="D14" s="1344" t="s">
        <v>708</v>
      </c>
      <c r="E14" s="1341"/>
      <c r="F14" s="319"/>
      <c r="G14" s="1383"/>
      <c r="H14" s="982" t="s">
        <v>398</v>
      </c>
      <c r="I14" s="302" t="s">
        <v>709</v>
      </c>
      <c r="J14" s="21">
        <f ca="1">C29</f>
        <v>42043</v>
      </c>
      <c r="K14" s="12"/>
      <c r="L14" s="807"/>
      <c r="M14" s="808"/>
    </row>
    <row r="15" spans="1:37" s="1396" customFormat="1" ht="18" customHeight="1" thickBot="1">
      <c r="A15" s="982" t="s">
        <v>399</v>
      </c>
      <c r="B15" s="302" t="s">
        <v>710</v>
      </c>
      <c r="C15" s="21">
        <f ca="1">ROUND(C14*F15,0)</f>
        <v>886</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210</v>
      </c>
      <c r="K16" s="1087" t="s">
        <v>715</v>
      </c>
      <c r="L16" s="1088"/>
      <c r="M16" s="1072"/>
    </row>
    <row r="17" spans="1:37" s="1396" customFormat="1" ht="18" customHeight="1">
      <c r="A17" s="982" t="s">
        <v>681</v>
      </c>
      <c r="B17" s="302" t="s">
        <v>716</v>
      </c>
      <c r="C17" s="21">
        <f ca="1">ROUND(F17*(F43+INDIRECT("'数据-取费表'!S"&amp;$G$1))/10000,0)</f>
        <v>1245</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443</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32120</v>
      </c>
      <c r="D19" s="131" t="s">
        <v>726</v>
      </c>
      <c r="E19" s="1359"/>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642</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13172.470000000001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210.22</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1130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-210</v>
      </c>
      <c r="K25" s="1095" t="s">
        <v>753</v>
      </c>
      <c r="L25" s="1096"/>
      <c r="M25" s="1097"/>
    </row>
    <row r="26" spans="1:37">
      <c r="A26" s="982" t="s">
        <v>397</v>
      </c>
      <c r="B26" s="302" t="s">
        <v>754</v>
      </c>
      <c r="C26" s="21">
        <f ca="1">ROUND((C19+C20)*F26,0)</f>
        <v>4914</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42043</v>
      </c>
      <c r="D29" s="1092"/>
      <c r="E29" s="1090"/>
      <c r="F29" s="1093"/>
      <c r="G29" s="1395"/>
      <c r="H29" s="334" t="s">
        <v>396</v>
      </c>
      <c r="I29" s="335" t="s">
        <v>768</v>
      </c>
      <c r="J29" s="336">
        <f ca="1">ROUND(J26/(1+F40)^F41,0)</f>
        <v>0</v>
      </c>
      <c r="K29" s="337" t="s">
        <v>769</v>
      </c>
      <c r="L29" s="338"/>
      <c r="M29" s="339">
        <f ca="1">INDIRECT("'数据-取费表'!k"&amp;$G$1)</f>
        <v>58017.94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1607</v>
      </c>
      <c r="D30" s="1087" t="s">
        <v>715</v>
      </c>
      <c r="E30" s="1088"/>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ROUND(IF(AND(项目基本情况!B11="自然人",项目基本情况!B10="北京市"),C6*F31/(1+'数据-取费表'!C42),C32+C33+C34),2)</f>
        <v>1277.92</v>
      </c>
      <c r="D31" s="1344" t="s">
        <v>720</v>
      </c>
      <c r="E31" s="134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IF(项目基本情况!B11="自然人","——",ROUND(C6*F32/(1+'数据-取费表'!C42),2))</f>
        <v>406.61</v>
      </c>
      <c r="D32" s="1343" t="s">
        <v>724</v>
      </c>
      <c r="E32" s="302" t="s">
        <v>712</v>
      </c>
      <c r="F32" s="331">
        <f>'数据-取费表'!B41</f>
        <v>5.6000000000000001E-2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871.31</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0</v>
      </c>
      <c r="G34" s="1383"/>
      <c r="H34" s="2689"/>
      <c r="I34" s="1397"/>
      <c r="J34" s="1398"/>
      <c r="K34" s="2694"/>
      <c r="L34" s="2695"/>
      <c r="M34" s="2695"/>
    </row>
    <row r="35" spans="1:18" ht="18" customHeight="1">
      <c r="A35" s="1103"/>
      <c r="B35" s="1101"/>
      <c r="C35" s="26"/>
      <c r="D35" s="327"/>
      <c r="E35" s="302" t="s">
        <v>736</v>
      </c>
      <c r="F35" s="303">
        <f ca="1">INDIRECT("'数据-取费表'!r"&amp;$G$1)</f>
        <v>13172.470000000001</v>
      </c>
      <c r="G35" s="1383"/>
      <c r="H35" s="2689"/>
      <c r="I35" s="1397"/>
      <c r="J35" s="1398"/>
      <c r="K35" s="2693"/>
      <c r="L35" s="2692"/>
      <c r="M35" s="2692"/>
    </row>
    <row r="36" spans="1:18" ht="18" customHeight="1">
      <c r="A36" s="1102" t="s">
        <v>402</v>
      </c>
      <c r="B36" s="302" t="s">
        <v>738</v>
      </c>
      <c r="C36" s="21">
        <f ca="1">ROUND(C29*F36,2)</f>
        <v>210.22</v>
      </c>
      <c r="D36" s="1343" t="s">
        <v>771</v>
      </c>
      <c r="E36" s="302" t="s">
        <v>712</v>
      </c>
      <c r="F36" s="328">
        <f ca="1">INDIRECT("'数据-取费表'!Ak"&amp;$G$1)</f>
        <v>5.0000000000000001E-3</v>
      </c>
      <c r="G36" s="1383"/>
      <c r="H36" s="2692"/>
      <c r="I36" s="1397"/>
      <c r="J36" s="1398"/>
      <c r="K36" s="2536"/>
      <c r="L36" s="2692"/>
      <c r="M36" s="2692"/>
    </row>
    <row r="37" spans="1:18" ht="18" customHeight="1">
      <c r="A37" s="982" t="s">
        <v>437</v>
      </c>
      <c r="B37" s="302" t="s">
        <v>742</v>
      </c>
      <c r="C37" s="21">
        <f ca="1">ROUND(C13*F37,2)</f>
        <v>42.04</v>
      </c>
      <c r="D37" s="1343" t="s">
        <v>743</v>
      </c>
      <c r="E37" s="302" t="s">
        <v>744</v>
      </c>
      <c r="F37" s="330">
        <f ca="1">INDIRECT("'数据-取费表'!Al"&amp;$G$1)</f>
        <v>1E-3</v>
      </c>
      <c r="G37" s="1383"/>
      <c r="H37" s="2692"/>
      <c r="I37" s="1397"/>
      <c r="J37" s="1398"/>
      <c r="K37" s="2536"/>
      <c r="L37" s="2692"/>
      <c r="M37" s="2692"/>
    </row>
    <row r="38" spans="1:18" ht="18" customHeight="1" thickBot="1">
      <c r="A38" s="1089" t="s">
        <v>684</v>
      </c>
      <c r="B38" s="1090" t="s">
        <v>728</v>
      </c>
      <c r="C38" s="1091">
        <f ca="1">ROUND(C5*F38,2)</f>
        <v>76.34</v>
      </c>
      <c r="D38" s="1092" t="s">
        <v>748</v>
      </c>
      <c r="E38" s="1090" t="s">
        <v>744</v>
      </c>
      <c r="F38" s="1086">
        <f ca="1">INDIRECT("'数据-取费表'!Am"&amp;$G$1)</f>
        <v>0.01</v>
      </c>
      <c r="G38" s="1383"/>
      <c r="H38" s="2692"/>
      <c r="I38" s="1397"/>
      <c r="J38" s="1398"/>
      <c r="K38" s="2696"/>
      <c r="L38" s="2692"/>
      <c r="M38" s="2692"/>
    </row>
    <row r="39" spans="1:18" ht="24.6" customHeight="1" thickTop="1">
      <c r="A39" s="1079" t="s">
        <v>394</v>
      </c>
      <c r="B39" s="1094" t="s">
        <v>772</v>
      </c>
      <c r="C39" s="310">
        <f ca="1">C5-C30</f>
        <v>6027</v>
      </c>
      <c r="D39" s="1095" t="s">
        <v>773</v>
      </c>
      <c r="E39" s="1096"/>
      <c r="F39" s="1097"/>
      <c r="G39" s="1383"/>
      <c r="H39" s="2692"/>
      <c r="I39" s="1397"/>
      <c r="J39" s="1398"/>
      <c r="K39" s="2696"/>
      <c r="L39" s="2692"/>
      <c r="M39" s="2692"/>
    </row>
    <row r="40" spans="1:18" ht="18" customHeight="1">
      <c r="A40" s="299" t="s">
        <v>395</v>
      </c>
      <c r="B40" s="300" t="s">
        <v>774</v>
      </c>
      <c r="C40" s="301">
        <f ca="1">ROUND(C39*(1-((1+F42)/(1+F40))^F41)/(F40-F42),0)</f>
        <v>150231</v>
      </c>
      <c r="D40" s="324" t="s">
        <v>758</v>
      </c>
      <c r="E40" s="302" t="s">
        <v>759</v>
      </c>
      <c r="F40" s="312">
        <f ca="1">INDIRECT("'数据-取费表'!I"&amp;$G$1)</f>
        <v>5.5E-2</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47.75</v>
      </c>
      <c r="G41" s="1383"/>
      <c r="H41" s="1190"/>
      <c r="I41" s="1397"/>
      <c r="J41" s="1398"/>
      <c r="K41" s="2536"/>
      <c r="L41" s="1190"/>
      <c r="M41" s="1190"/>
    </row>
    <row r="42" spans="1:18" ht="18" customHeight="1">
      <c r="A42" s="308"/>
      <c r="B42" s="309"/>
      <c r="C42" s="310"/>
      <c r="D42" s="327"/>
      <c r="E42" s="302" t="s">
        <v>766</v>
      </c>
      <c r="F42" s="312">
        <f ca="1">INDIRECT("'数据-取费表'!v"&amp;$G$1)</f>
        <v>2.5000000000000001E-2</v>
      </c>
      <c r="G42" s="1383"/>
      <c r="H42" s="1190"/>
      <c r="I42" s="1397"/>
      <c r="J42" s="1398"/>
      <c r="K42" s="2536"/>
      <c r="L42" s="1190"/>
      <c r="M42" s="1190"/>
    </row>
    <row r="43" spans="1:18" ht="18" customHeight="1" thickBot="1">
      <c r="A43" s="334" t="s">
        <v>396</v>
      </c>
      <c r="B43" s="335" t="s">
        <v>776</v>
      </c>
      <c r="C43" s="336">
        <f ca="1">ROUND(C40*10000/F43,0)</f>
        <v>25894</v>
      </c>
      <c r="D43" s="337" t="s">
        <v>777</v>
      </c>
      <c r="E43" s="338" t="s">
        <v>778</v>
      </c>
      <c r="F43" s="339">
        <f ca="1">INDIRECT("'数据-取费表'!k"&amp;$G$1)</f>
        <v>58017.94</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7" t="s">
        <v>808</v>
      </c>
      <c r="P45" s="1460"/>
      <c r="Q45" s="1460"/>
      <c r="R45" s="1460"/>
    </row>
    <row r="46" spans="1:18" s="1383" customFormat="1" ht="13.5" thickBot="1">
      <c r="A46" s="1403" t="s">
        <v>809</v>
      </c>
      <c r="C46" s="1404">
        <f ca="1">C68-C40</f>
        <v>-154457</v>
      </c>
      <c r="D46" s="1405" t="str">
        <f>C2</f>
        <v>万元</v>
      </c>
      <c r="E46" s="1399"/>
      <c r="F46" s="1399"/>
      <c r="I46" s="1406" t="s">
        <v>810</v>
      </c>
      <c r="J46" s="1407"/>
      <c r="K46" s="1408"/>
      <c r="L46" s="1409">
        <f ca="1">IF(M47="住宅",0,IF(L48&gt;J51,L60,J60))</f>
        <v>532</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3405</v>
      </c>
      <c r="K47" s="1415" t="s">
        <v>816</v>
      </c>
      <c r="L47" s="1416">
        <f ca="1">INDIRECT("'数据-取费表'!d"&amp;$G$1)</f>
        <v>50</v>
      </c>
      <c r="M47" s="1379" t="str">
        <f>IF(ISNUMBER(FIND("住宅",C1)),"住宅","非住宅")</f>
        <v>非住宅</v>
      </c>
      <c r="O47" s="1417" t="s">
        <v>403</v>
      </c>
      <c r="P47" s="1418" t="s">
        <v>817</v>
      </c>
      <c r="Q47" s="1419">
        <f ca="1">C40+J29</f>
        <v>150231</v>
      </c>
      <c r="R47" s="1419" t="s">
        <v>818</v>
      </c>
    </row>
    <row r="48" spans="1:18" s="1383" customFormat="1" ht="28.5" thickBot="1">
      <c r="A48" s="1110" t="s">
        <v>438</v>
      </c>
      <c r="B48" s="300" t="s">
        <v>692</v>
      </c>
      <c r="C48" s="1358">
        <f ca="1">C49+C53+C55</f>
        <v>0</v>
      </c>
      <c r="D48" s="1112"/>
      <c r="E48" s="1113"/>
      <c r="F48" s="962"/>
      <c r="G48" s="722"/>
      <c r="H48" s="723"/>
      <c r="I48" s="1420" t="s">
        <v>819</v>
      </c>
      <c r="J48" s="1421" t="s">
        <v>3406</v>
      </c>
      <c r="K48" s="1422" t="s">
        <v>820</v>
      </c>
      <c r="L48" s="1423">
        <f ca="1">INDIRECT("'数据-取费表'!f"&amp;$G$1)</f>
        <v>47.75</v>
      </c>
      <c r="O48" s="1417" t="s">
        <v>404</v>
      </c>
      <c r="P48" s="1418" t="s">
        <v>821</v>
      </c>
      <c r="Q48" s="1419">
        <f ca="1">J60</f>
        <v>532</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'数据-取费表'!N18</f>
        <v>2023</v>
      </c>
      <c r="K49" s="1422" t="s">
        <v>824</v>
      </c>
      <c r="L49" s="1426"/>
      <c r="O49" s="1427" t="s">
        <v>405</v>
      </c>
      <c r="P49" s="1418" t="s">
        <v>825</v>
      </c>
      <c r="Q49" s="1419">
        <f ca="1">C29</f>
        <v>42043</v>
      </c>
      <c r="R49" s="1419" t="s">
        <v>818</v>
      </c>
    </row>
    <row r="50" spans="1:18" s="1383" customFormat="1" ht="13.5" thickBot="1">
      <c r="A50" s="976"/>
      <c r="B50" s="979"/>
      <c r="C50" s="1118"/>
      <c r="D50" s="953"/>
      <c r="E50" s="1056" t="s">
        <v>697</v>
      </c>
      <c r="F50" s="1057">
        <f ca="1">F7</f>
        <v>58017.94</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58378</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47.75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47.75</v>
      </c>
      <c r="K53" s="3719" t="s">
        <v>837</v>
      </c>
      <c r="L53" s="3720"/>
      <c r="O53" s="1417" t="s">
        <v>409</v>
      </c>
      <c r="P53" s="1418" t="s">
        <v>838</v>
      </c>
      <c r="Q53" s="1419">
        <f ca="1">Q47+Q48</f>
        <v>150763</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0.20399999999999999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42043</v>
      </c>
      <c r="D56" s="1446"/>
      <c r="E56" s="1447"/>
      <c r="F56" s="1439"/>
      <c r="I56" s="1448" t="s">
        <v>842</v>
      </c>
      <c r="J56" s="1449" t="s">
        <v>3407</v>
      </c>
      <c r="K56" s="1420" t="s">
        <v>843</v>
      </c>
      <c r="L56" s="1423" t="str">
        <f ca="1">IF(L48&lt;J51,"——",L48-J53)</f>
        <v>——</v>
      </c>
      <c r="O56" s="1417" t="s">
        <v>403</v>
      </c>
      <c r="P56" s="1418" t="s">
        <v>817</v>
      </c>
      <c r="Q56" s="1419">
        <f ca="1">C40+J29</f>
        <v>150231</v>
      </c>
      <c r="R56" s="1419" t="s">
        <v>818</v>
      </c>
    </row>
    <row r="57" spans="1:18" s="1383" customFormat="1" ht="24.75" thickBot="1">
      <c r="A57" s="1450"/>
      <c r="B57" s="950" t="s">
        <v>767</v>
      </c>
      <c r="C57" s="238">
        <f ca="1">C29</f>
        <v>42043</v>
      </c>
      <c r="D57" s="1451"/>
      <c r="E57" s="1452"/>
      <c r="F57" s="1453"/>
      <c r="I57" s="1454" t="s">
        <v>844</v>
      </c>
      <c r="J57" s="1455">
        <f ca="1">IF(OR(M47="住宅",J51&lt;L48,J56="是"),"——",J51-L48)</f>
        <v>12.25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252</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16817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532</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150231</v>
      </c>
      <c r="R62" s="1419" t="s">
        <v>410</v>
      </c>
    </row>
    <row r="63" spans="1:18" s="1383" customFormat="1" ht="13.5" thickBot="1">
      <c r="A63" s="326"/>
      <c r="B63" s="956"/>
      <c r="C63" s="26"/>
      <c r="D63" s="966"/>
      <c r="E63" s="950" t="s">
        <v>788</v>
      </c>
      <c r="F63" s="303">
        <f t="shared" ca="1" si="0"/>
        <v>13172.470000000001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210.22</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42.04</v>
      </c>
      <c r="D65" s="964" t="s">
        <v>743</v>
      </c>
      <c r="E65" s="950" t="s">
        <v>744</v>
      </c>
      <c r="F65" s="330">
        <f t="shared" ca="1" si="0"/>
        <v>1E-3</v>
      </c>
      <c r="I65" s="1461" t="s">
        <v>867</v>
      </c>
      <c r="J65" s="1462">
        <v>40</v>
      </c>
      <c r="K65" s="1462">
        <v>30</v>
      </c>
      <c r="L65" s="1462">
        <v>50</v>
      </c>
      <c r="M65" s="1464">
        <v>0.02</v>
      </c>
      <c r="O65" s="1417" t="s">
        <v>403</v>
      </c>
      <c r="P65" s="1418" t="s">
        <v>868</v>
      </c>
      <c r="Q65" s="1419">
        <f ca="1">C40+J29</f>
        <v>150231</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-252</v>
      </c>
      <c r="D67" s="963" t="s">
        <v>753</v>
      </c>
      <c r="E67" s="968"/>
      <c r="F67" s="969"/>
      <c r="O67" s="1427" t="s">
        <v>405</v>
      </c>
      <c r="P67" s="1418" t="s">
        <v>850</v>
      </c>
      <c r="Q67" s="1465">
        <f ca="1">L51</f>
        <v>58378</v>
      </c>
      <c r="R67" s="1419" t="s">
        <v>870</v>
      </c>
    </row>
    <row r="68" spans="1:18" s="1383" customFormat="1" ht="16.5" thickBot="1">
      <c r="A68" s="947" t="s">
        <v>395</v>
      </c>
      <c r="B68" s="948" t="s">
        <v>774</v>
      </c>
      <c r="C68" s="301">
        <f ca="1">ROUND(C67*(1-((1+F70)/(1+F68))^F69)/(F68-F70),0)</f>
        <v>-4226</v>
      </c>
      <c r="D68" s="965" t="s">
        <v>758</v>
      </c>
      <c r="E68" s="950" t="s">
        <v>759</v>
      </c>
      <c r="F68" s="312">
        <f ca="1">F40</f>
        <v>5.5E-2</v>
      </c>
      <c r="O68" s="1427" t="s">
        <v>406</v>
      </c>
      <c r="P68" s="1466" t="s">
        <v>871</v>
      </c>
      <c r="Q68" s="1419">
        <f ca="1">ROUND(Q69-Q70*Q71,0)</f>
        <v>3084</v>
      </c>
      <c r="R68" s="1419" t="s">
        <v>414</v>
      </c>
    </row>
    <row r="69" spans="1:18" s="1383" customFormat="1" ht="13.5" thickBot="1">
      <c r="A69" s="951"/>
      <c r="B69" s="952"/>
      <c r="C69" s="306"/>
      <c r="D69" s="970" t="s">
        <v>762</v>
      </c>
      <c r="E69" s="950" t="s">
        <v>763</v>
      </c>
      <c r="F69" s="333">
        <f ca="1">F41</f>
        <v>47.75</v>
      </c>
      <c r="O69" s="1427" t="s">
        <v>411</v>
      </c>
      <c r="P69" s="1466" t="s">
        <v>872</v>
      </c>
      <c r="Q69" s="1419">
        <f ca="1">C39</f>
        <v>6027</v>
      </c>
      <c r="R69" s="1419" t="s">
        <v>818</v>
      </c>
    </row>
    <row r="70" spans="1:18" s="1383" customFormat="1" ht="13.5" thickBot="1">
      <c r="A70" s="954"/>
      <c r="B70" s="955"/>
      <c r="C70" s="310"/>
      <c r="D70" s="966"/>
      <c r="E70" s="950" t="s">
        <v>766</v>
      </c>
      <c r="F70" s="1054"/>
      <c r="O70" s="1427" t="s">
        <v>412</v>
      </c>
      <c r="P70" s="1466" t="s">
        <v>873</v>
      </c>
      <c r="Q70" s="1419">
        <f ca="1">C13</f>
        <v>42043</v>
      </c>
      <c r="R70" s="1419" t="s">
        <v>818</v>
      </c>
    </row>
    <row r="71" spans="1:18" s="1383" customFormat="1" ht="13.5" thickBot="1">
      <c r="A71" s="971" t="s">
        <v>396</v>
      </c>
      <c r="B71" s="972" t="s">
        <v>776</v>
      </c>
      <c r="C71" s="336">
        <f ca="1">ROUND(C68*10000/F71,0)</f>
        <v>-728</v>
      </c>
      <c r="D71" s="973" t="s">
        <v>777</v>
      </c>
      <c r="E71" s="974" t="s">
        <v>778</v>
      </c>
      <c r="F71" s="339">
        <f ca="1">F43</f>
        <v>58017.94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2943</v>
      </c>
      <c r="D75" s="1383"/>
      <c r="E75" s="1383"/>
      <c r="F75" s="1383"/>
      <c r="K75" s="1401"/>
      <c r="L75" s="1383"/>
      <c r="O75" s="1417" t="s">
        <v>409</v>
      </c>
      <c r="P75" s="1418" t="s">
        <v>838</v>
      </c>
      <c r="Q75" s="1419">
        <f ca="1">Q65+Q66</f>
        <v>150231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0.51200000000000001</v>
      </c>
    </row>
    <row r="80" spans="1:18">
      <c r="B80" s="340" t="s">
        <v>800</v>
      </c>
      <c r="C80" s="274">
        <f ca="1">ROUND(C75/C39,3)</f>
        <v>0.48799999999999999</v>
      </c>
    </row>
    <row r="81" spans="2:3">
      <c r="B81" s="270" t="s">
        <v>801</v>
      </c>
      <c r="C81" s="238"/>
    </row>
    <row r="82" spans="2:3">
      <c r="B82" s="273" t="s">
        <v>802</v>
      </c>
      <c r="C82" s="275">
        <f ca="1">1-C83</f>
        <v>0.72</v>
      </c>
    </row>
    <row r="83" spans="2:3">
      <c r="B83" s="273" t="s">
        <v>803</v>
      </c>
      <c r="C83" s="274">
        <f ca="1">ROUND(C13/C40,3)</f>
        <v>0.28000000000000003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17" t="e">
        <f ca="1">ROUND(D2/10000,4)</f>
        <v>#DIV/0!</v>
      </c>
      <c r="C2" s="1386" t="s">
        <v>879</v>
      </c>
      <c r="D2" s="1470" t="e">
        <f ca="1">C40+J29+L46</f>
        <v>#DIV/0!</v>
      </c>
      <c r="E2" s="1387" t="s">
        <v>880</v>
      </c>
      <c r="F2" s="1388"/>
      <c r="G2" s="2698"/>
      <c r="H2" s="2687"/>
      <c r="I2" s="2687"/>
      <c r="J2" s="2687"/>
      <c r="K2" s="2688"/>
      <c r="L2" s="2687"/>
      <c r="M2" s="2687"/>
    </row>
    <row r="3" spans="1:37" ht="18" customHeight="1" thickBot="1">
      <c r="A3" s="1389" t="s">
        <v>881</v>
      </c>
      <c r="B3" s="1390">
        <f ca="1">IF(ISERROR(D2/F43),0,ROUND(D2/F43,0))</f>
        <v>0</v>
      </c>
      <c r="C3" s="1386" t="s">
        <v>882</v>
      </c>
      <c r="D3" s="1386"/>
      <c r="E3" s="1387"/>
      <c r="F3" s="1388"/>
      <c r="G3" s="2698"/>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21" t="s">
        <v>694</v>
      </c>
      <c r="C6" s="1074">
        <f ca="1">ROUND(F6*F8*F7*(1-F9),0)</f>
        <v>0</v>
      </c>
      <c r="D6" s="155" t="s">
        <v>2106</v>
      </c>
      <c r="E6" s="302" t="s">
        <v>696</v>
      </c>
      <c r="F6" s="303">
        <f ca="1">INDIRECT("'数据-取费表'!u"&amp;$G$1)</f>
        <v>0</v>
      </c>
      <c r="G6" s="1383"/>
      <c r="H6" s="1069" t="s">
        <v>398</v>
      </c>
      <c r="I6" s="3721" t="s">
        <v>694</v>
      </c>
      <c r="J6" s="301">
        <f ca="1">ROUND(M6*M8*M7*(1-M9),0)</f>
        <v>0</v>
      </c>
      <c r="K6" s="1375" t="s">
        <v>2107</v>
      </c>
      <c r="L6" s="302" t="s">
        <v>696</v>
      </c>
      <c r="M6" s="303">
        <f ca="1">INDIRECT("'数据-取费表'!z"&amp;$G$1)</f>
        <v>0</v>
      </c>
    </row>
    <row r="7" spans="1:37" ht="18" customHeight="1">
      <c r="A7" s="1073"/>
      <c r="B7" s="3722"/>
      <c r="C7" s="1075"/>
      <c r="D7" s="307"/>
      <c r="E7" s="1076" t="s">
        <v>697</v>
      </c>
      <c r="F7" s="303">
        <f ca="1">IF(INDIRECT("'数据-取费表'!ah"&amp;$G$1)="",INDIRECT("'数据-取费表'!k"&amp;$G$1),INDIRECT("'数据-取费表'!ah"&amp;$G$1))</f>
        <v>0</v>
      </c>
      <c r="G7" s="1383"/>
      <c r="H7" s="304"/>
      <c r="I7" s="3722"/>
      <c r="J7" s="306"/>
      <c r="K7" s="307"/>
      <c r="L7" s="302" t="s">
        <v>697</v>
      </c>
      <c r="M7" s="303">
        <f ca="1">F7</f>
        <v>0</v>
      </c>
    </row>
    <row r="8" spans="1:37" ht="18" customHeight="1">
      <c r="A8" s="304"/>
      <c r="B8" s="3722"/>
      <c r="C8" s="306"/>
      <c r="D8" s="307"/>
      <c r="E8" s="302" t="s">
        <v>698</v>
      </c>
      <c r="F8" s="303">
        <f ca="1">INDIRECT("'数据-取费表'!ai"&amp;$G$1)</f>
        <v>0</v>
      </c>
      <c r="G8" s="1383"/>
      <c r="H8" s="304"/>
      <c r="I8" s="3722"/>
      <c r="J8" s="306"/>
      <c r="K8" s="307"/>
      <c r="L8" s="302" t="s">
        <v>698</v>
      </c>
      <c r="M8" s="303">
        <f ca="1">INDIRECT("'数据-取费表'!ai"&amp;$G$1)</f>
        <v>0</v>
      </c>
    </row>
    <row r="9" spans="1:37" ht="18" customHeight="1">
      <c r="A9" s="304"/>
      <c r="B9" s="3723"/>
      <c r="C9" s="306"/>
      <c r="D9" s="307"/>
      <c r="E9" s="302" t="s">
        <v>699</v>
      </c>
      <c r="F9" s="312">
        <f ca="1">INDIRECT("'数据-取费表'!w"&amp;$G$1)</f>
        <v>0</v>
      </c>
      <c r="G9" s="1383"/>
      <c r="H9" s="304"/>
      <c r="I9" s="372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3404</v>
      </c>
      <c r="G10" s="1383"/>
      <c r="H10" s="1069" t="s">
        <v>402</v>
      </c>
      <c r="I10" s="1364" t="s">
        <v>700</v>
      </c>
      <c r="J10" s="301">
        <f ca="1">ROUND(IF(M10="押一",J6/12*M11,IF(M10="押二",J6/12*2*M11,IF(M10="押三",J6/12*3*M11,J11*M11))),0)</f>
        <v>0</v>
      </c>
      <c r="K10" s="1376" t="s">
        <v>2118</v>
      </c>
      <c r="L10" s="313" t="s">
        <v>701</v>
      </c>
      <c r="M10" s="1116" t="s">
        <v>3404</v>
      </c>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3">
        <f ca="1">ROUND(IF(AND(项目基本情况!B11="自然人",项目基本情况!B10="北京市"),J6*M17/(1+'数据-取费表'!C42),J18+J19+J20),0)</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ROUND(IF(AND(项目基本情况!B11="自然人",项目基本情况!B10="北京市"),C6*F31/(1+'数据-取费表'!C42),C32+C33+C34),0)</f>
        <v>0</v>
      </c>
      <c r="D31" s="1344" t="s">
        <v>720</v>
      </c>
      <c r="E31" s="134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IF(项目基本情况!B11="自然人","——",ROUND(F34*F35,0))</f>
        <v>0</v>
      </c>
      <c r="D34" s="324" t="s">
        <v>731</v>
      </c>
      <c r="E34" s="302" t="s">
        <v>732</v>
      </c>
      <c r="F34" s="325">
        <f>'数据-取费表'!B52</f>
        <v>0</v>
      </c>
      <c r="G34" s="1383"/>
      <c r="H34" s="2689"/>
      <c r="I34" s="1397"/>
      <c r="J34" s="1398"/>
      <c r="K34" s="2694"/>
      <c r="L34" s="2695"/>
      <c r="M34" s="2695"/>
    </row>
    <row r="35" spans="1:18" ht="18" customHeight="1">
      <c r="A35" s="1103"/>
      <c r="B35" s="1101"/>
      <c r="C35" s="26"/>
      <c r="D35" s="327"/>
      <c r="E35" s="302" t="s">
        <v>736</v>
      </c>
      <c r="F35" s="303">
        <f ca="1">INDIRECT("'数据-取费表'!r"&amp;$G$1)</f>
        <v>0</v>
      </c>
      <c r="G35" s="1383"/>
      <c r="H35" s="2689"/>
      <c r="I35" s="1397"/>
      <c r="J35" s="1398"/>
      <c r="K35" s="2693"/>
      <c r="L35" s="2692"/>
      <c r="M35" s="2692"/>
    </row>
    <row r="36" spans="1:18" ht="18" customHeight="1">
      <c r="A36" s="1102" t="s">
        <v>402</v>
      </c>
      <c r="B36" s="302" t="s">
        <v>738</v>
      </c>
      <c r="C36" s="21">
        <f ca="1">ROUND(C29*F36,0)</f>
        <v>0</v>
      </c>
      <c r="D36" s="1343" t="s">
        <v>771</v>
      </c>
      <c r="E36" s="302" t="s">
        <v>712</v>
      </c>
      <c r="F36" s="328">
        <f ca="1">INDIRECT("'数据-取费表'!Ak"&amp;$G$1)</f>
        <v>0</v>
      </c>
      <c r="G36" s="1383"/>
      <c r="H36" s="2692"/>
      <c r="I36" s="1397"/>
      <c r="J36" s="1398"/>
      <c r="K36" s="2536"/>
      <c r="L36" s="2692"/>
      <c r="M36" s="2692"/>
    </row>
    <row r="37" spans="1:18" ht="18" customHeight="1">
      <c r="A37" s="982" t="s">
        <v>437</v>
      </c>
      <c r="B37" s="302" t="s">
        <v>742</v>
      </c>
      <c r="C37" s="21">
        <f ca="1">ROUND(C13*F37,0)</f>
        <v>0</v>
      </c>
      <c r="D37" s="1343" t="s">
        <v>743</v>
      </c>
      <c r="E37" s="302" t="s">
        <v>744</v>
      </c>
      <c r="F37" s="330">
        <f ca="1">INDIRECT("'数据-取费表'!Al"&amp;$G$1)</f>
        <v>0</v>
      </c>
      <c r="G37" s="1383"/>
      <c r="H37" s="2692"/>
      <c r="I37" s="1397"/>
      <c r="J37" s="1398"/>
      <c r="K37" s="2536"/>
      <c r="L37" s="2692"/>
      <c r="M37" s="2692"/>
    </row>
    <row r="38" spans="1:18" ht="18" customHeight="1" thickBot="1">
      <c r="A38" s="1089" t="s">
        <v>684</v>
      </c>
      <c r="B38" s="1090" t="s">
        <v>728</v>
      </c>
      <c r="C38" s="1091">
        <f ca="1">ROUND(C5*F38,0)</f>
        <v>0</v>
      </c>
      <c r="D38" s="1092" t="s">
        <v>748</v>
      </c>
      <c r="E38" s="1090" t="s">
        <v>744</v>
      </c>
      <c r="F38" s="1086">
        <f ca="1">INDIRECT("'数据-取费表'!Am"&amp;$G$1)</f>
        <v>0</v>
      </c>
      <c r="G38" s="1383"/>
      <c r="H38" s="2692"/>
      <c r="I38" s="1397"/>
      <c r="J38" s="1398"/>
      <c r="K38" s="2696"/>
      <c r="L38" s="2692"/>
      <c r="M38" s="2692"/>
    </row>
    <row r="39" spans="1:18" ht="24.6" customHeight="1" thickTop="1">
      <c r="A39" s="1079" t="s">
        <v>394</v>
      </c>
      <c r="B39" s="1094" t="s">
        <v>772</v>
      </c>
      <c r="C39" s="310">
        <f ca="1">C5-C30</f>
        <v>0</v>
      </c>
      <c r="D39" s="1095" t="s">
        <v>773</v>
      </c>
      <c r="E39" s="1096"/>
      <c r="F39" s="1097"/>
      <c r="G39" s="1383"/>
      <c r="H39" s="2692"/>
      <c r="I39" s="1397"/>
      <c r="J39" s="1398"/>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6"/>
      <c r="L41" s="1190"/>
      <c r="M41" s="1190"/>
    </row>
    <row r="42" spans="1:18" ht="18" customHeight="1">
      <c r="A42" s="308"/>
      <c r="B42" s="309"/>
      <c r="C42" s="310"/>
      <c r="D42" s="327"/>
      <c r="E42" s="302" t="s">
        <v>766</v>
      </c>
      <c r="F42" s="312">
        <f ca="1">INDIRECT("'数据-取费表'!v"&amp;$G$1)</f>
        <v>0</v>
      </c>
      <c r="G42" s="1383"/>
      <c r="H42" s="1190"/>
      <c r="I42" s="1397"/>
      <c r="J42" s="1398"/>
      <c r="K42" s="2536"/>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3423" t="s">
        <v>3348</v>
      </c>
      <c r="B45" s="1399"/>
      <c r="C45" s="1471" t="e">
        <f ca="1">ROUND((C68-C40)/10000,4)</f>
        <v>#DIV/0!</v>
      </c>
      <c r="D45" s="3424" t="s">
        <v>3349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f ca="1">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3405</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t="s">
        <v>3406</v>
      </c>
      <c r="K48" s="1422" t="s">
        <v>820</v>
      </c>
      <c r="L48" s="1423">
        <f ca="1">INDIRECT("'数据-取费表'!f"&amp;$G$1)</f>
        <v>0</v>
      </c>
      <c r="O48" s="1417" t="s">
        <v>404</v>
      </c>
      <c r="P48" s="1418" t="s">
        <v>821</v>
      </c>
      <c r="Q48" s="1419">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f>'数据-取费表'!N18</f>
        <v>2023</v>
      </c>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60</v>
      </c>
      <c r="K50" s="1422" t="s">
        <v>827</v>
      </c>
      <c r="L50" s="1426"/>
      <c r="M50" s="1429"/>
      <c r="O50" s="1427" t="s">
        <v>406</v>
      </c>
      <c r="P50" s="1418" t="s">
        <v>828</v>
      </c>
      <c r="Q50" s="1430">
        <f ca="1">J58</f>
        <v>1</v>
      </c>
      <c r="R50" s="1419"/>
    </row>
    <row r="51" spans="1:18" s="1383" customFormat="1" ht="13.5" thickBot="1">
      <c r="A51" s="977"/>
      <c r="B51" s="979"/>
      <c r="C51" s="980"/>
      <c r="D51" s="953"/>
      <c r="E51" s="981" t="s">
        <v>698</v>
      </c>
      <c r="F51" s="303">
        <f ca="1">F8</f>
        <v>0</v>
      </c>
      <c r="I51" s="1431" t="s">
        <v>829</v>
      </c>
      <c r="J51" s="1432">
        <f>IF(J49="",J50,J49+J50-YEAR('数据-取费表'!B2))</f>
        <v>60</v>
      </c>
      <c r="K51" s="1433" t="s">
        <v>830</v>
      </c>
      <c r="L51" s="1434">
        <f ca="1">ROUND(-PV(INDIRECT("'数据-取费表'!h"&amp;$G$1),J51,(C39-C13*C76),0),0)</f>
        <v>0</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'收益法-长租公寓'!J52</f>
        <v>7.5000000000000011E-2</v>
      </c>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5">
        <f ca="1">IF(M47="住宅",IF(D1="——",MAX(J51,L48),MAX(J51,L48-'数据-取费表'!B24)),IF(D1="——",MIN(J51,L48),MIN(J51,L48-'数据-取费表'!B24)))</f>
        <v>0</v>
      </c>
      <c r="K53" s="3719" t="s">
        <v>837</v>
      </c>
      <c r="L53" s="3720"/>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1</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t="s">
        <v>3407</v>
      </c>
      <c r="K56" s="1420" t="s">
        <v>843</v>
      </c>
      <c r="L56" s="1423" t="str">
        <f ca="1">IF(L48&lt;J51,"——",L48-J51)</f>
        <v>——</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60</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0</v>
      </c>
      <c r="D58" s="960" t="s">
        <v>715</v>
      </c>
      <c r="E58" s="961"/>
      <c r="F58" s="962"/>
      <c r="I58" s="1454" t="s">
        <v>848</v>
      </c>
      <c r="J58" s="1456">
        <f ca="1">IF(J55&lt;0.4,0.4,J55)</f>
        <v>1</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f ca="1">L60</f>
        <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2430</v>
      </c>
      <c r="B1" s="2824"/>
      <c r="C1" s="2836"/>
      <c r="D1" s="2836"/>
      <c r="E1" s="2825"/>
      <c r="F1" s="2826"/>
      <c r="G1" s="2827"/>
      <c r="J1" s="2830" t="s">
        <v>2309</v>
      </c>
      <c r="K1" s="2831"/>
      <c r="L1" s="2831"/>
      <c r="M1" s="2831"/>
      <c r="N1" s="2831"/>
      <c r="O1" s="2831"/>
      <c r="P1" s="2831"/>
      <c r="Q1" s="2831"/>
      <c r="R1" s="2832"/>
      <c r="S1" s="2833"/>
      <c r="T1" s="2833"/>
      <c r="U1" s="2833"/>
    </row>
    <row r="2" spans="1:22" s="2845" customFormat="1" ht="13.15" customHeight="1">
      <c r="A2" s="1384" t="s">
        <v>2310</v>
      </c>
      <c r="B2" s="2835" t="e">
        <f>IF(D2="——",C40,C40+E2)</f>
        <v>#DIV/0!</v>
      </c>
      <c r="C2" s="2836" t="s">
        <v>2311</v>
      </c>
      <c r="D2" s="3435" t="s">
        <v>3355</v>
      </c>
      <c r="E2" s="3436"/>
      <c r="F2" s="2838"/>
      <c r="G2" s="2839"/>
      <c r="H2" s="2840"/>
      <c r="I2" s="2841"/>
      <c r="J2" s="3730" t="s">
        <v>2312</v>
      </c>
      <c r="K2" s="3731"/>
      <c r="L2" s="2842" t="s">
        <v>2313</v>
      </c>
      <c r="M2" s="2842" t="s">
        <v>2314</v>
      </c>
      <c r="N2" s="2842" t="s">
        <v>2315</v>
      </c>
      <c r="O2" s="2842" t="s">
        <v>2316</v>
      </c>
      <c r="P2" s="2842" t="s">
        <v>2317</v>
      </c>
      <c r="Q2" s="2843" t="s">
        <v>2318</v>
      </c>
      <c r="R2" s="2844" t="s">
        <v>2319</v>
      </c>
      <c r="S2" s="2833"/>
      <c r="T2" s="2833"/>
      <c r="U2" s="2833"/>
      <c r="V2" s="2841"/>
    </row>
    <row r="3" spans="1:22" s="2845" customFormat="1" ht="13.15" customHeight="1">
      <c r="A3" s="2846" t="s">
        <v>2320</v>
      </c>
      <c r="B3" s="2847" t="e">
        <f>ROUND(B2*10000/B4,0)</f>
        <v>#DIV/0!</v>
      </c>
      <c r="C3" s="2836" t="s">
        <v>2321</v>
      </c>
      <c r="D3" s="2836"/>
      <c r="E3" s="2837"/>
      <c r="F3" s="2838"/>
      <c r="G3" s="2839"/>
      <c r="H3" s="2840"/>
      <c r="I3" s="2841"/>
      <c r="J3" s="3732" t="s">
        <v>2322</v>
      </c>
      <c r="K3" s="3733"/>
      <c r="L3" s="2848"/>
      <c r="M3" s="2848"/>
      <c r="N3" s="2848"/>
      <c r="O3" s="2848"/>
      <c r="P3" s="2848"/>
      <c r="Q3" s="2849"/>
      <c r="R3" s="2850">
        <f>SUM(L3:Q3)</f>
        <v>0</v>
      </c>
      <c r="S3" s="2833"/>
      <c r="T3" s="2833"/>
      <c r="U3" s="2833"/>
      <c r="V3" s="2841"/>
    </row>
    <row r="4" spans="1:22" s="2845" customFormat="1" ht="13.15" customHeight="1">
      <c r="A4" s="2851" t="s">
        <v>2323</v>
      </c>
      <c r="B4" s="2852"/>
      <c r="C4" s="2836"/>
      <c r="D4" s="2836"/>
      <c r="E4" s="2837"/>
      <c r="F4" s="2838"/>
      <c r="G4" s="2839"/>
      <c r="H4" s="2840"/>
      <c r="I4" s="2841"/>
      <c r="J4" s="3732" t="s">
        <v>2324</v>
      </c>
      <c r="K4" s="3733"/>
      <c r="L4" s="2853"/>
      <c r="M4" s="2853"/>
      <c r="N4" s="2853"/>
      <c r="O4" s="2853"/>
      <c r="P4" s="2853"/>
      <c r="Q4" s="2854"/>
      <c r="R4" s="2855">
        <f>SUM(L4:Q4)</f>
        <v>0</v>
      </c>
      <c r="S4" s="2833"/>
      <c r="T4" s="2833"/>
      <c r="U4" s="2833"/>
      <c r="V4" s="2841"/>
    </row>
    <row r="5" spans="1:22" s="2845" customFormat="1" ht="13.15" customHeight="1" thickBot="1">
      <c r="A5" s="2856" t="s">
        <v>2325</v>
      </c>
      <c r="B5" s="2857"/>
      <c r="C5" s="2836"/>
      <c r="D5" s="2858"/>
      <c r="E5" s="2838"/>
      <c r="F5" s="2838"/>
      <c r="G5" s="2839"/>
      <c r="H5" s="2840"/>
      <c r="I5" s="2841"/>
      <c r="J5" s="2859" t="s">
        <v>2326</v>
      </c>
      <c r="K5" s="2860"/>
      <c r="L5" s="2860"/>
      <c r="M5" s="2861"/>
      <c r="N5" s="2861"/>
      <c r="O5" s="2861"/>
      <c r="P5" s="2861"/>
      <c r="Q5" s="2861"/>
      <c r="R5" s="2844">
        <f>SUM(R14,R19,R24,R25,R27,R28)</f>
        <v>0</v>
      </c>
      <c r="S5" s="2833"/>
      <c r="T5" s="2833" t="s">
        <v>2327</v>
      </c>
      <c r="U5" s="2833" t="e">
        <f>ROUND(R5*10000/365/R3,1)</f>
        <v>#DIV/0!</v>
      </c>
      <c r="V5" s="2841"/>
    </row>
    <row r="6" spans="1:22" s="2845" customFormat="1" ht="13.15" customHeight="1" thickBot="1">
      <c r="A6" s="3738" t="s">
        <v>2328</v>
      </c>
      <c r="B6" s="3739"/>
      <c r="C6" s="3740"/>
      <c r="D6" s="2862"/>
      <c r="E6" s="2863"/>
      <c r="F6" s="2864"/>
      <c r="G6" s="2865"/>
      <c r="H6" s="2840"/>
      <c r="I6" s="2841"/>
      <c r="J6" s="3724">
        <v>1</v>
      </c>
      <c r="K6" s="3725" t="s">
        <v>2329</v>
      </c>
      <c r="L6" s="2866" t="s">
        <v>2330</v>
      </c>
      <c r="M6" s="2867" t="s">
        <v>2331</v>
      </c>
      <c r="N6" s="2867" t="s">
        <v>2332</v>
      </c>
      <c r="O6" s="2867" t="s">
        <v>2333</v>
      </c>
      <c r="P6" s="2867" t="s">
        <v>2334</v>
      </c>
      <c r="Q6" s="2867" t="s">
        <v>2335</v>
      </c>
      <c r="R6" s="2850" t="s">
        <v>2336</v>
      </c>
      <c r="S6" s="2833"/>
      <c r="T6" s="2833" t="s">
        <v>2337</v>
      </c>
      <c r="U6" s="2833"/>
      <c r="V6" s="2841"/>
    </row>
    <row r="7" spans="1:22" s="2845" customFormat="1" ht="13.15" customHeight="1">
      <c r="A7" s="2868" t="s">
        <v>2338</v>
      </c>
      <c r="B7" s="2869"/>
      <c r="C7" s="2870"/>
      <c r="D7" s="2871">
        <f>SUM(D9,D10,D11,D17,0)</f>
        <v>0</v>
      </c>
      <c r="E7" s="2872" t="e">
        <f>E9+E10+E11+E17</f>
        <v>#DIV/0!</v>
      </c>
      <c r="F7" s="2873"/>
      <c r="G7" s="2874"/>
      <c r="H7" s="2840"/>
      <c r="I7" s="2841"/>
      <c r="J7" s="3724"/>
      <c r="K7" s="3726"/>
      <c r="L7" s="2875" t="s">
        <v>2339</v>
      </c>
      <c r="M7" s="2876"/>
      <c r="N7" s="2852"/>
      <c r="O7" s="2877"/>
      <c r="P7" s="2877"/>
      <c r="Q7" s="2878">
        <v>365</v>
      </c>
      <c r="R7" s="2879">
        <f>ROUND(M7*N7*O7*P7*Q7/10000,0)</f>
        <v>0</v>
      </c>
      <c r="S7" s="2833"/>
      <c r="T7" s="2833" t="s">
        <v>2340</v>
      </c>
      <c r="U7" s="2833"/>
      <c r="V7" s="2841"/>
    </row>
    <row r="8" spans="1:22" s="2845" customFormat="1" ht="13.15" customHeight="1">
      <c r="A8" s="2880" t="s">
        <v>2341</v>
      </c>
      <c r="B8" s="3741" t="s">
        <v>2342</v>
      </c>
      <c r="C8" s="3742"/>
      <c r="D8" s="2881" t="s">
        <v>2343</v>
      </c>
      <c r="E8" s="2882" t="s">
        <v>2344</v>
      </c>
      <c r="F8" s="2883" t="s">
        <v>2345</v>
      </c>
      <c r="G8" s="2884"/>
      <c r="H8" s="2840"/>
      <c r="I8" s="2841"/>
      <c r="J8" s="3724"/>
      <c r="K8" s="3726"/>
      <c r="L8" s="2875" t="s">
        <v>2346</v>
      </c>
      <c r="M8" s="2876"/>
      <c r="N8" s="2852"/>
      <c r="O8" s="2877"/>
      <c r="P8" s="2877"/>
      <c r="Q8" s="2878">
        <v>365</v>
      </c>
      <c r="R8" s="2879">
        <f t="shared" ref="R8:R13" si="0">ROUND(M8*N8*O8*P8*Q8/10000,0)</f>
        <v>0</v>
      </c>
      <c r="S8" s="2833"/>
      <c r="T8" s="2833" t="s">
        <v>2347</v>
      </c>
      <c r="U8" s="2833"/>
      <c r="V8" s="2841"/>
    </row>
    <row r="9" spans="1:22" s="2845" customFormat="1" ht="13.15" customHeight="1">
      <c r="A9" s="2880">
        <v>1</v>
      </c>
      <c r="B9" s="3741" t="s">
        <v>2348</v>
      </c>
      <c r="C9" s="3742"/>
      <c r="D9" s="2881">
        <f>ROUND(D6*E9,0)</f>
        <v>0</v>
      </c>
      <c r="E9" s="2885"/>
      <c r="F9" s="2886" t="s">
        <v>2349</v>
      </c>
      <c r="G9" s="2865"/>
      <c r="H9" s="2840"/>
      <c r="I9" s="2841"/>
      <c r="J9" s="3724"/>
      <c r="K9" s="3726"/>
      <c r="L9" s="2875" t="s">
        <v>2350</v>
      </c>
      <c r="M9" s="2876"/>
      <c r="N9" s="2852"/>
      <c r="O9" s="2877"/>
      <c r="P9" s="2877"/>
      <c r="Q9" s="2878">
        <v>365</v>
      </c>
      <c r="R9" s="2879">
        <f t="shared" si="0"/>
        <v>0</v>
      </c>
      <c r="S9" s="2833"/>
      <c r="T9" s="2833"/>
      <c r="U9" s="2833"/>
      <c r="V9" s="2841"/>
    </row>
    <row r="10" spans="1:22" s="2845" customFormat="1" ht="13.15" customHeight="1">
      <c r="A10" s="2880">
        <v>2</v>
      </c>
      <c r="B10" s="3741" t="s">
        <v>2351</v>
      </c>
      <c r="C10" s="3742"/>
      <c r="D10" s="2881">
        <f>ROUND(D6*E10,0)</f>
        <v>0</v>
      </c>
      <c r="E10" s="2885"/>
      <c r="F10" s="2886" t="s">
        <v>2352</v>
      </c>
      <c r="G10" s="2865"/>
      <c r="H10" s="2840"/>
      <c r="I10" s="2841"/>
      <c r="J10" s="3724"/>
      <c r="K10" s="3726"/>
      <c r="L10" s="2875" t="s">
        <v>2353</v>
      </c>
      <c r="M10" s="2876"/>
      <c r="N10" s="2852"/>
      <c r="O10" s="2877"/>
      <c r="P10" s="2877"/>
      <c r="Q10" s="2878">
        <v>365</v>
      </c>
      <c r="R10" s="2879">
        <f t="shared" si="0"/>
        <v>0</v>
      </c>
      <c r="S10" s="2833"/>
      <c r="T10" s="2833"/>
      <c r="U10" s="2833"/>
      <c r="V10" s="2841"/>
    </row>
    <row r="11" spans="1:22" s="2845" customFormat="1" ht="13.15" customHeight="1">
      <c r="A11" s="2880">
        <v>3</v>
      </c>
      <c r="B11" s="3741" t="s">
        <v>2354</v>
      </c>
      <c r="C11" s="3742"/>
      <c r="D11" s="2881">
        <f>D12+D14+D15+D16</f>
        <v>0</v>
      </c>
      <c r="E11" s="2887" t="e">
        <f>D11/D6</f>
        <v>#DIV/0!</v>
      </c>
      <c r="F11" s="2883"/>
      <c r="G11" s="2884"/>
      <c r="H11" s="2840"/>
      <c r="I11" s="2841"/>
      <c r="J11" s="3724"/>
      <c r="K11" s="3726"/>
      <c r="L11" s="2875" t="s">
        <v>2355</v>
      </c>
      <c r="M11" s="2876"/>
      <c r="N11" s="2852"/>
      <c r="O11" s="2877"/>
      <c r="P11" s="2877"/>
      <c r="Q11" s="2878">
        <v>365</v>
      </c>
      <c r="R11" s="2879">
        <f t="shared" si="0"/>
        <v>0</v>
      </c>
      <c r="S11" s="2833"/>
      <c r="T11" s="2833"/>
      <c r="U11" s="2833"/>
      <c r="V11" s="2841"/>
    </row>
    <row r="12" spans="1:22" s="2845" customFormat="1" ht="13.15" customHeight="1">
      <c r="A12" s="2888" t="s">
        <v>2356</v>
      </c>
      <c r="B12" s="3734" t="s">
        <v>2357</v>
      </c>
      <c r="C12" s="3735"/>
      <c r="D12" s="2889">
        <f>ROUND(D13*1.2%*(1-30%),0)</f>
        <v>0</v>
      </c>
      <c r="E12" s="2890">
        <v>1.2E-2</v>
      </c>
      <c r="F12" s="2883" t="s">
        <v>2358</v>
      </c>
      <c r="G12" s="2884"/>
      <c r="H12" s="2840"/>
      <c r="I12" s="2841"/>
      <c r="J12" s="3724"/>
      <c r="K12" s="3726"/>
      <c r="L12" s="2875" t="s">
        <v>2359</v>
      </c>
      <c r="M12" s="2876"/>
      <c r="N12" s="2852"/>
      <c r="O12" s="2877"/>
      <c r="P12" s="2877"/>
      <c r="Q12" s="2878">
        <v>365</v>
      </c>
      <c r="R12" s="2879">
        <f t="shared" si="0"/>
        <v>0</v>
      </c>
      <c r="S12" s="2833"/>
      <c r="T12" s="2833"/>
      <c r="U12" s="2833"/>
      <c r="V12" s="2841"/>
    </row>
    <row r="13" spans="1:22" s="2845" customFormat="1" ht="13.15" customHeight="1">
      <c r="A13" s="2888"/>
      <c r="B13" s="2891"/>
      <c r="C13" s="2892" t="s">
        <v>2360</v>
      </c>
      <c r="D13" s="2893"/>
      <c r="E13" s="2894"/>
      <c r="F13" s="2883"/>
      <c r="G13" s="2884"/>
      <c r="H13" s="2840"/>
      <c r="I13" s="2841"/>
      <c r="J13" s="3724"/>
      <c r="K13" s="3726"/>
      <c r="L13" s="2875" t="s">
        <v>2361</v>
      </c>
      <c r="M13" s="2876"/>
      <c r="N13" s="2852"/>
      <c r="O13" s="2877"/>
      <c r="P13" s="2877"/>
      <c r="Q13" s="2878">
        <v>365</v>
      </c>
      <c r="R13" s="2879">
        <f t="shared" si="0"/>
        <v>0</v>
      </c>
      <c r="S13" s="2833"/>
      <c r="T13" s="2833"/>
      <c r="U13" s="2833"/>
      <c r="V13" s="2841"/>
    </row>
    <row r="14" spans="1:22" s="2845" customFormat="1" ht="13.15" customHeight="1">
      <c r="A14" s="2888" t="s">
        <v>2362</v>
      </c>
      <c r="B14" s="3734" t="s">
        <v>2363</v>
      </c>
      <c r="C14" s="3735"/>
      <c r="D14" s="2889">
        <f>ROUND(E14*B5/10000,0)</f>
        <v>0</v>
      </c>
      <c r="E14" s="2878"/>
      <c r="F14" s="2883" t="s">
        <v>2364</v>
      </c>
      <c r="G14" s="2884"/>
      <c r="H14" s="2840"/>
      <c r="I14" s="2841"/>
      <c r="J14" s="3724"/>
      <c r="K14" s="3727"/>
      <c r="L14" s="2895" t="s">
        <v>2365</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2366</v>
      </c>
      <c r="B15" s="3734" t="s">
        <v>2367</v>
      </c>
      <c r="C15" s="3735"/>
      <c r="D15" s="2889">
        <f>ROUND(D6*E15,0)</f>
        <v>0</v>
      </c>
      <c r="E15" s="2890">
        <v>5.5E-2</v>
      </c>
      <c r="F15" s="2883" t="s">
        <v>2368</v>
      </c>
      <c r="G15" s="2865"/>
      <c r="H15" s="2840"/>
      <c r="I15" s="2841"/>
      <c r="J15" s="3724">
        <v>2</v>
      </c>
      <c r="K15" s="3725" t="s">
        <v>2369</v>
      </c>
      <c r="L15" s="2875" t="s">
        <v>2370</v>
      </c>
      <c r="M15" s="2876" t="s">
        <v>2371</v>
      </c>
      <c r="N15" s="2876" t="s">
        <v>2372</v>
      </c>
      <c r="O15" s="2877" t="s">
        <v>2373</v>
      </c>
      <c r="P15" s="2877" t="s">
        <v>2335</v>
      </c>
      <c r="Q15" s="2852" t="s">
        <v>2374</v>
      </c>
      <c r="R15" s="2899" t="s">
        <v>2336</v>
      </c>
      <c r="S15" s="2833"/>
      <c r="T15" s="2833"/>
      <c r="U15" s="2833"/>
      <c r="V15" s="2841"/>
    </row>
    <row r="16" spans="1:22" s="2845" customFormat="1" ht="13.15" customHeight="1">
      <c r="A16" s="2888" t="s">
        <v>2375</v>
      </c>
      <c r="B16" s="3734" t="s">
        <v>2376</v>
      </c>
      <c r="C16" s="3735"/>
      <c r="D16" s="2900">
        <f>D6*E16</f>
        <v>0</v>
      </c>
      <c r="E16" s="2901"/>
      <c r="F16" s="2886" t="s">
        <v>2377</v>
      </c>
      <c r="G16" s="2865"/>
      <c r="H16" s="2840"/>
      <c r="I16" s="2841"/>
      <c r="J16" s="3724"/>
      <c r="K16" s="3726"/>
      <c r="L16" s="2875" t="s">
        <v>2378</v>
      </c>
      <c r="M16" s="2876"/>
      <c r="N16" s="2876"/>
      <c r="O16" s="2877"/>
      <c r="P16" s="2878">
        <v>365</v>
      </c>
      <c r="Q16" s="2852"/>
      <c r="R16" s="2899">
        <f>ROUND(M16*N16*O16*P16/10000,0)</f>
        <v>0</v>
      </c>
      <c r="S16" s="2833"/>
      <c r="T16" s="2833"/>
      <c r="U16" s="2833"/>
      <c r="V16" s="2841"/>
    </row>
    <row r="17" spans="1:22" s="2845" customFormat="1" ht="13.15" customHeight="1" thickBot="1">
      <c r="A17" s="2902">
        <v>4</v>
      </c>
      <c r="B17" s="3736" t="s">
        <v>2379</v>
      </c>
      <c r="C17" s="3737"/>
      <c r="D17" s="2903">
        <f>ROUND(D6*E17,0)</f>
        <v>0</v>
      </c>
      <c r="E17" s="2904"/>
      <c r="F17" s="2905" t="s">
        <v>2380</v>
      </c>
      <c r="G17" s="2865"/>
      <c r="H17" s="2840"/>
      <c r="I17" s="2841"/>
      <c r="J17" s="3724"/>
      <c r="K17" s="3726"/>
      <c r="L17" s="2875" t="s">
        <v>2381</v>
      </c>
      <c r="M17" s="2876"/>
      <c r="N17" s="2876"/>
      <c r="O17" s="2877"/>
      <c r="P17" s="2878">
        <v>365</v>
      </c>
      <c r="Q17" s="2852"/>
      <c r="R17" s="2899">
        <f>ROUND(M17*N17*O17*P17/10000,0)</f>
        <v>0</v>
      </c>
      <c r="S17" s="2833"/>
      <c r="T17" s="2833"/>
      <c r="U17" s="2833"/>
      <c r="V17" s="2841"/>
    </row>
    <row r="18" spans="1:22" s="2845" customFormat="1" ht="13.15" customHeight="1" thickBot="1">
      <c r="A18" s="2868" t="s">
        <v>2382</v>
      </c>
      <c r="B18" s="2869"/>
      <c r="C18" s="2869"/>
      <c r="D18" s="2906">
        <f>ROUND(D6*E18,0)</f>
        <v>0</v>
      </c>
      <c r="E18" s="2907"/>
      <c r="F18" s="2908" t="s">
        <v>2383</v>
      </c>
      <c r="G18" s="2865"/>
      <c r="H18" s="2840"/>
      <c r="I18" s="2841"/>
      <c r="J18" s="3724"/>
      <c r="K18" s="3726"/>
      <c r="L18" s="2875" t="s">
        <v>2384</v>
      </c>
      <c r="M18" s="2876"/>
      <c r="N18" s="2876"/>
      <c r="O18" s="2877"/>
      <c r="P18" s="2878">
        <v>365</v>
      </c>
      <c r="Q18" s="2852"/>
      <c r="R18" s="2899">
        <f>ROUND(M18*N18*O18*P18/10000,0)</f>
        <v>0</v>
      </c>
      <c r="S18" s="2833"/>
      <c r="T18" s="2833"/>
      <c r="U18" s="2833"/>
      <c r="V18" s="2841"/>
    </row>
    <row r="19" spans="1:22" s="2845" customFormat="1" ht="13.15" customHeight="1" thickBot="1">
      <c r="A19" s="2909" t="s">
        <v>2385</v>
      </c>
      <c r="B19" s="2863"/>
      <c r="C19" s="2863"/>
      <c r="D19" s="2863"/>
      <c r="E19" s="2863"/>
      <c r="F19" s="2864"/>
      <c r="G19" s="2884"/>
      <c r="H19" s="2840"/>
      <c r="I19" s="2841"/>
      <c r="J19" s="3724"/>
      <c r="K19" s="3727"/>
      <c r="L19" s="2895" t="s">
        <v>2365</v>
      </c>
      <c r="M19" s="2896"/>
      <c r="N19" s="2896">
        <f>SUM(N16:N18)</f>
        <v>0</v>
      </c>
      <c r="O19" s="2897"/>
      <c r="P19" s="2910" t="s">
        <v>2429</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724">
        <v>3</v>
      </c>
      <c r="K20" s="3725" t="s">
        <v>2386</v>
      </c>
      <c r="L20" s="2875" t="s">
        <v>2387</v>
      </c>
      <c r="M20" s="2876" t="s">
        <v>2388</v>
      </c>
      <c r="N20" s="2913" t="s">
        <v>2389</v>
      </c>
      <c r="O20" s="2877" t="s">
        <v>2390</v>
      </c>
      <c r="P20" s="2878" t="s">
        <v>2391</v>
      </c>
      <c r="Q20" s="2852" t="s">
        <v>2392</v>
      </c>
      <c r="R20" s="2899" t="s">
        <v>2393</v>
      </c>
      <c r="S20" s="2914"/>
      <c r="T20" s="2914"/>
      <c r="U20" s="2914"/>
      <c r="V20" s="2841"/>
    </row>
    <row r="21" spans="1:22" s="2845" customFormat="1" ht="13.15" customHeight="1">
      <c r="A21" s="2868"/>
      <c r="B21" s="2869"/>
      <c r="C21" s="2915" t="s">
        <v>2394</v>
      </c>
      <c r="D21" s="2916" t="s">
        <v>2395</v>
      </c>
      <c r="E21" s="2917" t="s">
        <v>2396</v>
      </c>
      <c r="F21" s="2912"/>
      <c r="G21" s="2884"/>
      <c r="H21" s="2840"/>
      <c r="I21" s="2841"/>
      <c r="J21" s="3724"/>
      <c r="K21" s="3726"/>
      <c r="L21" s="2875" t="s">
        <v>2397</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2398</v>
      </c>
      <c r="D22" s="2920" t="s">
        <v>2399</v>
      </c>
      <c r="E22" s="2921" t="s">
        <v>2400</v>
      </c>
      <c r="F22" s="2912"/>
      <c r="G22" s="2922"/>
      <c r="H22" s="2840"/>
      <c r="I22" s="2841"/>
      <c r="J22" s="3724"/>
      <c r="K22" s="3726"/>
      <c r="L22" s="2875" t="s">
        <v>2401</v>
      </c>
      <c r="M22" s="2876"/>
      <c r="N22" s="2876"/>
      <c r="O22" s="2877"/>
      <c r="P22" s="2878">
        <v>365</v>
      </c>
      <c r="Q22" s="2852"/>
      <c r="R22" s="2918">
        <f>ROUND(M22*N22*O22*P22/10000,0)</f>
        <v>0</v>
      </c>
      <c r="S22" s="2914"/>
      <c r="T22" s="2914"/>
      <c r="U22" s="2914"/>
      <c r="V22" s="2841"/>
    </row>
    <row r="23" spans="1:22" s="2845" customFormat="1" ht="13.15" customHeight="1">
      <c r="A23" s="2923">
        <v>1</v>
      </c>
      <c r="B23" s="2924" t="s">
        <v>2402</v>
      </c>
      <c r="C23" s="2925">
        <f>D6</f>
        <v>0</v>
      </c>
      <c r="D23" s="2926">
        <f>C23*(1+D24)</f>
        <v>0</v>
      </c>
      <c r="E23" s="2927">
        <f>D23*(1+E24)</f>
        <v>0</v>
      </c>
      <c r="F23" s="2928"/>
      <c r="G23" s="2929"/>
      <c r="H23" s="2840"/>
      <c r="I23" s="2841"/>
      <c r="J23" s="3724"/>
      <c r="K23" s="3726"/>
      <c r="L23" s="2875" t="s">
        <v>2403</v>
      </c>
      <c r="M23" s="2876"/>
      <c r="N23" s="2876"/>
      <c r="O23" s="2877"/>
      <c r="P23" s="2878">
        <v>365</v>
      </c>
      <c r="Q23" s="2852"/>
      <c r="R23" s="2918">
        <f>ROUND(M23*N23*O23*P23/10000,0)</f>
        <v>0</v>
      </c>
      <c r="S23" s="2833"/>
      <c r="T23" s="2833"/>
      <c r="U23" s="2833"/>
      <c r="V23" s="2841"/>
    </row>
    <row r="24" spans="1:22" s="2845" customFormat="1" ht="13.15" customHeight="1">
      <c r="A24" s="2930"/>
      <c r="B24" s="2931" t="s">
        <v>2404</v>
      </c>
      <c r="C24" s="2932"/>
      <c r="D24" s="2933"/>
      <c r="E24" s="2934"/>
      <c r="F24" s="2935"/>
      <c r="G24" s="2929"/>
      <c r="H24" s="2840"/>
      <c r="I24" s="2841"/>
      <c r="J24" s="3724"/>
      <c r="K24" s="3727"/>
      <c r="L24" s="2895" t="s">
        <v>2365</v>
      </c>
      <c r="M24" s="2896">
        <f>SUM(M21:M23)</f>
        <v>0</v>
      </c>
      <c r="N24" s="2896"/>
      <c r="O24" s="2897"/>
      <c r="P24" s="2910" t="s">
        <v>2429</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2405</v>
      </c>
      <c r="L25" s="2938"/>
      <c r="M25" s="2938"/>
      <c r="N25" s="2938"/>
      <c r="O25" s="2938"/>
      <c r="P25" s="2939"/>
      <c r="Q25" s="2940">
        <v>0</v>
      </c>
      <c r="R25" s="2911">
        <f>ROUND(R14*Q25,0)</f>
        <v>0</v>
      </c>
      <c r="S25" s="2833"/>
      <c r="T25" s="2833"/>
      <c r="U25" s="2833"/>
      <c r="V25" s="2941"/>
    </row>
    <row r="26" spans="1:22" s="2942" customFormat="1" ht="13.15" customHeight="1">
      <c r="A26" s="2923">
        <v>2</v>
      </c>
      <c r="B26" s="2924" t="s">
        <v>2406</v>
      </c>
      <c r="C26" s="2925">
        <f>D7</f>
        <v>0</v>
      </c>
      <c r="D26" s="2926">
        <f>D23*D27</f>
        <v>0</v>
      </c>
      <c r="E26" s="2927">
        <f>E23*E27</f>
        <v>0</v>
      </c>
      <c r="F26" s="2928"/>
      <c r="G26" s="2929"/>
      <c r="H26" s="2840"/>
      <c r="I26" s="2841"/>
      <c r="J26" s="3728">
        <v>5</v>
      </c>
      <c r="K26" s="2943" t="s">
        <v>2407</v>
      </c>
      <c r="L26" s="2944"/>
      <c r="M26" s="2945"/>
      <c r="N26" s="2946" t="s">
        <v>2408</v>
      </c>
      <c r="O26" s="2946" t="s">
        <v>2409</v>
      </c>
      <c r="P26" s="2947" t="s">
        <v>2410</v>
      </c>
      <c r="Q26" s="2947" t="s">
        <v>2411</v>
      </c>
      <c r="R26" s="2850" t="s">
        <v>2336</v>
      </c>
      <c r="S26" s="2948"/>
      <c r="T26" s="2948"/>
      <c r="U26" s="2948"/>
      <c r="V26" s="2941"/>
    </row>
    <row r="27" spans="1:22" s="2845" customFormat="1" ht="13.15" customHeight="1">
      <c r="A27" s="2930"/>
      <c r="B27" s="2931" t="s">
        <v>2412</v>
      </c>
      <c r="C27" s="2949" t="e">
        <f>E7</f>
        <v>#DIV/0!</v>
      </c>
      <c r="D27" s="2933"/>
      <c r="E27" s="2934"/>
      <c r="F27" s="2935"/>
      <c r="G27" s="2929"/>
      <c r="H27" s="2950"/>
      <c r="I27" s="2941"/>
      <c r="J27" s="3729"/>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2413</v>
      </c>
      <c r="F28" s="2935"/>
      <c r="G28" s="2922"/>
      <c r="H28" s="2950"/>
      <c r="I28" s="2941"/>
      <c r="J28" s="2956">
        <v>6</v>
      </c>
      <c r="K28" s="2957" t="s">
        <v>2414</v>
      </c>
      <c r="L28" s="2958" t="s">
        <v>2415</v>
      </c>
      <c r="M28" s="2959"/>
      <c r="N28" s="2958" t="s">
        <v>2416</v>
      </c>
      <c r="O28" s="2960"/>
      <c r="P28" s="2958" t="s">
        <v>2417</v>
      </c>
      <c r="Q28" s="2961">
        <v>1.4999999999999999E-2</v>
      </c>
      <c r="R28" s="2962"/>
      <c r="S28" s="2914"/>
      <c r="T28" s="2914"/>
      <c r="U28" s="2914"/>
      <c r="V28" s="2941"/>
    </row>
    <row r="29" spans="1:22" s="2942" customFormat="1" ht="13.15" customHeight="1">
      <c r="A29" s="2923">
        <v>3</v>
      </c>
      <c r="B29" s="2924" t="s">
        <v>2418</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2412</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2419</v>
      </c>
      <c r="K31" s="2831"/>
      <c r="L31" s="2831"/>
      <c r="M31" s="2831"/>
      <c r="N31" s="2831"/>
      <c r="O31" s="2831"/>
      <c r="P31" s="2831"/>
      <c r="Q31" s="2831"/>
      <c r="R31" s="2832"/>
      <c r="S31" s="2914"/>
      <c r="T31" s="2833"/>
      <c r="U31" s="2833"/>
      <c r="V31" s="2941"/>
    </row>
    <row r="32" spans="1:22" s="2942" customFormat="1" ht="13.15" customHeight="1">
      <c r="A32" s="2923">
        <v>4</v>
      </c>
      <c r="B32" s="2924" t="s">
        <v>2420</v>
      </c>
      <c r="C32" s="2925">
        <f>C23-C26-C29</f>
        <v>0</v>
      </c>
      <c r="D32" s="2926">
        <f>D23-D26-D29</f>
        <v>0</v>
      </c>
      <c r="E32" s="2927">
        <f>E23-E26-E29</f>
        <v>0</v>
      </c>
      <c r="F32" s="2928"/>
      <c r="G32" s="2922"/>
      <c r="H32" s="2840"/>
      <c r="I32" s="2841"/>
      <c r="J32" s="3730" t="s">
        <v>2312</v>
      </c>
      <c r="K32" s="3731"/>
      <c r="L32" s="2842" t="s">
        <v>2313</v>
      </c>
      <c r="M32" s="2842" t="s">
        <v>2314</v>
      </c>
      <c r="N32" s="2842" t="s">
        <v>2315</v>
      </c>
      <c r="O32" s="2842" t="s">
        <v>2316</v>
      </c>
      <c r="P32" s="2842" t="s">
        <v>2317</v>
      </c>
      <c r="Q32" s="2843" t="s">
        <v>2318</v>
      </c>
      <c r="R32" s="2965" t="s">
        <v>2319</v>
      </c>
      <c r="S32" s="2914"/>
      <c r="T32" s="2833"/>
      <c r="U32" s="2833"/>
      <c r="V32" s="2941"/>
    </row>
    <row r="33" spans="1:23" s="2845" customFormat="1" ht="13.15" customHeight="1">
      <c r="A33" s="2923"/>
      <c r="B33" s="2924"/>
      <c r="C33" s="2925"/>
      <c r="D33" s="2966"/>
      <c r="E33" s="2967"/>
      <c r="F33" s="2928"/>
      <c r="G33" s="2922"/>
      <c r="H33" s="2950"/>
      <c r="I33" s="2941"/>
      <c r="J33" s="3732" t="s">
        <v>2322</v>
      </c>
      <c r="K33" s="3733"/>
      <c r="L33" s="2848"/>
      <c r="M33" s="2848"/>
      <c r="N33" s="2848"/>
      <c r="O33" s="2848"/>
      <c r="P33" s="2848"/>
      <c r="Q33" s="2849"/>
      <c r="R33" s="2968">
        <f>SUM(L33:Q33)</f>
        <v>0</v>
      </c>
      <c r="S33" s="2914"/>
      <c r="T33" s="2833"/>
      <c r="U33" s="2833"/>
      <c r="V33" s="2841"/>
    </row>
    <row r="34" spans="1:23" s="2845" customFormat="1" ht="13.15" customHeight="1">
      <c r="A34" s="2923">
        <v>5</v>
      </c>
      <c r="B34" s="2924" t="s">
        <v>2421</v>
      </c>
      <c r="C34" s="2969"/>
      <c r="D34" s="2970"/>
      <c r="E34" s="2971"/>
      <c r="F34" s="2928"/>
      <c r="G34" s="2922"/>
      <c r="H34" s="2950"/>
      <c r="I34" s="2941"/>
      <c r="J34" s="3732" t="s">
        <v>2324</v>
      </c>
      <c r="K34" s="3733"/>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2422</v>
      </c>
      <c r="C35" s="2973"/>
      <c r="D35" s="2974"/>
      <c r="E35" s="2975"/>
      <c r="F35" s="2928"/>
      <c r="G35" s="2976"/>
      <c r="H35" s="2840"/>
      <c r="I35" s="2941"/>
      <c r="J35" s="2859" t="s">
        <v>2326</v>
      </c>
      <c r="K35" s="2860"/>
      <c r="L35" s="2860"/>
      <c r="M35" s="2861"/>
      <c r="N35" s="2861"/>
      <c r="O35" s="2861"/>
      <c r="P35" s="2861"/>
      <c r="Q35" s="2861"/>
      <c r="R35" s="2977">
        <f>R40+R41+R43</f>
        <v>0</v>
      </c>
      <c r="S35" s="2914"/>
      <c r="T35" s="2833" t="s">
        <v>2327</v>
      </c>
      <c r="U35" s="2833"/>
      <c r="V35" s="2841"/>
    </row>
    <row r="36" spans="1:23" s="2845" customFormat="1" ht="13.15" customHeight="1" thickBot="1">
      <c r="A36" s="2923">
        <v>7</v>
      </c>
      <c r="B36" s="2978" t="s">
        <v>2423</v>
      </c>
      <c r="C36" s="2979"/>
      <c r="D36" s="2980"/>
      <c r="E36" s="2981"/>
      <c r="F36" s="2982">
        <f>C36+D36+E36</f>
        <v>0</v>
      </c>
      <c r="G36" s="2922"/>
      <c r="H36" s="2840"/>
      <c r="I36" s="2841"/>
      <c r="J36" s="3724">
        <v>1</v>
      </c>
      <c r="K36" s="3725" t="s">
        <v>2424</v>
      </c>
      <c r="L36" s="2866"/>
      <c r="M36" s="2867"/>
      <c r="N36" s="2867"/>
      <c r="O36" s="2867"/>
      <c r="P36" s="2867"/>
      <c r="Q36" s="2867"/>
      <c r="R36" s="2850" t="s">
        <v>2336</v>
      </c>
      <c r="S36" s="2914"/>
      <c r="T36" s="2833" t="s">
        <v>2337</v>
      </c>
      <c r="U36" s="2833"/>
      <c r="V36" s="2841"/>
    </row>
    <row r="37" spans="1:23" s="2845" customFormat="1" ht="13.15" customHeight="1">
      <c r="A37" s="2923"/>
      <c r="B37" s="2924"/>
      <c r="C37" s="2924"/>
      <c r="D37" s="2924"/>
      <c r="E37" s="2924"/>
      <c r="F37" s="2928"/>
      <c r="G37" s="2922"/>
      <c r="H37" s="2840"/>
      <c r="I37" s="2841"/>
      <c r="J37" s="3724"/>
      <c r="K37" s="3726"/>
      <c r="L37" s="2875"/>
      <c r="M37" s="2876"/>
      <c r="N37" s="2852"/>
      <c r="O37" s="2877"/>
      <c r="P37" s="2877"/>
      <c r="Q37" s="2878"/>
      <c r="R37" s="2879"/>
      <c r="S37" s="2914"/>
      <c r="T37" s="2833" t="s">
        <v>2340</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724"/>
      <c r="K38" s="3726"/>
      <c r="L38" s="2875"/>
      <c r="M38" s="2876"/>
      <c r="N38" s="2852"/>
      <c r="O38" s="2877"/>
      <c r="P38" s="2877"/>
      <c r="Q38" s="2878"/>
      <c r="R38" s="2879"/>
      <c r="S38" s="2914"/>
      <c r="T38" s="2833" t="s">
        <v>2347</v>
      </c>
      <c r="U38" s="2833"/>
      <c r="V38" s="2841"/>
    </row>
    <row r="39" spans="1:23" s="2845" customFormat="1" ht="13.15" customHeight="1">
      <c r="A39" s="2923">
        <v>9</v>
      </c>
      <c r="B39" s="2924" t="s">
        <v>2425</v>
      </c>
      <c r="C39" s="2889" t="e">
        <f>C38</f>
        <v>#DIV/0!</v>
      </c>
      <c r="D39" s="2924">
        <f>D38/(1+D34)^C36</f>
        <v>0</v>
      </c>
      <c r="E39" s="2924">
        <f>E38/(1+E34)^(C36+D36)</f>
        <v>0</v>
      </c>
      <c r="F39" s="2928"/>
      <c r="G39" s="2983"/>
      <c r="H39" s="2840"/>
      <c r="I39" s="2841"/>
      <c r="J39" s="3724"/>
      <c r="K39" s="3726"/>
      <c r="L39" s="2875"/>
      <c r="M39" s="2876"/>
      <c r="N39" s="2852"/>
      <c r="O39" s="2877"/>
      <c r="P39" s="2877"/>
      <c r="Q39" s="2878"/>
      <c r="R39" s="2879"/>
      <c r="S39" s="2914"/>
      <c r="T39" s="2833"/>
      <c r="U39" s="2833"/>
      <c r="V39" s="2841"/>
    </row>
    <row r="40" spans="1:23" s="2845" customFormat="1" ht="13.15" customHeight="1">
      <c r="A40" s="2984">
        <v>10</v>
      </c>
      <c r="B40" s="2924" t="s">
        <v>2426</v>
      </c>
      <c r="C40" s="2985" t="e">
        <f>C39+D39+E39</f>
        <v>#DIV/0!</v>
      </c>
      <c r="D40" s="2986"/>
      <c r="E40" s="2986"/>
      <c r="F40" s="2987"/>
      <c r="G40" s="2922"/>
      <c r="H40" s="2840"/>
      <c r="I40" s="2841"/>
      <c r="J40" s="3724"/>
      <c r="K40" s="3727"/>
      <c r="L40" s="2895" t="s">
        <v>2365</v>
      </c>
      <c r="M40" s="2896"/>
      <c r="N40" s="2896"/>
      <c r="O40" s="2897"/>
      <c r="P40" s="2897"/>
      <c r="Q40" s="2898"/>
      <c r="R40" s="2844">
        <f>SUM(R37:R39)</f>
        <v>0</v>
      </c>
      <c r="S40" s="2914"/>
      <c r="T40" s="2833"/>
      <c r="U40" s="2833"/>
      <c r="V40" s="2841"/>
    </row>
    <row r="41" spans="1:23" s="2845" customFormat="1" ht="13.15" customHeight="1" thickBot="1">
      <c r="A41" s="2988">
        <v>11</v>
      </c>
      <c r="B41" s="2989" t="s">
        <v>2427</v>
      </c>
      <c r="C41" s="2989" t="e">
        <f>ROUND(C40*10000/B4,0)</f>
        <v>#DIV/0!</v>
      </c>
      <c r="D41" s="2990"/>
      <c r="E41" s="2990"/>
      <c r="F41" s="2991"/>
      <c r="G41" s="2992"/>
      <c r="H41" s="2840"/>
      <c r="I41" s="2841"/>
      <c r="J41" s="2936">
        <v>2</v>
      </c>
      <c r="K41" s="2937" t="s">
        <v>2405</v>
      </c>
      <c r="L41" s="2938"/>
      <c r="M41" s="2938"/>
      <c r="N41" s="2938"/>
      <c r="O41" s="2938"/>
      <c r="P41" s="2939"/>
      <c r="Q41" s="2940"/>
      <c r="R41" s="2911">
        <f>ROUND(R40*Q41,0)</f>
        <v>0</v>
      </c>
      <c r="S41" s="2914"/>
      <c r="T41" s="2833"/>
      <c r="U41" s="2948"/>
      <c r="V41" s="2841"/>
    </row>
    <row r="42" spans="1:23" s="2845" customFormat="1" ht="13.15" customHeight="1">
      <c r="G42" s="2992"/>
      <c r="H42" s="2840"/>
      <c r="I42" s="2841"/>
      <c r="J42" s="3728">
        <v>3</v>
      </c>
      <c r="K42" s="2943" t="s">
        <v>2407</v>
      </c>
      <c r="L42" s="2944"/>
      <c r="M42" s="2945"/>
      <c r="N42" s="2946" t="s">
        <v>2408</v>
      </c>
      <c r="O42" s="2946" t="s">
        <v>2409</v>
      </c>
      <c r="P42" s="2947" t="s">
        <v>2410</v>
      </c>
      <c r="Q42" s="2947" t="s">
        <v>2411</v>
      </c>
      <c r="R42" s="2850" t="s">
        <v>2336</v>
      </c>
      <c r="S42" s="2948"/>
      <c r="T42" s="2948"/>
      <c r="U42" s="2833"/>
      <c r="V42" s="2841"/>
    </row>
    <row r="43" spans="1:23" ht="13.15" customHeight="1">
      <c r="A43" s="2845"/>
      <c r="B43" s="2845"/>
      <c r="C43" s="2845"/>
      <c r="D43" s="2845"/>
      <c r="E43" s="2845"/>
      <c r="F43" s="2845"/>
      <c r="I43" s="2828"/>
      <c r="J43" s="3729"/>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2414</v>
      </c>
      <c r="L44" s="2996" t="s">
        <v>2415</v>
      </c>
      <c r="M44" s="2959"/>
      <c r="N44" s="2996" t="s">
        <v>2416</v>
      </c>
      <c r="O44" s="2959"/>
      <c r="P44" s="2996" t="s">
        <v>2417</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估价对象为北京市房地产，为所有。根据《国有土地使用证》[]，估价对象（分摊）出让国有建设用地使用权面积为15955.89平方米，建筑面积为75416.17平方米。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估价对象为北京市房地产,属开发建设的，该项目尚在开发建设中。根据《国有土地使用证》[]，估价对象（分摊）出让国有建设用地使用权面积为15955.89平方米，规划建筑面积为75416.17平方米。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18"/>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19"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5"/>
      <c r="M2" s="2706"/>
      <c r="N2" s="2706"/>
      <c r="O2" s="2706"/>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75416.17</v>
      </c>
      <c r="E3" s="907"/>
      <c r="F3" s="1887"/>
      <c r="G3" s="907"/>
      <c r="H3" s="907"/>
      <c r="I3" s="907"/>
      <c r="J3" s="907"/>
      <c r="K3" s="1883"/>
      <c r="L3" s="2705"/>
      <c r="M3" s="2706"/>
      <c r="N3" s="2706"/>
      <c r="O3" s="2706"/>
      <c r="P3" s="1884"/>
      <c r="Q3" s="1885"/>
      <c r="R3" s="1885"/>
      <c r="S3" s="1885"/>
      <c r="T3" s="1885"/>
      <c r="U3" s="1885"/>
      <c r="V3" s="1885"/>
      <c r="W3" s="1885"/>
      <c r="X3" s="1885"/>
      <c r="Y3" s="1885"/>
      <c r="Z3" s="1885"/>
      <c r="AA3" s="1885"/>
      <c r="AB3" s="1885"/>
      <c r="AC3" s="1061"/>
    </row>
    <row r="4" spans="1:29" ht="15">
      <c r="A4" s="355" t="s">
        <v>1666</v>
      </c>
      <c r="B4" s="356"/>
      <c r="C4" s="3678" t="s">
        <v>1667</v>
      </c>
      <c r="D4" s="3690"/>
      <c r="E4" s="3691" t="s">
        <v>1668</v>
      </c>
      <c r="F4" s="3692"/>
      <c r="G4" s="3678" t="s">
        <v>1669</v>
      </c>
      <c r="H4" s="3690"/>
      <c r="I4" s="3678" t="s">
        <v>1670</v>
      </c>
      <c r="J4" s="3690"/>
      <c r="K4" s="1888" t="s">
        <v>1671</v>
      </c>
      <c r="L4" s="2707"/>
      <c r="M4" s="2708"/>
      <c r="N4" s="2708"/>
      <c r="O4" s="2708"/>
      <c r="P4" s="3693" t="s">
        <v>1672</v>
      </c>
      <c r="Q4" s="3694"/>
      <c r="R4" s="3699" t="s">
        <v>1668</v>
      </c>
      <c r="S4" s="3700"/>
      <c r="T4" s="3699" t="s">
        <v>1669</v>
      </c>
      <c r="U4" s="3700"/>
      <c r="V4" s="3686" t="s">
        <v>1670</v>
      </c>
      <c r="W4" s="3686"/>
      <c r="X4" s="1354"/>
      <c r="Y4" s="3699" t="s">
        <v>1672</v>
      </c>
      <c r="Z4" s="3700"/>
      <c r="AA4" s="3687" t="s">
        <v>1668</v>
      </c>
      <c r="AB4" s="3687" t="s">
        <v>1669</v>
      </c>
      <c r="AC4" s="3687" t="s">
        <v>1670</v>
      </c>
    </row>
    <row r="5" spans="1:29" ht="15">
      <c r="A5" s="358"/>
      <c r="B5" s="359"/>
      <c r="C5" s="3707" t="s">
        <v>1673</v>
      </c>
      <c r="D5" s="3708"/>
      <c r="E5" s="3715" t="s">
        <v>1674</v>
      </c>
      <c r="F5" s="3716"/>
      <c r="G5" s="3707" t="s">
        <v>1675</v>
      </c>
      <c r="H5" s="3708"/>
      <c r="I5" s="3707" t="s">
        <v>1676</v>
      </c>
      <c r="J5" s="3708"/>
      <c r="K5" s="1889"/>
      <c r="L5" s="2707"/>
      <c r="M5" s="2708"/>
      <c r="N5" s="2708"/>
      <c r="O5" s="2708"/>
      <c r="P5" s="3695"/>
      <c r="Q5" s="3696"/>
      <c r="R5" s="3701"/>
      <c r="S5" s="3702"/>
      <c r="T5" s="3701"/>
      <c r="U5" s="3702"/>
      <c r="V5" s="3686"/>
      <c r="W5" s="3686"/>
      <c r="X5" s="1354"/>
      <c r="Y5" s="3701"/>
      <c r="Z5" s="3702"/>
      <c r="AA5" s="3688"/>
      <c r="AB5" s="3688"/>
      <c r="AC5" s="3688"/>
    </row>
    <row r="6" spans="1:29" ht="15.75" thickBot="1">
      <c r="A6" s="360"/>
      <c r="B6" s="361"/>
      <c r="C6" s="3705" t="s">
        <v>1677</v>
      </c>
      <c r="D6" s="3706"/>
      <c r="E6" s="3713" t="s">
        <v>1677</v>
      </c>
      <c r="F6" s="3714"/>
      <c r="G6" s="3705" t="s">
        <v>1677</v>
      </c>
      <c r="H6" s="3706"/>
      <c r="I6" s="3705" t="s">
        <v>1677</v>
      </c>
      <c r="J6" s="3706"/>
      <c r="K6" s="1889" t="s">
        <v>1678</v>
      </c>
      <c r="L6" s="2707"/>
      <c r="M6" s="2708"/>
      <c r="N6" s="2708"/>
      <c r="O6" s="2708"/>
      <c r="P6" s="3697"/>
      <c r="Q6" s="3698"/>
      <c r="R6" s="3701"/>
      <c r="S6" s="3702"/>
      <c r="T6" s="3703"/>
      <c r="U6" s="3704"/>
      <c r="V6" s="3686"/>
      <c r="W6" s="3686"/>
      <c r="X6" s="1354"/>
      <c r="Y6" s="3703"/>
      <c r="Z6" s="3704"/>
      <c r="AA6" s="3689"/>
      <c r="AB6" s="3689"/>
      <c r="AC6" s="3689"/>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1890"/>
      <c r="L7" s="2709"/>
      <c r="M7" s="2710"/>
      <c r="N7" s="2710"/>
      <c r="O7" s="2710"/>
      <c r="P7" s="3709" t="s">
        <v>1680</v>
      </c>
      <c r="Q7" s="3711"/>
      <c r="R7" s="701" t="s">
        <v>20</v>
      </c>
      <c r="S7" s="702">
        <f t="shared" ref="S7:S15" si="0">F7</f>
        <v>0</v>
      </c>
      <c r="T7" s="701" t="s">
        <v>20</v>
      </c>
      <c r="U7" s="702">
        <f t="shared" ref="U7:U15" si="1">H7</f>
        <v>0</v>
      </c>
      <c r="V7" s="701" t="s">
        <v>20</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09"/>
      <c r="M8" s="2710"/>
      <c r="N8" s="2710"/>
      <c r="O8" s="2710"/>
      <c r="P8" s="3709" t="s">
        <v>1683</v>
      </c>
      <c r="Q8" s="3710"/>
      <c r="R8" s="701" t="s">
        <v>20</v>
      </c>
      <c r="S8" s="702">
        <f t="shared" si="0"/>
        <v>100</v>
      </c>
      <c r="T8" s="701" t="s">
        <v>20</v>
      </c>
      <c r="U8" s="702">
        <f t="shared" si="1"/>
        <v>100</v>
      </c>
      <c r="V8" s="701" t="s">
        <v>20</v>
      </c>
      <c r="W8" s="702">
        <f t="shared" si="2"/>
        <v>100</v>
      </c>
      <c r="X8" s="703"/>
      <c r="Y8" s="3709" t="s">
        <v>1683</v>
      </c>
      <c r="Z8" s="371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09"/>
      <c r="M9" s="2710"/>
      <c r="N9" s="2710"/>
      <c r="O9" s="2710"/>
      <c r="P9" s="3680"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26"/>
      <c r="D10" s="127">
        <v>100</v>
      </c>
      <c r="E10" s="3427"/>
      <c r="F10" s="376">
        <f>SUMIF(65:65,E10,66:66)-SUMIF(65:65,C10,66:66)+100</f>
        <v>100</v>
      </c>
      <c r="G10" s="3426"/>
      <c r="H10" s="127">
        <f>SUMIF(65:65,G10,66:66)-SUMIF(65:65,C10,66:66)+100</f>
        <v>100</v>
      </c>
      <c r="I10" s="3426"/>
      <c r="J10" s="127">
        <f>SUMIF(65:65,I10,66:66)-SUMIF(65:65,C10,66:66)+100</f>
        <v>100</v>
      </c>
      <c r="K10" s="1890"/>
      <c r="L10" s="2711"/>
      <c r="M10" s="2712"/>
      <c r="N10" s="2712"/>
      <c r="O10" s="2712"/>
      <c r="P10" s="3680"/>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3"/>
      <c r="M11" s="2708"/>
      <c r="N11" s="2708"/>
      <c r="O11" s="2708"/>
      <c r="P11" s="3680"/>
      <c r="Q11" s="1342" t="str">
        <f t="shared" si="6"/>
        <v>容积率</v>
      </c>
      <c r="R11" s="701" t="s">
        <v>18</v>
      </c>
      <c r="S11" s="702" t="e">
        <f t="shared" si="0"/>
        <v>#N/A</v>
      </c>
      <c r="T11" s="701" t="s">
        <v>18</v>
      </c>
      <c r="U11" s="702" t="e">
        <f t="shared" si="1"/>
        <v>#N/A</v>
      </c>
      <c r="V11" s="701" t="s">
        <v>18</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09"/>
      <c r="M12" s="2710"/>
      <c r="N12" s="2710"/>
      <c r="O12" s="2710"/>
      <c r="P12" s="3680"/>
      <c r="Q12" s="1342">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4"/>
      <c r="M13" s="2708"/>
      <c r="N13" s="2708"/>
      <c r="O13" s="2708"/>
      <c r="P13" s="3680"/>
      <c r="Q13" s="1342">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4"/>
      <c r="M14" s="2708"/>
      <c r="N14" s="2708"/>
      <c r="O14" s="2708"/>
      <c r="P14" s="3680"/>
      <c r="Q14" s="1342">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15">
      <c r="A15" s="391" t="s">
        <v>1690</v>
      </c>
      <c r="B15" s="61" t="s">
        <v>1257</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4"/>
      <c r="M15" s="2708"/>
      <c r="N15" s="2708"/>
      <c r="O15" s="2708"/>
      <c r="P15" s="3749" t="s">
        <v>1691</v>
      </c>
      <c r="Q15" s="1351" t="str">
        <f t="shared" si="6"/>
        <v>居住社区成熟度</v>
      </c>
      <c r="R15" s="705" t="s">
        <v>18</v>
      </c>
      <c r="S15" s="706">
        <f t="shared" si="0"/>
        <v>100</v>
      </c>
      <c r="T15" s="705" t="s">
        <v>18</v>
      </c>
      <c r="U15" s="706">
        <f t="shared" si="1"/>
        <v>100</v>
      </c>
      <c r="V15" s="705" t="s">
        <v>18</v>
      </c>
      <c r="W15" s="706">
        <f t="shared" si="2"/>
        <v>100</v>
      </c>
      <c r="X15" s="1354"/>
      <c r="Y15" s="368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4"/>
      <c r="M16" s="2708"/>
      <c r="N16" s="2708"/>
      <c r="O16" s="2708"/>
      <c r="P16" s="3750"/>
      <c r="Q16" s="1351"/>
      <c r="R16" s="705"/>
      <c r="S16" s="706"/>
      <c r="T16" s="705"/>
      <c r="U16" s="706"/>
      <c r="V16" s="705"/>
      <c r="W16" s="706"/>
      <c r="X16" s="1354"/>
      <c r="Y16" s="3683"/>
      <c r="Z16" s="1355"/>
      <c r="AA16" s="1352">
        <v>1</v>
      </c>
      <c r="AB16" s="1352">
        <v>1</v>
      </c>
      <c r="AC16" s="1352">
        <v>1</v>
      </c>
    </row>
    <row r="17" spans="1:29" ht="15">
      <c r="A17" s="379"/>
      <c r="B17" s="402" t="s">
        <v>1259</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14"/>
      <c r="M17" s="2708"/>
      <c r="N17" s="2708"/>
      <c r="O17" s="2708"/>
      <c r="P17" s="3750"/>
      <c r="Q17" s="1351" t="str">
        <f>B17</f>
        <v>交通便捷度</v>
      </c>
      <c r="R17" s="705" t="s">
        <v>18</v>
      </c>
      <c r="S17" s="706">
        <f>F17</f>
        <v>100</v>
      </c>
      <c r="T17" s="705" t="s">
        <v>18</v>
      </c>
      <c r="U17" s="706">
        <f>H17</f>
        <v>100</v>
      </c>
      <c r="V17" s="705" t="s">
        <v>18</v>
      </c>
      <c r="W17" s="706">
        <f>J17</f>
        <v>100</v>
      </c>
      <c r="X17" s="1354"/>
      <c r="Y17" s="368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4"/>
      <c r="M18" s="2708"/>
      <c r="N18" s="2708"/>
      <c r="O18" s="2708"/>
      <c r="P18" s="3750"/>
      <c r="Q18" s="1351"/>
      <c r="R18" s="705"/>
      <c r="S18" s="706"/>
      <c r="T18" s="705"/>
      <c r="U18" s="706"/>
      <c r="V18" s="705"/>
      <c r="W18" s="706"/>
      <c r="X18" s="1354"/>
      <c r="Y18" s="3683"/>
      <c r="Z18" s="1355"/>
      <c r="AA18" s="1352">
        <v>1</v>
      </c>
      <c r="AB18" s="1352">
        <v>1</v>
      </c>
      <c r="AC18" s="1352">
        <v>1</v>
      </c>
    </row>
    <row r="19" spans="1:29" ht="15">
      <c r="A19" s="379"/>
      <c r="B19" s="402" t="s">
        <v>1258</v>
      </c>
      <c r="C19" s="1899"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14"/>
      <c r="M19" s="2708"/>
      <c r="N19" s="2708"/>
      <c r="O19" s="2708"/>
      <c r="P19" s="3750"/>
      <c r="Q19" s="1351" t="str">
        <f>B19</f>
        <v>公共配套设施</v>
      </c>
      <c r="R19" s="705" t="s">
        <v>18</v>
      </c>
      <c r="S19" s="706">
        <f>F19</f>
        <v>100</v>
      </c>
      <c r="T19" s="705" t="s">
        <v>18</v>
      </c>
      <c r="U19" s="706">
        <f>H19</f>
        <v>100</v>
      </c>
      <c r="V19" s="705" t="s">
        <v>18</v>
      </c>
      <c r="W19" s="706">
        <f>J19</f>
        <v>100</v>
      </c>
      <c r="X19" s="1354"/>
      <c r="Y19" s="368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4"/>
      <c r="M20" s="2708"/>
      <c r="N20" s="2708"/>
      <c r="O20" s="2708"/>
      <c r="P20" s="3750"/>
      <c r="Q20" s="1351"/>
      <c r="R20" s="705"/>
      <c r="S20" s="706"/>
      <c r="T20" s="705"/>
      <c r="U20" s="706"/>
      <c r="V20" s="705"/>
      <c r="W20" s="706"/>
      <c r="X20" s="1354"/>
      <c r="Y20" s="3683"/>
      <c r="Z20" s="1355"/>
      <c r="AA20" s="1352">
        <v>1</v>
      </c>
      <c r="AB20" s="1352">
        <v>1</v>
      </c>
      <c r="AC20" s="1352">
        <v>1</v>
      </c>
    </row>
    <row r="21" spans="1:29" ht="15">
      <c r="A21" s="379"/>
      <c r="B21" s="1131"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4"/>
      <c r="M21" s="2708"/>
      <c r="N21" s="2708"/>
      <c r="O21" s="2708"/>
      <c r="P21" s="3750"/>
      <c r="Q21" s="1351" t="str">
        <f>B21</f>
        <v>基础设施水平</v>
      </c>
      <c r="R21" s="705" t="s">
        <v>14</v>
      </c>
      <c r="S21" s="706">
        <f>F21</f>
        <v>100</v>
      </c>
      <c r="T21" s="705" t="s">
        <v>14</v>
      </c>
      <c r="U21" s="706">
        <f>H21</f>
        <v>100</v>
      </c>
      <c r="V21" s="705" t="s">
        <v>14</v>
      </c>
      <c r="W21" s="706">
        <f>J21</f>
        <v>100</v>
      </c>
      <c r="X21" s="1354"/>
      <c r="Y21" s="368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4"/>
      <c r="M22" s="2708"/>
      <c r="N22" s="2708"/>
      <c r="O22" s="2708"/>
      <c r="P22" s="3750"/>
      <c r="Q22" s="1351"/>
      <c r="R22" s="705"/>
      <c r="S22" s="706"/>
      <c r="T22" s="705"/>
      <c r="U22" s="706"/>
      <c r="V22" s="705"/>
      <c r="W22" s="706"/>
      <c r="X22" s="1354"/>
      <c r="Y22" s="3683"/>
      <c r="Z22" s="1355"/>
      <c r="AA22" s="1352">
        <v>1</v>
      </c>
      <c r="AB22" s="1352">
        <v>1</v>
      </c>
      <c r="AC22" s="1352">
        <v>1</v>
      </c>
    </row>
    <row r="23" spans="1:29" ht="15">
      <c r="A23" s="379"/>
      <c r="B23" s="402" t="s">
        <v>1261</v>
      </c>
      <c r="C23" s="1899"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4"/>
      <c r="M23" s="2708"/>
      <c r="N23" s="2708"/>
      <c r="O23" s="2708"/>
      <c r="P23" s="3750"/>
      <c r="Q23" s="1351" t="str">
        <f>B23</f>
        <v>自然及人文环境</v>
      </c>
      <c r="R23" s="705" t="s">
        <v>18</v>
      </c>
      <c r="S23" s="706">
        <f>F23</f>
        <v>100</v>
      </c>
      <c r="T23" s="705" t="s">
        <v>18</v>
      </c>
      <c r="U23" s="706">
        <f>H23</f>
        <v>100</v>
      </c>
      <c r="V23" s="705" t="s">
        <v>18</v>
      </c>
      <c r="W23" s="706">
        <f>J23</f>
        <v>100</v>
      </c>
      <c r="X23" s="1354"/>
      <c r="Y23" s="368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4"/>
      <c r="M24" s="2708"/>
      <c r="N24" s="2708"/>
      <c r="O24" s="2708"/>
      <c r="P24" s="3750"/>
      <c r="Q24" s="1351"/>
      <c r="R24" s="705"/>
      <c r="S24" s="706"/>
      <c r="T24" s="705"/>
      <c r="U24" s="706"/>
      <c r="V24" s="705"/>
      <c r="W24" s="706"/>
      <c r="X24" s="1354"/>
      <c r="Y24" s="368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4"/>
      <c r="M25" s="2708"/>
      <c r="N25" s="2708"/>
      <c r="O25" s="2708"/>
      <c r="P25" s="375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8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4"/>
      <c r="M26" s="2708"/>
      <c r="N26" s="2708"/>
      <c r="O26" s="2708"/>
      <c r="P26" s="3750"/>
      <c r="Q26" s="1351" t="str">
        <f t="shared" si="11"/>
        <v>朝向</v>
      </c>
      <c r="R26" s="705" t="s">
        <v>18</v>
      </c>
      <c r="S26" s="706">
        <f t="shared" si="12"/>
        <v>100</v>
      </c>
      <c r="T26" s="705" t="s">
        <v>18</v>
      </c>
      <c r="U26" s="706">
        <f t="shared" si="13"/>
        <v>100</v>
      </c>
      <c r="V26" s="705" t="s">
        <v>18</v>
      </c>
      <c r="W26" s="706">
        <f t="shared" si="14"/>
        <v>100</v>
      </c>
      <c r="X26" s="1354"/>
      <c r="Y26" s="3683"/>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09"/>
      <c r="M27" s="2710"/>
      <c r="N27" s="2710"/>
      <c r="O27" s="2710"/>
      <c r="P27" s="3750"/>
      <c r="Q27" s="1342">
        <f t="shared" si="11"/>
        <v>111</v>
      </c>
      <c r="R27" s="701" t="s">
        <v>18</v>
      </c>
      <c r="S27" s="702">
        <f t="shared" si="12"/>
        <v>100</v>
      </c>
      <c r="T27" s="701" t="s">
        <v>18</v>
      </c>
      <c r="U27" s="702">
        <f t="shared" si="13"/>
        <v>100</v>
      </c>
      <c r="V27" s="701" t="s">
        <v>18</v>
      </c>
      <c r="W27" s="702">
        <f t="shared" si="14"/>
        <v>100</v>
      </c>
      <c r="X27" s="703"/>
      <c r="Y27" s="3683"/>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4"/>
      <c r="M28" s="2708"/>
      <c r="N28" s="2708"/>
      <c r="O28" s="2708"/>
      <c r="P28" s="3750"/>
      <c r="Q28" s="1351">
        <f t="shared" si="11"/>
        <v>111</v>
      </c>
      <c r="R28" s="705" t="s">
        <v>18</v>
      </c>
      <c r="S28" s="706">
        <f t="shared" si="12"/>
        <v>100</v>
      </c>
      <c r="T28" s="705" t="s">
        <v>18</v>
      </c>
      <c r="U28" s="706">
        <f t="shared" si="13"/>
        <v>100</v>
      </c>
      <c r="V28" s="705" t="s">
        <v>18</v>
      </c>
      <c r="W28" s="706">
        <f t="shared" si="14"/>
        <v>100</v>
      </c>
      <c r="X28" s="1354"/>
      <c r="Y28" s="3683"/>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4"/>
      <c r="M29" s="2708"/>
      <c r="N29" s="2708"/>
      <c r="O29" s="2708"/>
      <c r="P29" s="3750"/>
      <c r="Q29" s="1351">
        <f t="shared" si="11"/>
        <v>111</v>
      </c>
      <c r="R29" s="705" t="s">
        <v>18</v>
      </c>
      <c r="S29" s="706">
        <f t="shared" si="12"/>
        <v>100</v>
      </c>
      <c r="T29" s="705" t="s">
        <v>18</v>
      </c>
      <c r="U29" s="706">
        <f t="shared" si="13"/>
        <v>100</v>
      </c>
      <c r="V29" s="705" t="s">
        <v>18</v>
      </c>
      <c r="W29" s="706">
        <f t="shared" si="14"/>
        <v>100</v>
      </c>
      <c r="X29" s="1354"/>
      <c r="Y29" s="3683"/>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4"/>
      <c r="M30" s="2708"/>
      <c r="N30" s="2708"/>
      <c r="O30" s="2708"/>
      <c r="P30" s="3750"/>
      <c r="Q30" s="1351">
        <f t="shared" si="11"/>
        <v>111</v>
      </c>
      <c r="R30" s="705" t="s">
        <v>18</v>
      </c>
      <c r="S30" s="706">
        <f t="shared" si="12"/>
        <v>100</v>
      </c>
      <c r="T30" s="705" t="s">
        <v>18</v>
      </c>
      <c r="U30" s="706">
        <f t="shared" si="13"/>
        <v>100</v>
      </c>
      <c r="V30" s="705" t="s">
        <v>18</v>
      </c>
      <c r="W30" s="706">
        <f t="shared" si="14"/>
        <v>100</v>
      </c>
      <c r="X30" s="1354"/>
      <c r="Y30" s="3683"/>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4"/>
      <c r="M31" s="2708"/>
      <c r="N31" s="2708"/>
      <c r="O31" s="2708"/>
      <c r="P31" s="3750"/>
      <c r="Q31" s="1351">
        <f t="shared" si="11"/>
        <v>111</v>
      </c>
      <c r="R31" s="705" t="s">
        <v>18</v>
      </c>
      <c r="S31" s="706">
        <f t="shared" si="12"/>
        <v>100</v>
      </c>
      <c r="T31" s="705" t="s">
        <v>18</v>
      </c>
      <c r="U31" s="706">
        <f t="shared" si="13"/>
        <v>100</v>
      </c>
      <c r="V31" s="705" t="s">
        <v>18</v>
      </c>
      <c r="W31" s="706">
        <f t="shared" si="14"/>
        <v>100</v>
      </c>
      <c r="X31" s="1354"/>
      <c r="Y31" s="3683"/>
      <c r="Z31" s="1355">
        <f t="shared" si="18"/>
        <v>111</v>
      </c>
      <c r="AA31" s="1352">
        <f t="shared" si="15"/>
        <v>1</v>
      </c>
      <c r="AB31" s="1352">
        <f t="shared" si="16"/>
        <v>1</v>
      </c>
      <c r="AC31" s="1352">
        <f t="shared" si="17"/>
        <v>1</v>
      </c>
    </row>
    <row r="32" spans="1:29" ht="15">
      <c r="A32" s="391" t="s">
        <v>1694</v>
      </c>
      <c r="B32" s="63" t="s">
        <v>1695</v>
      </c>
      <c r="C32" s="1909"/>
      <c r="D32" s="418">
        <v>100</v>
      </c>
      <c r="E32" s="1909"/>
      <c r="F32" s="412">
        <f>SUMIF(100:100,E32,101:101)-SUMIF(100:100,C32,101:101)+100</f>
        <v>100</v>
      </c>
      <c r="G32" s="1909"/>
      <c r="H32" s="418">
        <f>SUMIF(100:100,G32,101:101)-SUMIF(100:100,C32,101:101)+100</f>
        <v>100</v>
      </c>
      <c r="I32" s="1909"/>
      <c r="J32" s="386">
        <f>SUMIF(100:100,I32,101:101)-SUMIF(100:100,C32,101:101)+100</f>
        <v>100</v>
      </c>
      <c r="K32" s="377">
        <v>2</v>
      </c>
      <c r="L32" s="2714"/>
      <c r="M32" s="2708"/>
      <c r="N32" s="2708"/>
      <c r="O32" s="2708"/>
      <c r="P32" s="3745" t="s">
        <v>1696</v>
      </c>
      <c r="Q32" s="1351" t="str">
        <f t="shared" si="11"/>
        <v>建筑类型</v>
      </c>
      <c r="R32" s="705" t="s">
        <v>18</v>
      </c>
      <c r="S32" s="706">
        <f t="shared" si="12"/>
        <v>100</v>
      </c>
      <c r="T32" s="705" t="s">
        <v>18</v>
      </c>
      <c r="U32" s="706">
        <f t="shared" si="13"/>
        <v>100</v>
      </c>
      <c r="V32" s="705" t="s">
        <v>18</v>
      </c>
      <c r="W32" s="706">
        <f t="shared" si="14"/>
        <v>100</v>
      </c>
      <c r="X32" s="1354"/>
      <c r="Y32" s="368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3"/>
      <c r="L33" s="2713"/>
      <c r="M33" s="2715"/>
      <c r="N33" s="2715"/>
      <c r="O33" s="2715"/>
      <c r="P33" s="3746"/>
      <c r="Q33" s="707" t="str">
        <f t="shared" si="11"/>
        <v>项目建筑规模</v>
      </c>
      <c r="R33" s="708" t="s">
        <v>18</v>
      </c>
      <c r="S33" s="709" t="e">
        <f t="shared" si="12"/>
        <v>#N/A</v>
      </c>
      <c r="T33" s="708" t="s">
        <v>18</v>
      </c>
      <c r="U33" s="709" t="e">
        <f t="shared" si="13"/>
        <v>#N/A</v>
      </c>
      <c r="V33" s="708" t="s">
        <v>18</v>
      </c>
      <c r="W33" s="709" t="e">
        <f t="shared" si="14"/>
        <v>#N/A</v>
      </c>
      <c r="X33" s="710"/>
      <c r="Y33" s="3685"/>
      <c r="Z33" s="711" t="str">
        <f t="shared" si="18"/>
        <v>项目建筑规模</v>
      </c>
      <c r="AA33" s="1352" t="e">
        <f t="shared" si="15"/>
        <v>#N/A</v>
      </c>
      <c r="AB33" s="1352" t="e">
        <f t="shared" si="16"/>
        <v>#N/A</v>
      </c>
      <c r="AC33" s="1352" t="e">
        <f t="shared" si="17"/>
        <v>#N/A</v>
      </c>
    </row>
    <row r="34" spans="1:29" ht="15">
      <c r="A34" s="423"/>
      <c r="B34" s="375" t="s">
        <v>1698</v>
      </c>
      <c r="C34" s="1910" t="s">
        <v>3405</v>
      </c>
      <c r="D34" s="386">
        <v>100</v>
      </c>
      <c r="E34" s="1910" t="s">
        <v>3405</v>
      </c>
      <c r="F34" s="412">
        <f>SUMIF(105:105,E34,106:106)-SUMIF(105:105,C34,106:106)+100</f>
        <v>100</v>
      </c>
      <c r="G34" s="1910" t="s">
        <v>3405</v>
      </c>
      <c r="H34" s="386">
        <f>SUMIF(105:105,G34,106:106)-SUMIF(105:105,C34,106:106)+100</f>
        <v>100</v>
      </c>
      <c r="I34" s="1910" t="s">
        <v>3405</v>
      </c>
      <c r="J34" s="386">
        <f>SUMIF(105:105,I34,106:106)-SUMIF(105:105,C34,106:106)+100</f>
        <v>100</v>
      </c>
      <c r="K34" s="377">
        <v>2</v>
      </c>
      <c r="L34" s="2714"/>
      <c r="M34" s="2708"/>
      <c r="N34" s="2708"/>
      <c r="O34" s="2708"/>
      <c r="P34" s="3746"/>
      <c r="Q34" s="1351" t="str">
        <f t="shared" si="11"/>
        <v>建筑结构</v>
      </c>
      <c r="R34" s="705" t="s">
        <v>18</v>
      </c>
      <c r="S34" s="706">
        <f t="shared" si="12"/>
        <v>100</v>
      </c>
      <c r="T34" s="705" t="s">
        <v>18</v>
      </c>
      <c r="U34" s="706">
        <f t="shared" si="13"/>
        <v>100</v>
      </c>
      <c r="V34" s="705" t="s">
        <v>18</v>
      </c>
      <c r="W34" s="706">
        <f t="shared" si="14"/>
        <v>100</v>
      </c>
      <c r="X34" s="1354"/>
      <c r="Y34" s="3685"/>
      <c r="Z34" s="1355" t="str">
        <f t="shared" si="18"/>
        <v>建筑结构</v>
      </c>
      <c r="AA34" s="1352">
        <f t="shared" si="15"/>
        <v>1</v>
      </c>
      <c r="AB34" s="1352">
        <f t="shared" si="16"/>
        <v>1</v>
      </c>
      <c r="AC34" s="1352">
        <f t="shared" si="17"/>
        <v>1</v>
      </c>
    </row>
    <row r="35" spans="1:29" ht="15">
      <c r="A35" s="423"/>
      <c r="B35" s="375" t="s">
        <v>1699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v>2</v>
      </c>
      <c r="L35" s="2714"/>
      <c r="M35" s="2708"/>
      <c r="N35" s="2708"/>
      <c r="O35" s="2708"/>
      <c r="P35" s="3746"/>
      <c r="Q35" s="1351" t="str">
        <f t="shared" si="11"/>
        <v>建筑品质</v>
      </c>
      <c r="R35" s="705" t="s">
        <v>18</v>
      </c>
      <c r="S35" s="706">
        <f t="shared" si="12"/>
        <v>100</v>
      </c>
      <c r="T35" s="705" t="s">
        <v>18</v>
      </c>
      <c r="U35" s="706">
        <f t="shared" si="13"/>
        <v>100</v>
      </c>
      <c r="V35" s="705" t="s">
        <v>18</v>
      </c>
      <c r="W35" s="706">
        <f t="shared" si="14"/>
        <v>100</v>
      </c>
      <c r="X35" s="1354"/>
      <c r="Y35" s="3685"/>
      <c r="Z35" s="1355" t="str">
        <f t="shared" si="18"/>
        <v>建筑品质</v>
      </c>
      <c r="AA35" s="1352">
        <f t="shared" si="15"/>
        <v>1</v>
      </c>
      <c r="AB35" s="1352">
        <f t="shared" si="16"/>
        <v>1</v>
      </c>
      <c r="AC35" s="1352">
        <f t="shared" si="17"/>
        <v>1</v>
      </c>
    </row>
    <row r="36" spans="1:29" ht="15">
      <c r="A36" s="423"/>
      <c r="B36" s="375" t="s">
        <v>1700</v>
      </c>
      <c r="C36" s="1905" t="s">
        <v>3408</v>
      </c>
      <c r="D36" s="386">
        <v>100</v>
      </c>
      <c r="E36" s="1905" t="s">
        <v>3408</v>
      </c>
      <c r="F36" s="412">
        <f>SUMIF(109:109,E36,110:110)-SUMIF(109:109,C36,110:110)+100</f>
        <v>100</v>
      </c>
      <c r="G36" s="1905" t="s">
        <v>3408</v>
      </c>
      <c r="H36" s="386">
        <f>SUMIF(109:109,G36,110:110)-SUMIF(109:109,C36,110:110)+100</f>
        <v>100</v>
      </c>
      <c r="I36" s="1905" t="s">
        <v>3408</v>
      </c>
      <c r="J36" s="386">
        <f>SUMIF(109:109,I36,110:110)-SUMIF(109:109,C36,110:110)+100</f>
        <v>100</v>
      </c>
      <c r="K36" s="377">
        <v>2</v>
      </c>
      <c r="L36" s="2714"/>
      <c r="M36" s="2708"/>
      <c r="N36" s="2708"/>
      <c r="O36" s="2708"/>
      <c r="P36" s="3746"/>
      <c r="Q36" s="1351" t="str">
        <f t="shared" si="11"/>
        <v>公共部分装修</v>
      </c>
      <c r="R36" s="705" t="s">
        <v>18</v>
      </c>
      <c r="S36" s="706">
        <f t="shared" si="12"/>
        <v>100</v>
      </c>
      <c r="T36" s="705" t="s">
        <v>18</v>
      </c>
      <c r="U36" s="706">
        <f t="shared" si="13"/>
        <v>100</v>
      </c>
      <c r="V36" s="705" t="s">
        <v>18</v>
      </c>
      <c r="W36" s="706">
        <f t="shared" si="14"/>
        <v>100</v>
      </c>
      <c r="X36" s="1354"/>
      <c r="Y36" s="368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9"/>
      <c r="M37" s="2710"/>
      <c r="N37" s="2710"/>
      <c r="O37" s="2710"/>
      <c r="P37" s="3746"/>
      <c r="Q37" s="1342" t="str">
        <f t="shared" si="11"/>
        <v>成新度</v>
      </c>
      <c r="R37" s="701" t="s">
        <v>18</v>
      </c>
      <c r="S37" s="702" t="e">
        <f t="shared" si="12"/>
        <v>#N/A</v>
      </c>
      <c r="T37" s="701" t="s">
        <v>18</v>
      </c>
      <c r="U37" s="702" t="e">
        <f t="shared" si="13"/>
        <v>#N/A</v>
      </c>
      <c r="V37" s="701" t="s">
        <v>18</v>
      </c>
      <c r="W37" s="702" t="e">
        <f t="shared" si="14"/>
        <v>#N/A</v>
      </c>
      <c r="X37" s="703"/>
      <c r="Y37" s="3685"/>
      <c r="Z37" s="52" t="str">
        <f t="shared" si="18"/>
        <v>成新度</v>
      </c>
      <c r="AA37" s="704" t="e">
        <f t="shared" si="15"/>
        <v>#N/A</v>
      </c>
      <c r="AB37" s="704" t="e">
        <f t="shared" si="16"/>
        <v>#N/A</v>
      </c>
      <c r="AC37" s="704" t="e">
        <f t="shared" si="17"/>
        <v>#N/A</v>
      </c>
    </row>
    <row r="38" spans="1:29" ht="15">
      <c r="A38" s="423"/>
      <c r="B38" s="375" t="s">
        <v>1702</v>
      </c>
      <c r="C38" s="1905" t="s">
        <v>3409</v>
      </c>
      <c r="D38" s="386">
        <v>100</v>
      </c>
      <c r="E38" s="1905" t="s">
        <v>3409</v>
      </c>
      <c r="F38" s="412">
        <f>SUMIF(114:114,E38,115:115)-SUMIF(114:114,C38,115:115)+100</f>
        <v>100</v>
      </c>
      <c r="G38" s="1905" t="s">
        <v>3409</v>
      </c>
      <c r="H38" s="386">
        <f>SUMIF(114:114,G38,115:115)-SUMIF(114:114,C38,115:115)+100</f>
        <v>100</v>
      </c>
      <c r="I38" s="1905" t="s">
        <v>3409</v>
      </c>
      <c r="J38" s="386">
        <f>SUMIF(114:114,I38,115:115)-SUMIF(114:114,C38,115:115)+100</f>
        <v>100</v>
      </c>
      <c r="K38" s="377">
        <v>2</v>
      </c>
      <c r="L38" s="2714"/>
      <c r="M38" s="2708"/>
      <c r="N38" s="2708"/>
      <c r="O38" s="2708"/>
      <c r="P38" s="3746" t="s">
        <v>1696</v>
      </c>
      <c r="Q38" s="1351" t="str">
        <f t="shared" si="11"/>
        <v>物业管理</v>
      </c>
      <c r="R38" s="705" t="s">
        <v>18</v>
      </c>
      <c r="S38" s="706">
        <f t="shared" si="12"/>
        <v>100</v>
      </c>
      <c r="T38" s="705" t="s">
        <v>18</v>
      </c>
      <c r="U38" s="706">
        <f t="shared" si="13"/>
        <v>100</v>
      </c>
      <c r="V38" s="705" t="s">
        <v>18</v>
      </c>
      <c r="W38" s="706">
        <f t="shared" si="14"/>
        <v>100</v>
      </c>
      <c r="X38" s="1354"/>
      <c r="Y38" s="3685" t="s">
        <v>1696</v>
      </c>
      <c r="Z38" s="1355" t="str">
        <f t="shared" si="18"/>
        <v>物业管理</v>
      </c>
      <c r="AA38" s="1352">
        <f t="shared" si="15"/>
        <v>1</v>
      </c>
      <c r="AB38" s="1352">
        <f t="shared" si="16"/>
        <v>1</v>
      </c>
      <c r="AC38" s="1352">
        <f t="shared" si="17"/>
        <v>1</v>
      </c>
    </row>
    <row r="39" spans="1:29" ht="15">
      <c r="A39" s="423"/>
      <c r="B39" s="375" t="s">
        <v>1703</v>
      </c>
      <c r="C39" s="1905" t="s">
        <v>3393</v>
      </c>
      <c r="D39" s="386">
        <v>100</v>
      </c>
      <c r="E39" s="1905" t="s">
        <v>3393</v>
      </c>
      <c r="F39" s="412">
        <f>SUMIF(116:116,E39,117:117)-SUMIF(116:116,C39,117:117)+100</f>
        <v>100</v>
      </c>
      <c r="G39" s="1905" t="s">
        <v>3393</v>
      </c>
      <c r="H39" s="386">
        <f>SUMIF(116:116,G39,117:117)-SUMIF(116:116,C39,117:117)+100</f>
        <v>100</v>
      </c>
      <c r="I39" s="1905" t="s">
        <v>3393</v>
      </c>
      <c r="J39" s="386">
        <f>SUMIF(116:116,I39,117:117)-SUMIF(116:116,C39,117:117)+100</f>
        <v>100</v>
      </c>
      <c r="K39" s="377">
        <v>1</v>
      </c>
      <c r="L39" s="2714"/>
      <c r="M39" s="2708"/>
      <c r="N39" s="2708"/>
      <c r="O39" s="2708"/>
      <c r="P39" s="3746"/>
      <c r="Q39" s="1351" t="str">
        <f t="shared" si="11"/>
        <v>市政基础设施</v>
      </c>
      <c r="R39" s="705" t="s">
        <v>18</v>
      </c>
      <c r="S39" s="706">
        <f t="shared" si="12"/>
        <v>100</v>
      </c>
      <c r="T39" s="705" t="s">
        <v>18</v>
      </c>
      <c r="U39" s="706">
        <f t="shared" si="13"/>
        <v>100</v>
      </c>
      <c r="V39" s="705" t="s">
        <v>18</v>
      </c>
      <c r="W39" s="706">
        <f t="shared" si="14"/>
        <v>100</v>
      </c>
      <c r="X39" s="1354"/>
      <c r="Y39" s="3685"/>
      <c r="Z39" s="1355" t="str">
        <f t="shared" si="18"/>
        <v>市政基础设施</v>
      </c>
      <c r="AA39" s="1352">
        <f t="shared" si="15"/>
        <v>1</v>
      </c>
      <c r="AB39" s="1352">
        <f t="shared" si="16"/>
        <v>1</v>
      </c>
      <c r="AC39" s="1352">
        <f t="shared" si="17"/>
        <v>1</v>
      </c>
    </row>
    <row r="40" spans="1:29" ht="15">
      <c r="A40" s="423"/>
      <c r="B40" s="375" t="s">
        <v>1704</v>
      </c>
      <c r="C40" s="1905"/>
      <c r="D40" s="386">
        <v>100</v>
      </c>
      <c r="E40" s="1905"/>
      <c r="F40" s="412">
        <f>SUMIF(118:118,E40,119:119)-SUMIF(118:118,C40,119:119)+100</f>
        <v>100</v>
      </c>
      <c r="G40" s="1905"/>
      <c r="H40" s="386">
        <f>SUMIF(118:118,G40,119:119)-SUMIF(118:118,C40,119:119)+100</f>
        <v>100</v>
      </c>
      <c r="I40" s="1905"/>
      <c r="J40" s="386">
        <f>SUMIF(118:118,I40,119:119)-SUMIF(118:118,C40,119:119)+100</f>
        <v>100</v>
      </c>
      <c r="K40" s="377"/>
      <c r="L40" s="2714"/>
      <c r="M40" s="2708"/>
      <c r="N40" s="2708"/>
      <c r="O40" s="2708"/>
      <c r="P40" s="3746"/>
      <c r="Q40" s="1351" t="str">
        <f t="shared" si="11"/>
        <v>房型</v>
      </c>
      <c r="R40" s="705" t="s">
        <v>18</v>
      </c>
      <c r="S40" s="706">
        <f t="shared" si="12"/>
        <v>100</v>
      </c>
      <c r="T40" s="705" t="s">
        <v>18</v>
      </c>
      <c r="U40" s="706">
        <f t="shared" si="13"/>
        <v>100</v>
      </c>
      <c r="V40" s="705" t="s">
        <v>18</v>
      </c>
      <c r="W40" s="706">
        <f t="shared" si="14"/>
        <v>100</v>
      </c>
      <c r="X40" s="1354"/>
      <c r="Y40" s="3685"/>
      <c r="Z40" s="1355" t="str">
        <f t="shared" si="18"/>
        <v>房型</v>
      </c>
      <c r="AA40" s="1352">
        <f t="shared" si="15"/>
        <v>1</v>
      </c>
      <c r="AB40" s="1352">
        <f t="shared" si="16"/>
        <v>1</v>
      </c>
      <c r="AC40" s="1352">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3"/>
      <c r="M41" s="2715"/>
      <c r="N41" s="2715"/>
      <c r="O41" s="2715"/>
      <c r="P41" s="3746"/>
      <c r="Q41" s="707" t="str">
        <f t="shared" si="11"/>
        <v>单套/主力户型建筑面积</v>
      </c>
      <c r="R41" s="708" t="s">
        <v>18</v>
      </c>
      <c r="S41" s="709">
        <f t="shared" si="12"/>
        <v>100</v>
      </c>
      <c r="T41" s="708" t="s">
        <v>18</v>
      </c>
      <c r="U41" s="709">
        <f t="shared" si="13"/>
        <v>100</v>
      </c>
      <c r="V41" s="708" t="s">
        <v>18</v>
      </c>
      <c r="W41" s="709">
        <f t="shared" si="14"/>
        <v>100</v>
      </c>
      <c r="X41" s="710"/>
      <c r="Y41" s="3685"/>
      <c r="Z41" s="711" t="str">
        <f t="shared" si="18"/>
        <v>单套/主力户型建筑面积</v>
      </c>
      <c r="AA41" s="1352">
        <f t="shared" si="15"/>
        <v>1</v>
      </c>
      <c r="AB41" s="1352">
        <f t="shared" si="16"/>
        <v>1</v>
      </c>
      <c r="AC41" s="1352">
        <f t="shared" si="17"/>
        <v>1</v>
      </c>
    </row>
    <row r="42" spans="1:29" ht="15">
      <c r="A42" s="423"/>
      <c r="B42" s="375" t="s">
        <v>1706</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377">
        <v>2</v>
      </c>
      <c r="L42" s="2714"/>
      <c r="M42" s="2708"/>
      <c r="N42" s="2708"/>
      <c r="O42" s="2708"/>
      <c r="P42" s="3746"/>
      <c r="Q42" s="1351" t="str">
        <f t="shared" si="11"/>
        <v>内部装修</v>
      </c>
      <c r="R42" s="705" t="s">
        <v>18</v>
      </c>
      <c r="S42" s="706">
        <f t="shared" si="12"/>
        <v>100</v>
      </c>
      <c r="T42" s="705" t="s">
        <v>18</v>
      </c>
      <c r="U42" s="706">
        <f t="shared" si="13"/>
        <v>100</v>
      </c>
      <c r="V42" s="705" t="s">
        <v>18</v>
      </c>
      <c r="W42" s="706">
        <f t="shared" si="14"/>
        <v>100</v>
      </c>
      <c r="X42" s="1354"/>
      <c r="Y42" s="3685"/>
      <c r="Z42" s="1355" t="str">
        <f t="shared" si="18"/>
        <v>内部装修</v>
      </c>
      <c r="AA42" s="1352">
        <f t="shared" si="15"/>
        <v>1</v>
      </c>
      <c r="AB42" s="1352">
        <f t="shared" si="16"/>
        <v>1</v>
      </c>
      <c r="AC42" s="1352">
        <f t="shared" si="17"/>
        <v>1</v>
      </c>
    </row>
    <row r="43" spans="1:29" ht="15">
      <c r="A43" s="423"/>
      <c r="B43" s="375" t="s">
        <v>1707</v>
      </c>
      <c r="C43" s="1905" t="s">
        <v>3390</v>
      </c>
      <c r="D43" s="386">
        <v>100</v>
      </c>
      <c r="E43" s="1905" t="s">
        <v>3390</v>
      </c>
      <c r="F43" s="412">
        <f>SUMIF(124:124,E43,125:125)-SUMIF(124:124,C43,125:125)+100</f>
        <v>100</v>
      </c>
      <c r="G43" s="1905" t="s">
        <v>3390</v>
      </c>
      <c r="H43" s="386">
        <f>SUMIF(124:124,G43,125:125)-SUMIF(124:124,C43,125:125)+100</f>
        <v>100</v>
      </c>
      <c r="I43" s="1905" t="s">
        <v>3390</v>
      </c>
      <c r="J43" s="386">
        <f>SUMIF(124:124,I43,125:125)-SUMIF(124:124,C43,125:125)+100</f>
        <v>100</v>
      </c>
      <c r="K43" s="377">
        <v>2</v>
      </c>
      <c r="L43" s="2714"/>
      <c r="M43" s="2708"/>
      <c r="N43" s="2708"/>
      <c r="O43" s="2708"/>
      <c r="P43" s="3746"/>
      <c r="Q43" s="1351" t="str">
        <f t="shared" si="11"/>
        <v>内部装修维护情况</v>
      </c>
      <c r="R43" s="705" t="s">
        <v>18</v>
      </c>
      <c r="S43" s="706">
        <f t="shared" si="12"/>
        <v>100</v>
      </c>
      <c r="T43" s="705" t="s">
        <v>18</v>
      </c>
      <c r="U43" s="706">
        <f t="shared" si="13"/>
        <v>100</v>
      </c>
      <c r="V43" s="705" t="s">
        <v>18</v>
      </c>
      <c r="W43" s="706">
        <f t="shared" si="14"/>
        <v>100</v>
      </c>
      <c r="X43" s="1354"/>
      <c r="Y43" s="3685"/>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09"/>
      <c r="M44" s="2710"/>
      <c r="N44" s="2710"/>
      <c r="O44" s="2710"/>
      <c r="P44" s="3746"/>
      <c r="Q44" s="1342">
        <f t="shared" si="11"/>
        <v>111</v>
      </c>
      <c r="R44" s="701" t="s">
        <v>18</v>
      </c>
      <c r="S44" s="702">
        <f t="shared" si="12"/>
        <v>100</v>
      </c>
      <c r="T44" s="701" t="s">
        <v>18</v>
      </c>
      <c r="U44" s="702">
        <f t="shared" si="13"/>
        <v>100</v>
      </c>
      <c r="V44" s="701" t="s">
        <v>18</v>
      </c>
      <c r="W44" s="702">
        <f t="shared" si="14"/>
        <v>100</v>
      </c>
      <c r="X44" s="703"/>
      <c r="Y44" s="368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4"/>
      <c r="M45" s="2708"/>
      <c r="N45" s="2708"/>
      <c r="O45" s="2708"/>
      <c r="P45" s="3746"/>
      <c r="Q45" s="1351">
        <f t="shared" si="11"/>
        <v>111</v>
      </c>
      <c r="R45" s="705" t="s">
        <v>18</v>
      </c>
      <c r="S45" s="706">
        <f t="shared" si="12"/>
        <v>100</v>
      </c>
      <c r="T45" s="705" t="s">
        <v>18</v>
      </c>
      <c r="U45" s="706">
        <f t="shared" si="13"/>
        <v>100</v>
      </c>
      <c r="V45" s="705" t="s">
        <v>18</v>
      </c>
      <c r="W45" s="706">
        <f t="shared" si="14"/>
        <v>100</v>
      </c>
      <c r="X45" s="1354"/>
      <c r="Y45" s="368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4"/>
      <c r="M46" s="2708"/>
      <c r="N46" s="2708"/>
      <c r="O46" s="2708"/>
      <c r="P46" s="3747"/>
      <c r="Q46" s="1351">
        <f t="shared" si="11"/>
        <v>111</v>
      </c>
      <c r="R46" s="705" t="s">
        <v>17</v>
      </c>
      <c r="S46" s="706">
        <f t="shared" si="12"/>
        <v>100</v>
      </c>
      <c r="T46" s="705" t="s">
        <v>17</v>
      </c>
      <c r="U46" s="706">
        <f t="shared" si="13"/>
        <v>100</v>
      </c>
      <c r="V46" s="705" t="s">
        <v>17</v>
      </c>
      <c r="W46" s="706">
        <f t="shared" si="14"/>
        <v>100</v>
      </c>
      <c r="X46" s="1354"/>
      <c r="Y46" s="3748"/>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1"/>
      <c r="L47" s="2716"/>
      <c r="M47" s="2717"/>
      <c r="N47" s="2708"/>
      <c r="O47" s="2717"/>
      <c r="P47" s="3681" t="str">
        <f>A47</f>
        <v>成交单价（元/平方米）</v>
      </c>
      <c r="Q47" s="3681"/>
      <c r="R47" s="3744">
        <f>E47</f>
        <v>0</v>
      </c>
      <c r="S47" s="3744"/>
      <c r="T47" s="3744">
        <f>G47</f>
        <v>0</v>
      </c>
      <c r="U47" s="3744"/>
      <c r="V47" s="3744">
        <f>I47</f>
        <v>0</v>
      </c>
      <c r="W47" s="3744"/>
      <c r="X47" s="690"/>
      <c r="Y47" s="712"/>
      <c r="Z47" s="690"/>
      <c r="AA47" s="690"/>
      <c r="AB47" s="690"/>
      <c r="AC47" s="690"/>
    </row>
    <row r="48" spans="1:29" ht="15.75" thickBot="1">
      <c r="A48" s="437" t="s">
        <v>1709</v>
      </c>
      <c r="B48" s="438"/>
      <c r="C48" s="1160" t="e">
        <f>R49</f>
        <v>#DIV/0!</v>
      </c>
      <c r="D48" s="2314" t="s">
        <v>2138</v>
      </c>
      <c r="E48" s="1161" t="e">
        <f>R48</f>
        <v>#DIV/0!</v>
      </c>
      <c r="F48" s="2315"/>
      <c r="G48" s="1160" t="e">
        <f>T48</f>
        <v>#DIV/0!</v>
      </c>
      <c r="H48" s="2315"/>
      <c r="I48" s="1161" t="e">
        <f>V48</f>
        <v>#DIV/0!</v>
      </c>
      <c r="J48" s="2315"/>
      <c r="K48" s="2316">
        <f>F48+H48+J48</f>
        <v>0</v>
      </c>
      <c r="L48" s="2716"/>
      <c r="M48" s="2717"/>
      <c r="N48" s="2717"/>
      <c r="O48" s="2717"/>
      <c r="P48" s="3681" t="str">
        <f>A48</f>
        <v>比较价值（元/平方米）</v>
      </c>
      <c r="Q48" s="3681"/>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2"/>
      <c r="L49" s="2716"/>
      <c r="M49" s="2717"/>
      <c r="N49" s="2717"/>
      <c r="O49" s="2717"/>
      <c r="P49" s="3675" t="str">
        <f>A49</f>
        <v>估价对象XX用房的比较价值（楼面单价，元/平方米）</v>
      </c>
      <c r="Q49" s="3676"/>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4"/>
    </row>
    <row r="55" spans="1:29" s="451" customFormat="1">
      <c r="A55" s="2720"/>
      <c r="B55" s="2723"/>
      <c r="C55" s="2724"/>
      <c r="D55" s="2720"/>
      <c r="E55" s="2720"/>
      <c r="F55" s="2720"/>
      <c r="G55" s="2720"/>
      <c r="H55" s="2720"/>
      <c r="I55" s="2720"/>
      <c r="J55" s="2720"/>
      <c r="K55" s="2725"/>
      <c r="L55" s="2719"/>
      <c r="M55" s="2720"/>
      <c r="N55" s="2720"/>
      <c r="O55" s="2720"/>
      <c r="P55" s="1914"/>
    </row>
    <row r="56" spans="1:29">
      <c r="A56" s="2717"/>
      <c r="B56" s="2723"/>
      <c r="C56" s="2724"/>
      <c r="D56" s="2717"/>
      <c r="E56" s="2717"/>
      <c r="F56" s="2717"/>
      <c r="G56" s="2717"/>
      <c r="H56" s="2717"/>
      <c r="I56" s="2717"/>
      <c r="J56" s="2717"/>
      <c r="K56" s="2722"/>
      <c r="L56" s="2718"/>
      <c r="M56" s="2717"/>
      <c r="N56" s="2717"/>
      <c r="O56" s="2717"/>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6"/>
      <c r="C59" s="1182">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1735</v>
      </c>
      <c r="C88" s="503"/>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479"/>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c r="D103" s="544"/>
      <c r="E103" s="544"/>
      <c r="F103" s="544"/>
      <c r="G103" s="544"/>
      <c r="H103" s="544"/>
      <c r="I103" s="544"/>
      <c r="J103" s="545"/>
      <c r="K103" s="545"/>
      <c r="L103" s="546"/>
      <c r="M103" s="547"/>
      <c r="N103" s="935"/>
      <c r="O103" s="935"/>
      <c r="P103" s="1920"/>
      <c r="Q103" s="508"/>
    </row>
    <row r="104" spans="1:17" s="422" customFormat="1" ht="15.75" thickBot="1">
      <c r="A104" s="502"/>
      <c r="B104" s="492"/>
      <c r="C104" s="509"/>
      <c r="D104" s="485"/>
      <c r="E104" s="485"/>
      <c r="F104" s="485"/>
      <c r="G104" s="485"/>
      <c r="H104" s="485"/>
      <c r="I104" s="485"/>
      <c r="J104" s="485"/>
      <c r="K104" s="485"/>
      <c r="L104" s="485"/>
      <c r="M104" s="485"/>
      <c r="N104" s="934"/>
      <c r="O104" s="934"/>
      <c r="P104" s="1920"/>
      <c r="Q104" s="508"/>
    </row>
    <row r="105" spans="1:17" ht="15" thickTop="1">
      <c r="A105" s="548"/>
      <c r="B105" s="487" t="s">
        <v>1738</v>
      </c>
      <c r="C105" s="503"/>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19"/>
      <c r="Q108" s="453"/>
    </row>
    <row r="109" spans="1:17" ht="15" thickTop="1">
      <c r="A109" s="548"/>
      <c r="B109" s="487" t="s">
        <v>1740</v>
      </c>
      <c r="C109" s="503"/>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0"/>
      <c r="Q113" s="508"/>
    </row>
    <row r="114" spans="1:17" ht="15" thickTop="1">
      <c r="A114" s="548"/>
      <c r="B114" s="487" t="s">
        <v>1741</v>
      </c>
      <c r="C114" s="503"/>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19"/>
      <c r="Q115" s="453"/>
    </row>
    <row r="116" spans="1:17" ht="15" thickTop="1">
      <c r="A116" s="548"/>
      <c r="B116" s="487" t="s">
        <v>1742</v>
      </c>
      <c r="C116" s="503"/>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503"/>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18"/>
      <c r="F1" s="1878"/>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6"/>
      <c r="M2" s="2727"/>
      <c r="N2" s="2727"/>
      <c r="O2" s="2727"/>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75416.17</v>
      </c>
      <c r="E3" s="1951"/>
      <c r="F3" s="909"/>
      <c r="G3" s="908"/>
      <c r="H3" s="908"/>
      <c r="I3" s="908"/>
      <c r="J3" s="908"/>
      <c r="K3" s="910"/>
      <c r="L3" s="2726"/>
      <c r="M3" s="2727"/>
      <c r="N3" s="2727"/>
      <c r="O3" s="2727"/>
      <c r="P3" s="1949"/>
      <c r="Q3" s="912"/>
      <c r="R3" s="912"/>
      <c r="S3" s="912"/>
      <c r="T3" s="912"/>
      <c r="U3" s="912"/>
      <c r="V3" s="912"/>
      <c r="W3" s="912"/>
      <c r="X3" s="912"/>
      <c r="Y3" s="912"/>
      <c r="Z3" s="912"/>
      <c r="AA3" s="912"/>
      <c r="AB3" s="912"/>
      <c r="AC3" s="1951"/>
    </row>
    <row r="4" spans="1:29" ht="15">
      <c r="A4" s="355" t="s">
        <v>1769</v>
      </c>
      <c r="B4" s="356"/>
      <c r="C4" s="3678" t="s">
        <v>1770</v>
      </c>
      <c r="D4" s="3690"/>
      <c r="E4" s="3691" t="s">
        <v>1771</v>
      </c>
      <c r="F4" s="3692"/>
      <c r="G4" s="3678" t="s">
        <v>1772</v>
      </c>
      <c r="H4" s="3690"/>
      <c r="I4" s="3678" t="s">
        <v>1773</v>
      </c>
      <c r="J4" s="3690"/>
      <c r="K4" s="559" t="s">
        <v>1774</v>
      </c>
      <c r="L4" s="2707"/>
      <c r="M4" s="2708"/>
      <c r="N4" s="2708"/>
      <c r="O4" s="2708"/>
      <c r="P4" s="3693" t="s">
        <v>1775</v>
      </c>
      <c r="Q4" s="3694"/>
      <c r="R4" s="3699" t="s">
        <v>1771</v>
      </c>
      <c r="S4" s="3700"/>
      <c r="T4" s="3699" t="s">
        <v>1772</v>
      </c>
      <c r="U4" s="3700"/>
      <c r="V4" s="3686" t="s">
        <v>1773</v>
      </c>
      <c r="W4" s="3686"/>
      <c r="X4" s="1354"/>
      <c r="Y4" s="3699" t="s">
        <v>1775</v>
      </c>
      <c r="Z4" s="3700"/>
      <c r="AA4" s="3687" t="s">
        <v>1771</v>
      </c>
      <c r="AB4" s="3686" t="s">
        <v>1772</v>
      </c>
      <c r="AC4" s="3687" t="s">
        <v>1773</v>
      </c>
    </row>
    <row r="5" spans="1:29" ht="15">
      <c r="A5" s="358"/>
      <c r="B5" s="359"/>
      <c r="C5" s="3707" t="s">
        <v>1673</v>
      </c>
      <c r="D5" s="3708"/>
      <c r="E5" s="3715" t="s">
        <v>1674</v>
      </c>
      <c r="F5" s="3716"/>
      <c r="G5" s="3707" t="s">
        <v>1675</v>
      </c>
      <c r="H5" s="3708"/>
      <c r="I5" s="3707" t="s">
        <v>1676</v>
      </c>
      <c r="J5" s="3708"/>
      <c r="K5" s="559"/>
      <c r="L5" s="2707"/>
      <c r="M5" s="2708"/>
      <c r="N5" s="2708"/>
      <c r="O5" s="2708"/>
      <c r="P5" s="3695"/>
      <c r="Q5" s="3696"/>
      <c r="R5" s="3701"/>
      <c r="S5" s="3702"/>
      <c r="T5" s="3701"/>
      <c r="U5" s="3702"/>
      <c r="V5" s="3686"/>
      <c r="W5" s="3686"/>
      <c r="X5" s="1354"/>
      <c r="Y5" s="3701"/>
      <c r="Z5" s="3702"/>
      <c r="AA5" s="3688"/>
      <c r="AB5" s="3686"/>
      <c r="AC5" s="3688"/>
    </row>
    <row r="6" spans="1:29" ht="15.75" thickBot="1">
      <c r="A6" s="360"/>
      <c r="B6" s="361"/>
      <c r="C6" s="3705" t="s">
        <v>1677</v>
      </c>
      <c r="D6" s="3706"/>
      <c r="E6" s="3713" t="s">
        <v>1677</v>
      </c>
      <c r="F6" s="3714"/>
      <c r="G6" s="3705" t="s">
        <v>1677</v>
      </c>
      <c r="H6" s="3706"/>
      <c r="I6" s="3705" t="s">
        <v>1677</v>
      </c>
      <c r="J6" s="3706"/>
      <c r="K6" s="559" t="s">
        <v>1678</v>
      </c>
      <c r="L6" s="2707"/>
      <c r="M6" s="2708"/>
      <c r="N6" s="2708"/>
      <c r="O6" s="2708"/>
      <c r="P6" s="3697"/>
      <c r="Q6" s="3698"/>
      <c r="R6" s="3701"/>
      <c r="S6" s="3702"/>
      <c r="T6" s="3703"/>
      <c r="U6" s="3704"/>
      <c r="V6" s="3686"/>
      <c r="W6" s="3686"/>
      <c r="X6" s="1354"/>
      <c r="Y6" s="3703"/>
      <c r="Z6" s="3704"/>
      <c r="AA6" s="3689"/>
      <c r="AB6" s="3686"/>
      <c r="AC6" s="3689"/>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09"/>
      <c r="M7" s="2710"/>
      <c r="N7" s="2710"/>
      <c r="O7" s="2710"/>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9"/>
      <c r="M8" s="2710"/>
      <c r="N8" s="2710"/>
      <c r="O8" s="2710"/>
      <c r="P8" s="3709" t="s">
        <v>1683</v>
      </c>
      <c r="Q8" s="3710"/>
      <c r="R8" s="701" t="s">
        <v>14</v>
      </c>
      <c r="S8" s="702">
        <f t="shared" si="0"/>
        <v>100</v>
      </c>
      <c r="T8" s="701" t="s">
        <v>14</v>
      </c>
      <c r="U8" s="702">
        <f t="shared" si="1"/>
        <v>100</v>
      </c>
      <c r="V8" s="701" t="s">
        <v>14</v>
      </c>
      <c r="W8" s="702">
        <f t="shared" si="2"/>
        <v>100</v>
      </c>
      <c r="X8" s="703"/>
      <c r="Y8" s="3709" t="s">
        <v>1683</v>
      </c>
      <c r="Z8" s="371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9"/>
      <c r="M9" s="2710"/>
      <c r="N9" s="2710"/>
      <c r="O9" s="2710"/>
      <c r="P9" s="3680"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26"/>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680"/>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3"/>
      <c r="M11" s="2708"/>
      <c r="N11" s="2708"/>
      <c r="O11" s="2708"/>
      <c r="P11" s="3680"/>
      <c r="Q11" s="1342"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680"/>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680"/>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680"/>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15">
      <c r="A15" s="391" t="s">
        <v>1690</v>
      </c>
      <c r="B15" s="61" t="s">
        <v>1777</v>
      </c>
      <c r="C15" s="1895"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4"/>
      <c r="M15" s="2708"/>
      <c r="N15" s="2708"/>
      <c r="O15" s="2708"/>
      <c r="P15" s="3749" t="s">
        <v>1691</v>
      </c>
      <c r="Q15" s="1351" t="str">
        <f t="shared" si="6"/>
        <v>商业繁华度</v>
      </c>
      <c r="R15" s="705" t="s">
        <v>14</v>
      </c>
      <c r="S15" s="706">
        <f t="shared" si="0"/>
        <v>100</v>
      </c>
      <c r="T15" s="705" t="s">
        <v>14</v>
      </c>
      <c r="U15" s="706">
        <f t="shared" si="1"/>
        <v>100</v>
      </c>
      <c r="V15" s="705" t="s">
        <v>14</v>
      </c>
      <c r="W15" s="706">
        <f t="shared" si="2"/>
        <v>100</v>
      </c>
      <c r="X15" s="1354"/>
      <c r="Y15" s="368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4"/>
      <c r="M16" s="2708"/>
      <c r="N16" s="2708"/>
      <c r="O16" s="2708"/>
      <c r="P16" s="3750"/>
      <c r="Q16" s="1351"/>
      <c r="R16" s="705"/>
      <c r="S16" s="706"/>
      <c r="T16" s="705"/>
      <c r="U16" s="706"/>
      <c r="V16" s="705"/>
      <c r="W16" s="706"/>
      <c r="X16" s="1354"/>
      <c r="Y16" s="3683"/>
      <c r="Z16" s="1355"/>
      <c r="AA16" s="1352">
        <v>1</v>
      </c>
      <c r="AB16" s="1352">
        <v>1</v>
      </c>
      <c r="AC16" s="1352">
        <v>1</v>
      </c>
    </row>
    <row r="17" spans="1:29" ht="15">
      <c r="A17" s="379"/>
      <c r="B17" s="402" t="s">
        <v>1259</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4"/>
      <c r="M17" s="2708"/>
      <c r="N17" s="2708"/>
      <c r="O17" s="2708"/>
      <c r="P17" s="3750"/>
      <c r="Q17" s="1351" t="str">
        <f>B17</f>
        <v>交通便捷度</v>
      </c>
      <c r="R17" s="705" t="s">
        <v>14</v>
      </c>
      <c r="S17" s="706">
        <f>F17</f>
        <v>100</v>
      </c>
      <c r="T17" s="705" t="s">
        <v>14</v>
      </c>
      <c r="U17" s="706">
        <f>H17</f>
        <v>100</v>
      </c>
      <c r="V17" s="705" t="s">
        <v>14</v>
      </c>
      <c r="W17" s="706">
        <f>J17</f>
        <v>100</v>
      </c>
      <c r="X17" s="1354"/>
      <c r="Y17" s="368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4"/>
      <c r="M18" s="2708"/>
      <c r="N18" s="2708"/>
      <c r="O18" s="2708"/>
      <c r="P18" s="3750"/>
      <c r="Q18" s="1351"/>
      <c r="R18" s="705"/>
      <c r="S18" s="706"/>
      <c r="T18" s="705"/>
      <c r="U18" s="706"/>
      <c r="V18" s="705"/>
      <c r="W18" s="706"/>
      <c r="X18" s="1354"/>
      <c r="Y18" s="3683"/>
      <c r="Z18" s="1355"/>
      <c r="AA18" s="1352">
        <v>1</v>
      </c>
      <c r="AB18" s="1352">
        <v>1</v>
      </c>
      <c r="AC18" s="1352">
        <v>1</v>
      </c>
    </row>
    <row r="19" spans="1:29" ht="15">
      <c r="A19" s="379"/>
      <c r="B19" s="402" t="s">
        <v>1778</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4"/>
      <c r="M19" s="2708"/>
      <c r="N19" s="2708"/>
      <c r="O19" s="2708"/>
      <c r="P19" s="3750"/>
      <c r="Q19" s="1351" t="str">
        <f>B19</f>
        <v>公共配套设施</v>
      </c>
      <c r="R19" s="705" t="s">
        <v>14</v>
      </c>
      <c r="S19" s="706">
        <f>F19</f>
        <v>100</v>
      </c>
      <c r="T19" s="705" t="s">
        <v>14</v>
      </c>
      <c r="U19" s="706">
        <f>H19</f>
        <v>100</v>
      </c>
      <c r="V19" s="705" t="s">
        <v>14</v>
      </c>
      <c r="W19" s="706">
        <f>J19</f>
        <v>100</v>
      </c>
      <c r="X19" s="1354"/>
      <c r="Y19" s="368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4"/>
      <c r="M20" s="2708"/>
      <c r="N20" s="2708"/>
      <c r="O20" s="2708"/>
      <c r="P20" s="3750"/>
      <c r="Q20" s="1351"/>
      <c r="R20" s="705"/>
      <c r="S20" s="706"/>
      <c r="T20" s="705"/>
      <c r="U20" s="706"/>
      <c r="V20" s="705"/>
      <c r="W20" s="706"/>
      <c r="X20" s="1354"/>
      <c r="Y20" s="3683"/>
      <c r="Z20" s="1355"/>
      <c r="AA20" s="1352">
        <v>1</v>
      </c>
      <c r="AB20" s="1352">
        <v>1</v>
      </c>
      <c r="AC20" s="1352">
        <v>1</v>
      </c>
    </row>
    <row r="21" spans="1:29" ht="15">
      <c r="A21" s="379"/>
      <c r="B21" s="1131"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4"/>
      <c r="M21" s="2708"/>
      <c r="N21" s="2708"/>
      <c r="O21" s="2708"/>
      <c r="P21" s="3750"/>
      <c r="Q21" s="1351" t="str">
        <f>B21</f>
        <v>基础设施水平</v>
      </c>
      <c r="R21" s="705" t="s">
        <v>14</v>
      </c>
      <c r="S21" s="706">
        <f>F21</f>
        <v>100</v>
      </c>
      <c r="T21" s="705" t="s">
        <v>14</v>
      </c>
      <c r="U21" s="706">
        <f>H21</f>
        <v>100</v>
      </c>
      <c r="V21" s="705" t="s">
        <v>14</v>
      </c>
      <c r="W21" s="706">
        <f>J21</f>
        <v>100</v>
      </c>
      <c r="X21" s="1354"/>
      <c r="Y21" s="368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4"/>
      <c r="M22" s="2708"/>
      <c r="N22" s="2708"/>
      <c r="O22" s="2708"/>
      <c r="P22" s="3750"/>
      <c r="Q22" s="1351"/>
      <c r="R22" s="705"/>
      <c r="S22" s="706"/>
      <c r="T22" s="705"/>
      <c r="U22" s="706"/>
      <c r="V22" s="705"/>
      <c r="W22" s="706"/>
      <c r="X22" s="1354"/>
      <c r="Y22" s="3683"/>
      <c r="Z22" s="1355"/>
      <c r="AA22" s="1352">
        <v>1</v>
      </c>
      <c r="AB22" s="1352">
        <v>1</v>
      </c>
      <c r="AC22" s="1352">
        <v>1</v>
      </c>
    </row>
    <row r="23" spans="1:29" ht="15">
      <c r="A23" s="379"/>
      <c r="B23" s="402" t="s">
        <v>1261</v>
      </c>
      <c r="C23" s="1952"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4"/>
      <c r="M23" s="2708"/>
      <c r="N23" s="2708"/>
      <c r="O23" s="2708"/>
      <c r="P23" s="3750"/>
      <c r="Q23" s="1351" t="str">
        <f>B23</f>
        <v>自然及人文环境</v>
      </c>
      <c r="R23" s="705" t="s">
        <v>14</v>
      </c>
      <c r="S23" s="706">
        <f>F23</f>
        <v>100</v>
      </c>
      <c r="T23" s="705" t="s">
        <v>14</v>
      </c>
      <c r="U23" s="706">
        <f>H23</f>
        <v>100</v>
      </c>
      <c r="V23" s="705" t="s">
        <v>14</v>
      </c>
      <c r="W23" s="706">
        <f>J23</f>
        <v>100</v>
      </c>
      <c r="X23" s="1354"/>
      <c r="Y23" s="3683"/>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4"/>
      <c r="M24" s="2708"/>
      <c r="N24" s="2708"/>
      <c r="O24" s="2708"/>
      <c r="P24" s="3750"/>
      <c r="Q24" s="1351"/>
      <c r="R24" s="705"/>
      <c r="S24" s="706"/>
      <c r="T24" s="705"/>
      <c r="U24" s="706"/>
      <c r="V24" s="705"/>
      <c r="W24" s="706"/>
      <c r="X24" s="1354"/>
      <c r="Y24" s="368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4"/>
      <c r="M25" s="2708"/>
      <c r="N25" s="2708"/>
      <c r="O25" s="2708"/>
      <c r="P25" s="3750"/>
      <c r="Q25" s="1351" t="str">
        <f t="shared" ref="Q25:Q46" si="11">B25</f>
        <v>临街状况</v>
      </c>
      <c r="R25" s="705" t="s">
        <v>14</v>
      </c>
      <c r="S25" s="706">
        <f>F25</f>
        <v>100</v>
      </c>
      <c r="T25" s="705" t="s">
        <v>14</v>
      </c>
      <c r="U25" s="706">
        <f>H25</f>
        <v>100</v>
      </c>
      <c r="V25" s="705" t="s">
        <v>14</v>
      </c>
      <c r="W25" s="706">
        <f>J25</f>
        <v>100</v>
      </c>
      <c r="X25" s="1354"/>
      <c r="Y25" s="3683"/>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4"/>
      <c r="M26" s="2708"/>
      <c r="N26" s="2708"/>
      <c r="O26" s="2708"/>
      <c r="P26" s="3750"/>
      <c r="Q26" s="1351" t="str">
        <f t="shared" si="11"/>
        <v>平面位置/可视性</v>
      </c>
      <c r="R26" s="705" t="s">
        <v>14</v>
      </c>
      <c r="S26" s="706">
        <f>F26</f>
        <v>100</v>
      </c>
      <c r="T26" s="705" t="s">
        <v>14</v>
      </c>
      <c r="U26" s="706">
        <f>H26</f>
        <v>100</v>
      </c>
      <c r="V26" s="705" t="s">
        <v>14</v>
      </c>
      <c r="W26" s="706">
        <f>J26</f>
        <v>100</v>
      </c>
      <c r="X26" s="1354"/>
      <c r="Y26" s="3683"/>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09"/>
      <c r="M27" s="2710"/>
      <c r="N27" s="2710"/>
      <c r="O27" s="2710"/>
      <c r="P27" s="3750"/>
      <c r="Q27" s="1342" t="str">
        <f t="shared" si="11"/>
        <v>人流量</v>
      </c>
      <c r="R27" s="701" t="s">
        <v>14</v>
      </c>
      <c r="S27" s="702">
        <f>F27</f>
        <v>100</v>
      </c>
      <c r="T27" s="701" t="s">
        <v>14</v>
      </c>
      <c r="U27" s="702">
        <f>H27</f>
        <v>100</v>
      </c>
      <c r="V27" s="701" t="s">
        <v>14</v>
      </c>
      <c r="W27" s="702">
        <f>J27</f>
        <v>100</v>
      </c>
      <c r="X27" s="703"/>
      <c r="Y27" s="368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4"/>
      <c r="M28" s="2708"/>
      <c r="N28" s="2708"/>
      <c r="O28" s="2708"/>
      <c r="P28" s="375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83"/>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50"/>
      <c r="Q29" s="1351">
        <f t="shared" si="11"/>
        <v>111</v>
      </c>
      <c r="R29" s="705" t="s">
        <v>14</v>
      </c>
      <c r="S29" s="706">
        <f t="shared" si="12"/>
        <v>100</v>
      </c>
      <c r="T29" s="705" t="s">
        <v>14</v>
      </c>
      <c r="U29" s="706">
        <f t="shared" si="13"/>
        <v>100</v>
      </c>
      <c r="V29" s="705" t="s">
        <v>14</v>
      </c>
      <c r="W29" s="706">
        <f t="shared" si="14"/>
        <v>100</v>
      </c>
      <c r="X29" s="1354"/>
      <c r="Y29" s="3683"/>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50"/>
      <c r="Q30" s="1351">
        <f t="shared" si="11"/>
        <v>111</v>
      </c>
      <c r="R30" s="705" t="s">
        <v>14</v>
      </c>
      <c r="S30" s="706">
        <f t="shared" si="12"/>
        <v>100</v>
      </c>
      <c r="T30" s="705" t="s">
        <v>14</v>
      </c>
      <c r="U30" s="706">
        <f t="shared" si="13"/>
        <v>100</v>
      </c>
      <c r="V30" s="705" t="s">
        <v>14</v>
      </c>
      <c r="W30" s="706">
        <f t="shared" si="14"/>
        <v>100</v>
      </c>
      <c r="X30" s="1354"/>
      <c r="Y30" s="3683"/>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50"/>
      <c r="Q31" s="1351">
        <f t="shared" si="11"/>
        <v>111</v>
      </c>
      <c r="R31" s="705" t="s">
        <v>14</v>
      </c>
      <c r="S31" s="706">
        <f t="shared" si="12"/>
        <v>100</v>
      </c>
      <c r="T31" s="705" t="s">
        <v>14</v>
      </c>
      <c r="U31" s="706">
        <f t="shared" si="13"/>
        <v>100</v>
      </c>
      <c r="V31" s="705" t="s">
        <v>14</v>
      </c>
      <c r="W31" s="706">
        <f t="shared" si="14"/>
        <v>100</v>
      </c>
      <c r="X31" s="1354"/>
      <c r="Y31" s="3683"/>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4"/>
      <c r="M32" s="2708"/>
      <c r="N32" s="2708"/>
      <c r="O32" s="2708"/>
      <c r="P32" s="3745" t="s">
        <v>1696</v>
      </c>
      <c r="Q32" s="1351" t="str">
        <f t="shared" si="11"/>
        <v>商业类型</v>
      </c>
      <c r="R32" s="705" t="s">
        <v>14</v>
      </c>
      <c r="S32" s="706">
        <f t="shared" si="12"/>
        <v>100</v>
      </c>
      <c r="T32" s="705" t="s">
        <v>14</v>
      </c>
      <c r="U32" s="706">
        <f t="shared" si="13"/>
        <v>100</v>
      </c>
      <c r="V32" s="705" t="s">
        <v>14</v>
      </c>
      <c r="W32" s="706">
        <f t="shared" si="14"/>
        <v>100</v>
      </c>
      <c r="X32" s="1354"/>
      <c r="Y32" s="3685"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3"/>
      <c r="M33" s="2715"/>
      <c r="N33" s="2715"/>
      <c r="O33" s="2715"/>
      <c r="P33" s="3746"/>
      <c r="Q33" s="707" t="str">
        <f t="shared" si="11"/>
        <v>项目建筑规模</v>
      </c>
      <c r="R33" s="708" t="s">
        <v>14</v>
      </c>
      <c r="S33" s="709" t="e">
        <f t="shared" si="12"/>
        <v>#N/A</v>
      </c>
      <c r="T33" s="708" t="s">
        <v>14</v>
      </c>
      <c r="U33" s="709" t="e">
        <f t="shared" si="13"/>
        <v>#N/A</v>
      </c>
      <c r="V33" s="708" t="s">
        <v>14</v>
      </c>
      <c r="W33" s="709" t="e">
        <f t="shared" si="14"/>
        <v>#N/A</v>
      </c>
      <c r="X33" s="710"/>
      <c r="Y33" s="3685"/>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4"/>
      <c r="M34" s="2708"/>
      <c r="N34" s="2708"/>
      <c r="O34" s="2708"/>
      <c r="P34" s="3746"/>
      <c r="Q34" s="1351" t="str">
        <f t="shared" si="11"/>
        <v>建筑结构</v>
      </c>
      <c r="R34" s="705" t="s">
        <v>14</v>
      </c>
      <c r="S34" s="706">
        <f t="shared" si="12"/>
        <v>100</v>
      </c>
      <c r="T34" s="705" t="s">
        <v>14</v>
      </c>
      <c r="U34" s="706">
        <f t="shared" si="13"/>
        <v>100</v>
      </c>
      <c r="V34" s="705" t="s">
        <v>14</v>
      </c>
      <c r="W34" s="706">
        <f t="shared" si="14"/>
        <v>100</v>
      </c>
      <c r="X34" s="1354"/>
      <c r="Y34" s="368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4"/>
      <c r="M35" s="2708"/>
      <c r="N35" s="2708"/>
      <c r="O35" s="2708"/>
      <c r="P35" s="3746"/>
      <c r="Q35" s="1351" t="str">
        <f t="shared" si="11"/>
        <v>公共部分装修</v>
      </c>
      <c r="R35" s="705" t="s">
        <v>14</v>
      </c>
      <c r="S35" s="706">
        <f t="shared" si="12"/>
        <v>100</v>
      </c>
      <c r="T35" s="705" t="s">
        <v>14</v>
      </c>
      <c r="U35" s="706">
        <f t="shared" si="13"/>
        <v>100</v>
      </c>
      <c r="V35" s="705" t="s">
        <v>14</v>
      </c>
      <c r="W35" s="706">
        <f t="shared" si="14"/>
        <v>100</v>
      </c>
      <c r="X35" s="1354"/>
      <c r="Y35" s="3685"/>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4"/>
      <c r="M36" s="2708"/>
      <c r="N36" s="2708"/>
      <c r="O36" s="2708"/>
      <c r="P36" s="3746"/>
      <c r="Q36" s="1351" t="str">
        <f t="shared" si="11"/>
        <v>成新度</v>
      </c>
      <c r="R36" s="705" t="s">
        <v>14</v>
      </c>
      <c r="S36" s="706" t="e">
        <f t="shared" si="12"/>
        <v>#N/A</v>
      </c>
      <c r="T36" s="705" t="s">
        <v>14</v>
      </c>
      <c r="U36" s="706" t="e">
        <f t="shared" si="13"/>
        <v>#N/A</v>
      </c>
      <c r="V36" s="705" t="s">
        <v>14</v>
      </c>
      <c r="W36" s="706" t="e">
        <f t="shared" si="14"/>
        <v>#N/A</v>
      </c>
      <c r="X36" s="1354"/>
      <c r="Y36" s="3685"/>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09"/>
      <c r="M37" s="2710"/>
      <c r="N37" s="2710"/>
      <c r="O37" s="2710"/>
      <c r="P37" s="3746"/>
      <c r="Q37" s="1342" t="str">
        <f t="shared" si="11"/>
        <v>市政基础设施</v>
      </c>
      <c r="R37" s="701" t="s">
        <v>14</v>
      </c>
      <c r="S37" s="702">
        <f t="shared" si="12"/>
        <v>100</v>
      </c>
      <c r="T37" s="701" t="s">
        <v>14</v>
      </c>
      <c r="U37" s="702">
        <f t="shared" si="13"/>
        <v>100</v>
      </c>
      <c r="V37" s="701" t="s">
        <v>14</v>
      </c>
      <c r="W37" s="702">
        <f t="shared" si="14"/>
        <v>100</v>
      </c>
      <c r="X37" s="703"/>
      <c r="Y37" s="3685"/>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4"/>
      <c r="M38" s="2708"/>
      <c r="N38" s="2708"/>
      <c r="O38" s="2708"/>
      <c r="P38" s="3746" t="s">
        <v>1696</v>
      </c>
      <c r="Q38" s="1351" t="str">
        <f t="shared" si="11"/>
        <v>业态</v>
      </c>
      <c r="R38" s="705" t="s">
        <v>14</v>
      </c>
      <c r="S38" s="706">
        <f t="shared" si="12"/>
        <v>100</v>
      </c>
      <c r="T38" s="705" t="s">
        <v>14</v>
      </c>
      <c r="U38" s="706">
        <f t="shared" si="13"/>
        <v>100</v>
      </c>
      <c r="V38" s="705" t="s">
        <v>14</v>
      </c>
      <c r="W38" s="706">
        <f t="shared" si="14"/>
        <v>100</v>
      </c>
      <c r="X38" s="1354"/>
      <c r="Y38" s="3685"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4"/>
      <c r="M39" s="2708"/>
      <c r="N39" s="2708"/>
      <c r="O39" s="2708"/>
      <c r="P39" s="3746"/>
      <c r="Q39" s="1351" t="str">
        <f t="shared" si="11"/>
        <v>层高</v>
      </c>
      <c r="R39" s="705" t="s">
        <v>14</v>
      </c>
      <c r="S39" s="706">
        <f t="shared" si="12"/>
        <v>100</v>
      </c>
      <c r="T39" s="705" t="s">
        <v>14</v>
      </c>
      <c r="U39" s="706">
        <f t="shared" si="13"/>
        <v>100</v>
      </c>
      <c r="V39" s="705" t="s">
        <v>14</v>
      </c>
      <c r="W39" s="706">
        <f t="shared" si="14"/>
        <v>100</v>
      </c>
      <c r="X39" s="1354"/>
      <c r="Y39" s="368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46"/>
      <c r="Q40" s="1351" t="str">
        <f t="shared" si="11"/>
        <v>单套建筑面积</v>
      </c>
      <c r="R40" s="705" t="s">
        <v>14</v>
      </c>
      <c r="S40" s="706">
        <f t="shared" si="12"/>
        <v>100</v>
      </c>
      <c r="T40" s="705" t="s">
        <v>14</v>
      </c>
      <c r="U40" s="706">
        <f t="shared" si="13"/>
        <v>100</v>
      </c>
      <c r="V40" s="705" t="s">
        <v>14</v>
      </c>
      <c r="W40" s="706">
        <f t="shared" si="14"/>
        <v>100</v>
      </c>
      <c r="X40" s="1354"/>
      <c r="Y40" s="368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46"/>
      <c r="Q41" s="707" t="str">
        <f t="shared" si="11"/>
        <v>进深比</v>
      </c>
      <c r="R41" s="708" t="s">
        <v>14</v>
      </c>
      <c r="S41" s="709">
        <f t="shared" si="12"/>
        <v>100</v>
      </c>
      <c r="T41" s="708" t="s">
        <v>14</v>
      </c>
      <c r="U41" s="709">
        <f t="shared" si="13"/>
        <v>100</v>
      </c>
      <c r="V41" s="708" t="s">
        <v>14</v>
      </c>
      <c r="W41" s="709">
        <f t="shared" si="14"/>
        <v>100</v>
      </c>
      <c r="X41" s="710"/>
      <c r="Y41" s="3685"/>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4"/>
      <c r="M42" s="2708"/>
      <c r="N42" s="2708"/>
      <c r="O42" s="2708"/>
      <c r="P42" s="3746"/>
      <c r="Q42" s="1351" t="str">
        <f t="shared" si="11"/>
        <v>内部装修</v>
      </c>
      <c r="R42" s="705" t="s">
        <v>14</v>
      </c>
      <c r="S42" s="706">
        <f t="shared" si="12"/>
        <v>100</v>
      </c>
      <c r="T42" s="705" t="s">
        <v>14</v>
      </c>
      <c r="U42" s="706">
        <f t="shared" si="13"/>
        <v>100</v>
      </c>
      <c r="V42" s="705" t="s">
        <v>14</v>
      </c>
      <c r="W42" s="706">
        <f t="shared" si="14"/>
        <v>100</v>
      </c>
      <c r="X42" s="1354"/>
      <c r="Y42" s="3685"/>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4"/>
      <c r="M43" s="2708"/>
      <c r="N43" s="2708"/>
      <c r="O43" s="2708"/>
      <c r="P43" s="3746"/>
      <c r="Q43" s="1351" t="str">
        <f t="shared" si="11"/>
        <v>内部装修维护情况</v>
      </c>
      <c r="R43" s="705" t="s">
        <v>14</v>
      </c>
      <c r="S43" s="706">
        <f t="shared" si="12"/>
        <v>100</v>
      </c>
      <c r="T43" s="705" t="s">
        <v>14</v>
      </c>
      <c r="U43" s="706">
        <f t="shared" si="13"/>
        <v>100</v>
      </c>
      <c r="V43" s="705" t="s">
        <v>14</v>
      </c>
      <c r="W43" s="706">
        <f t="shared" si="14"/>
        <v>100</v>
      </c>
      <c r="X43" s="1354"/>
      <c r="Y43" s="3685"/>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46"/>
      <c r="Q44" s="1342">
        <f t="shared" si="11"/>
        <v>111</v>
      </c>
      <c r="R44" s="701" t="s">
        <v>14</v>
      </c>
      <c r="S44" s="702">
        <f t="shared" si="12"/>
        <v>100</v>
      </c>
      <c r="T44" s="701" t="s">
        <v>14</v>
      </c>
      <c r="U44" s="702">
        <f t="shared" si="13"/>
        <v>100</v>
      </c>
      <c r="V44" s="701" t="s">
        <v>14</v>
      </c>
      <c r="W44" s="702">
        <f t="shared" si="14"/>
        <v>100</v>
      </c>
      <c r="X44" s="703"/>
      <c r="Y44" s="368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46"/>
      <c r="Q45" s="1351">
        <f t="shared" si="11"/>
        <v>111</v>
      </c>
      <c r="R45" s="705" t="s">
        <v>14</v>
      </c>
      <c r="S45" s="706">
        <f t="shared" si="12"/>
        <v>100</v>
      </c>
      <c r="T45" s="705" t="s">
        <v>14</v>
      </c>
      <c r="U45" s="706">
        <f t="shared" si="13"/>
        <v>100</v>
      </c>
      <c r="V45" s="705" t="s">
        <v>14</v>
      </c>
      <c r="W45" s="706">
        <f t="shared" si="14"/>
        <v>100</v>
      </c>
      <c r="X45" s="1354"/>
      <c r="Y45" s="368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47"/>
      <c r="Q46" s="1351">
        <f t="shared" si="11"/>
        <v>111</v>
      </c>
      <c r="R46" s="705" t="s">
        <v>14</v>
      </c>
      <c r="S46" s="706">
        <f t="shared" si="12"/>
        <v>100</v>
      </c>
      <c r="T46" s="705" t="s">
        <v>14</v>
      </c>
      <c r="U46" s="706">
        <f t="shared" si="13"/>
        <v>100</v>
      </c>
      <c r="V46" s="705" t="s">
        <v>14</v>
      </c>
      <c r="W46" s="706">
        <f t="shared" si="14"/>
        <v>100</v>
      </c>
      <c r="X46" s="1354"/>
      <c r="Y46" s="3748"/>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6"/>
      <c r="M47" s="2717"/>
      <c r="N47" s="2708"/>
      <c r="O47" s="2717"/>
      <c r="P47" s="3681" t="str">
        <f>A47</f>
        <v>成交单价（元/平方米）</v>
      </c>
      <c r="Q47" s="3681"/>
      <c r="R47" s="3686">
        <f>E47</f>
        <v>0</v>
      </c>
      <c r="S47" s="3686"/>
      <c r="T47" s="3686">
        <f>G47</f>
        <v>0</v>
      </c>
      <c r="U47" s="3686"/>
      <c r="V47" s="3686">
        <f>I47</f>
        <v>0</v>
      </c>
      <c r="W47" s="3686"/>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16"/>
      <c r="M48" s="2717"/>
      <c r="N48" s="2708"/>
      <c r="O48" s="2717"/>
      <c r="P48" s="3681" t="str">
        <f>A48</f>
        <v>比较价值（元/平方米）</v>
      </c>
      <c r="Q48" s="3681"/>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6"/>
      <c r="M49" s="2717"/>
      <c r="N49" s="2708"/>
      <c r="O49" s="2717"/>
      <c r="P49" s="3675" t="str">
        <f>A49</f>
        <v>估价对象XX用房的比较价值（楼面单价，元/平方米）</v>
      </c>
      <c r="Q49" s="3676"/>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1798</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2"/>
      <c r="Q58" s="2733"/>
      <c r="R58" s="2733"/>
      <c r="S58" s="2733"/>
      <c r="T58" s="2733"/>
      <c r="U58" s="2733"/>
      <c r="V58" s="2733"/>
      <c r="W58" s="2733"/>
      <c r="X58" s="2733"/>
      <c r="Y58" s="2733"/>
      <c r="Z58" s="2733"/>
      <c r="AA58" s="2733"/>
      <c r="AB58" s="2733"/>
      <c r="AC58" s="2733"/>
    </row>
    <row r="59" spans="1:29" s="108" customFormat="1" ht="15">
      <c r="A59" s="458"/>
      <c r="B59" s="459"/>
      <c r="C59" s="1182">
        <v>100</v>
      </c>
      <c r="D59" s="461"/>
      <c r="E59" s="461"/>
      <c r="F59" s="461"/>
      <c r="G59" s="461"/>
      <c r="H59" s="461"/>
      <c r="I59" s="461"/>
      <c r="J59" s="461"/>
      <c r="K59" s="461"/>
      <c r="L59" s="461"/>
      <c r="M59" s="462"/>
      <c r="N59" s="461"/>
      <c r="O59" s="462"/>
      <c r="P59" s="2734"/>
      <c r="Q59" s="2653"/>
      <c r="R59" s="2653"/>
      <c r="S59" s="2653"/>
      <c r="T59" s="2653"/>
      <c r="U59" s="2653"/>
      <c r="V59" s="2653"/>
      <c r="W59" s="2653"/>
      <c r="X59" s="2653"/>
      <c r="Y59" s="2653"/>
      <c r="Z59" s="2653"/>
      <c r="AA59" s="2653"/>
      <c r="AB59" s="2653"/>
      <c r="AC59" s="2653"/>
    </row>
    <row r="60" spans="1:29" s="108" customFormat="1" ht="15.75" thickBot="1">
      <c r="A60" s="464" t="s">
        <v>1716</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5">
      <c r="A61" s="470" t="s">
        <v>1681</v>
      </c>
      <c r="B61" s="459"/>
      <c r="C61" s="471" t="s">
        <v>1776</v>
      </c>
      <c r="D61" s="472"/>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5.75" thickBot="1">
      <c r="A62" s="470"/>
      <c r="B62" s="459"/>
      <c r="C62" s="460">
        <v>100</v>
      </c>
      <c r="D62" s="461"/>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c r="A63" s="476" t="s">
        <v>1719</v>
      </c>
      <c r="B63" s="477" t="s">
        <v>1685</v>
      </c>
      <c r="C63" s="478">
        <f>C9</f>
        <v>0</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1688</v>
      </c>
      <c r="C65" s="532"/>
      <c r="D65" s="532"/>
      <c r="E65" s="532"/>
      <c r="F65" s="532"/>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c r="D66" s="485"/>
      <c r="E66" s="485"/>
      <c r="F66" s="485"/>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c r="D68" s="498"/>
      <c r="E68" s="498"/>
      <c r="F68" s="498"/>
      <c r="G68" s="498"/>
      <c r="H68" s="498"/>
      <c r="I68" s="498"/>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1690</v>
      </c>
      <c r="B76" s="477" t="s">
        <v>1720</v>
      </c>
      <c r="C76" s="522" t="s">
        <v>1721</v>
      </c>
      <c r="D76" s="522" t="s">
        <v>1722</v>
      </c>
      <c r="E76" s="522" t="s">
        <v>1723</v>
      </c>
      <c r="F76" s="522" t="s">
        <v>1724</v>
      </c>
      <c r="G76" s="522" t="s">
        <v>1725</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1726</v>
      </c>
      <c r="C78" s="527" t="s">
        <v>1721</v>
      </c>
      <c r="D78" s="527" t="s">
        <v>1722</v>
      </c>
      <c r="E78" s="527" t="s">
        <v>1723</v>
      </c>
      <c r="F78" s="527" t="s">
        <v>1724</v>
      </c>
      <c r="G78" s="527" t="s">
        <v>1725</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1727</v>
      </c>
      <c r="C80" s="527" t="s">
        <v>1721</v>
      </c>
      <c r="D80" s="527" t="s">
        <v>1722</v>
      </c>
      <c r="E80" s="527" t="s">
        <v>1723</v>
      </c>
      <c r="F80" s="527" t="s">
        <v>1724</v>
      </c>
      <c r="G80" s="527" t="s">
        <v>1725</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1779</v>
      </c>
      <c r="C82" s="608" t="s">
        <v>1799</v>
      </c>
      <c r="D82" s="608" t="s">
        <v>1800</v>
      </c>
      <c r="E82" s="608" t="s">
        <v>1801</v>
      </c>
      <c r="F82" s="608" t="s">
        <v>1802</v>
      </c>
      <c r="G82" s="608" t="s">
        <v>1803</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1733</v>
      </c>
      <c r="C84" s="527" t="s">
        <v>1721</v>
      </c>
      <c r="D84" s="527" t="s">
        <v>1722</v>
      </c>
      <c r="E84" s="527" t="s">
        <v>1723</v>
      </c>
      <c r="F84" s="527" t="s">
        <v>1724</v>
      </c>
      <c r="G84" s="527" t="s">
        <v>1725</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1804</v>
      </c>
      <c r="C86" s="503"/>
      <c r="D86" s="503"/>
      <c r="E86" s="503"/>
      <c r="F86" s="503"/>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503"/>
      <c r="D88" s="503"/>
      <c r="E88" s="503"/>
      <c r="F88" s="1924"/>
      <c r="G88" s="503"/>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5.75" thickBot="1">
      <c r="A89" s="528"/>
      <c r="B89" s="492"/>
      <c r="C89" s="509"/>
      <c r="D89" s="485"/>
      <c r="E89" s="485"/>
      <c r="F89" s="485"/>
      <c r="G89" s="485"/>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75" thickTop="1">
      <c r="A90" s="502"/>
      <c r="B90" s="487" t="str">
        <f>B27</f>
        <v>人流量</v>
      </c>
      <c r="C90" s="503"/>
      <c r="D90" s="503"/>
      <c r="E90" s="503"/>
      <c r="F90" s="503"/>
      <c r="G90" s="503"/>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c r="D92" s="503"/>
      <c r="E92" s="503"/>
      <c r="F92" s="503"/>
      <c r="G92" s="503"/>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c r="D93" s="485"/>
      <c r="E93" s="485"/>
      <c r="F93" s="485"/>
      <c r="G93" s="485"/>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5"/>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1694</v>
      </c>
      <c r="B100" s="477" t="s">
        <v>1805</v>
      </c>
      <c r="C100" s="479"/>
      <c r="D100" s="479"/>
      <c r="E100" s="479"/>
      <c r="F100" s="479"/>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c r="D103" s="544"/>
      <c r="E103" s="544"/>
      <c r="F103" s="544"/>
      <c r="G103" s="544"/>
      <c r="H103" s="544"/>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c r="D104" s="485"/>
      <c r="E104" s="485"/>
      <c r="F104" s="485"/>
      <c r="G104" s="485"/>
      <c r="H104" s="485"/>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1738</v>
      </c>
      <c r="C105" s="503"/>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1740</v>
      </c>
      <c r="C107" s="503"/>
      <c r="D107" s="503"/>
      <c r="E107" s="503"/>
      <c r="F107" s="532"/>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1742</v>
      </c>
      <c r="C112" s="503"/>
      <c r="D112" s="503"/>
      <c r="E112" s="503"/>
      <c r="F112" s="503"/>
      <c r="G112" s="503"/>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1806</v>
      </c>
      <c r="C114" s="503"/>
      <c r="D114" s="503"/>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1807</v>
      </c>
      <c r="C116" s="503"/>
      <c r="D116" s="503"/>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1808</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1809</v>
      </c>
      <c r="C120" s="532"/>
      <c r="D120" s="532"/>
      <c r="E120" s="532"/>
      <c r="F120" s="532"/>
      <c r="G120" s="504"/>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1744</v>
      </c>
      <c r="C122" s="503"/>
      <c r="D122" s="503"/>
      <c r="E122" s="503"/>
      <c r="F122" s="532"/>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5"/>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1810</v>
      </c>
      <c r="C1" s="1223" t="s">
        <v>1662</v>
      </c>
      <c r="D1" s="1224"/>
      <c r="E1" s="3425"/>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75416.17</v>
      </c>
      <c r="E3" s="1951"/>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5">
      <c r="A4" s="355" t="s">
        <v>1769</v>
      </c>
      <c r="B4" s="356"/>
      <c r="C4" s="3678" t="s">
        <v>1770</v>
      </c>
      <c r="D4" s="3690"/>
      <c r="E4" s="3691" t="s">
        <v>1771</v>
      </c>
      <c r="F4" s="3692"/>
      <c r="G4" s="3678" t="s">
        <v>1772</v>
      </c>
      <c r="H4" s="3690"/>
      <c r="I4" s="3678" t="s">
        <v>1773</v>
      </c>
      <c r="J4" s="3690"/>
      <c r="K4" s="559" t="s">
        <v>1774</v>
      </c>
      <c r="L4" s="2707"/>
      <c r="M4" s="2708"/>
      <c r="N4" s="2708"/>
      <c r="O4" s="2708"/>
      <c r="P4" s="3757" t="s">
        <v>1775</v>
      </c>
      <c r="Q4" s="3758"/>
      <c r="R4" s="3761" t="s">
        <v>1771</v>
      </c>
      <c r="S4" s="3762"/>
      <c r="T4" s="3761" t="s">
        <v>1772</v>
      </c>
      <c r="U4" s="3762"/>
      <c r="V4" s="3763" t="s">
        <v>1773</v>
      </c>
      <c r="W4" s="3763"/>
      <c r="X4" s="1955"/>
      <c r="Y4" s="3761" t="s">
        <v>1775</v>
      </c>
      <c r="Z4" s="3762"/>
      <c r="AA4" s="3765" t="s">
        <v>1771</v>
      </c>
      <c r="AB4" s="3765" t="s">
        <v>1772</v>
      </c>
      <c r="AC4" s="3754" t="s">
        <v>1773</v>
      </c>
    </row>
    <row r="5" spans="1:29" ht="15">
      <c r="A5" s="358"/>
      <c r="B5" s="359"/>
      <c r="C5" s="3707" t="s">
        <v>1673</v>
      </c>
      <c r="D5" s="3708"/>
      <c r="E5" s="3715" t="s">
        <v>1674</v>
      </c>
      <c r="F5" s="3716"/>
      <c r="G5" s="3707" t="s">
        <v>1675</v>
      </c>
      <c r="H5" s="3708"/>
      <c r="I5" s="3707" t="s">
        <v>1676</v>
      </c>
      <c r="J5" s="3708"/>
      <c r="K5" s="559"/>
      <c r="L5" s="2707"/>
      <c r="M5" s="2708"/>
      <c r="N5" s="2708"/>
      <c r="O5" s="2708"/>
      <c r="P5" s="3759"/>
      <c r="Q5" s="3696"/>
      <c r="R5" s="3701"/>
      <c r="S5" s="3702"/>
      <c r="T5" s="3701"/>
      <c r="U5" s="3702"/>
      <c r="V5" s="3686"/>
      <c r="W5" s="3686"/>
      <c r="X5" s="1354"/>
      <c r="Y5" s="3701"/>
      <c r="Z5" s="3702"/>
      <c r="AA5" s="3688"/>
      <c r="AB5" s="3688"/>
      <c r="AC5" s="3755"/>
    </row>
    <row r="6" spans="1:29" ht="15.75" thickBot="1">
      <c r="A6" s="360"/>
      <c r="B6" s="361"/>
      <c r="C6" s="3705" t="s">
        <v>1677</v>
      </c>
      <c r="D6" s="3706"/>
      <c r="E6" s="3713" t="s">
        <v>1677</v>
      </c>
      <c r="F6" s="3714"/>
      <c r="G6" s="3705" t="s">
        <v>1677</v>
      </c>
      <c r="H6" s="3706"/>
      <c r="I6" s="3705" t="s">
        <v>1677</v>
      </c>
      <c r="J6" s="3706"/>
      <c r="K6" s="559" t="s">
        <v>1678</v>
      </c>
      <c r="L6" s="2707"/>
      <c r="M6" s="2708"/>
      <c r="N6" s="2708"/>
      <c r="O6" s="2708"/>
      <c r="P6" s="3760"/>
      <c r="Q6" s="3698"/>
      <c r="R6" s="3701"/>
      <c r="S6" s="3702"/>
      <c r="T6" s="3703"/>
      <c r="U6" s="3704"/>
      <c r="V6" s="3686"/>
      <c r="W6" s="3686"/>
      <c r="X6" s="1354"/>
      <c r="Y6" s="3703"/>
      <c r="Z6" s="3704"/>
      <c r="AA6" s="3689"/>
      <c r="AB6" s="3689"/>
      <c r="AC6" s="3756"/>
    </row>
    <row r="7" spans="1:29" s="108" customFormat="1" ht="15.75" thickBot="1">
      <c r="A7" s="362" t="s">
        <v>1679</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09"/>
      <c r="M7" s="2710"/>
      <c r="N7" s="2710"/>
      <c r="O7" s="2710"/>
      <c r="P7" s="3764"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9"/>
      <c r="M8" s="2710"/>
      <c r="N8" s="2710"/>
      <c r="O8" s="2710"/>
      <c r="P8" s="3764" t="s">
        <v>1683</v>
      </c>
      <c r="Q8" s="3710"/>
      <c r="R8" s="701" t="s">
        <v>14</v>
      </c>
      <c r="S8" s="702">
        <f t="shared" si="0"/>
        <v>100</v>
      </c>
      <c r="T8" s="701" t="s">
        <v>14</v>
      </c>
      <c r="U8" s="702">
        <f t="shared" si="1"/>
        <v>100</v>
      </c>
      <c r="V8" s="701" t="s">
        <v>14</v>
      </c>
      <c r="W8" s="702">
        <f t="shared" si="2"/>
        <v>100</v>
      </c>
      <c r="X8" s="703"/>
      <c r="Y8" s="3709" t="s">
        <v>1683</v>
      </c>
      <c r="Z8" s="3710"/>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9"/>
      <c r="M9" s="2710"/>
      <c r="N9" s="2710"/>
      <c r="O9" s="2710"/>
      <c r="P9" s="3680"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6">
        <f t="shared" si="5"/>
        <v>1</v>
      </c>
    </row>
    <row r="10" spans="1:29" s="378" customFormat="1" ht="27">
      <c r="A10" s="374"/>
      <c r="B10" s="375" t="s">
        <v>1688</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680"/>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680"/>
      <c r="Q11" s="1342"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09"/>
      <c r="M12" s="2710"/>
      <c r="N12" s="2710"/>
      <c r="O12" s="2710"/>
      <c r="P12" s="3680"/>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4"/>
      <c r="M13" s="2708"/>
      <c r="N13" s="2708"/>
      <c r="O13" s="2708"/>
      <c r="P13" s="3680"/>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4"/>
      <c r="M14" s="2708"/>
      <c r="N14" s="2708"/>
      <c r="O14" s="2708"/>
      <c r="P14" s="3680"/>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6">
        <f t="shared" si="5"/>
        <v>1</v>
      </c>
    </row>
    <row r="15" spans="1:29" ht="15">
      <c r="A15" s="391" t="s">
        <v>1690</v>
      </c>
      <c r="B15" s="577" t="s">
        <v>1811</v>
      </c>
      <c r="C15" s="1958"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4"/>
      <c r="M15" s="2708"/>
      <c r="N15" s="2708"/>
      <c r="O15" s="2708"/>
      <c r="P15" s="3749" t="s">
        <v>1691</v>
      </c>
      <c r="Q15" s="1351" t="str">
        <f t="shared" si="6"/>
        <v>办公集聚程度</v>
      </c>
      <c r="R15" s="705" t="s">
        <v>14</v>
      </c>
      <c r="S15" s="706">
        <f t="shared" si="0"/>
        <v>100</v>
      </c>
      <c r="T15" s="705" t="s">
        <v>14</v>
      </c>
      <c r="U15" s="706">
        <f t="shared" si="1"/>
        <v>100</v>
      </c>
      <c r="V15" s="705" t="s">
        <v>14</v>
      </c>
      <c r="W15" s="706">
        <f t="shared" si="2"/>
        <v>100</v>
      </c>
      <c r="X15" s="1354"/>
      <c r="Y15" s="3682" t="s">
        <v>1691</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4"/>
      <c r="M16" s="2708"/>
      <c r="N16" s="2708"/>
      <c r="O16" s="2708"/>
      <c r="P16" s="3750"/>
      <c r="Q16" s="1351"/>
      <c r="R16" s="705"/>
      <c r="S16" s="706"/>
      <c r="T16" s="705"/>
      <c r="U16" s="706"/>
      <c r="V16" s="705"/>
      <c r="W16" s="706"/>
      <c r="X16" s="1354"/>
      <c r="Y16" s="3683"/>
      <c r="Z16" s="1355"/>
      <c r="AA16" s="1352">
        <v>1</v>
      </c>
      <c r="AB16" s="1352">
        <v>1</v>
      </c>
      <c r="AC16" s="1959">
        <v>1</v>
      </c>
    </row>
    <row r="17" spans="1:29" ht="15">
      <c r="A17" s="379"/>
      <c r="B17" s="579" t="s">
        <v>1259</v>
      </c>
      <c r="C17" s="1960"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4"/>
      <c r="M17" s="2708"/>
      <c r="N17" s="2708"/>
      <c r="O17" s="2708"/>
      <c r="P17" s="3750"/>
      <c r="Q17" s="1351" t="str">
        <f>B17</f>
        <v>交通便捷度</v>
      </c>
      <c r="R17" s="705" t="s">
        <v>14</v>
      </c>
      <c r="S17" s="706">
        <f>F17</f>
        <v>100</v>
      </c>
      <c r="T17" s="705" t="s">
        <v>14</v>
      </c>
      <c r="U17" s="706">
        <f>H17</f>
        <v>100</v>
      </c>
      <c r="V17" s="705" t="s">
        <v>14</v>
      </c>
      <c r="W17" s="706">
        <f>J17</f>
        <v>100</v>
      </c>
      <c r="X17" s="1354"/>
      <c r="Y17" s="3683"/>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4"/>
      <c r="M18" s="2708"/>
      <c r="N18" s="2708"/>
      <c r="O18" s="2708"/>
      <c r="P18" s="3750"/>
      <c r="Q18" s="1351"/>
      <c r="R18" s="705"/>
      <c r="S18" s="706"/>
      <c r="T18" s="705"/>
      <c r="U18" s="706"/>
      <c r="V18" s="705"/>
      <c r="W18" s="706"/>
      <c r="X18" s="1354"/>
      <c r="Y18" s="3683"/>
      <c r="Z18" s="1355"/>
      <c r="AA18" s="1352">
        <v>1</v>
      </c>
      <c r="AB18" s="1352">
        <v>1</v>
      </c>
      <c r="AC18" s="1959">
        <v>1</v>
      </c>
    </row>
    <row r="19" spans="1:29" ht="15">
      <c r="A19" s="379"/>
      <c r="B19" s="579" t="s">
        <v>1812</v>
      </c>
      <c r="C19" s="1960"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4"/>
      <c r="M19" s="2708"/>
      <c r="N19" s="2708"/>
      <c r="O19" s="2708"/>
      <c r="P19" s="3750"/>
      <c r="Q19" s="1351" t="str">
        <f>B19</f>
        <v>公共配套设施</v>
      </c>
      <c r="R19" s="705" t="s">
        <v>14</v>
      </c>
      <c r="S19" s="706">
        <f>F19</f>
        <v>100</v>
      </c>
      <c r="T19" s="705" t="s">
        <v>14</v>
      </c>
      <c r="U19" s="706">
        <f>H19</f>
        <v>100</v>
      </c>
      <c r="V19" s="705" t="s">
        <v>14</v>
      </c>
      <c r="W19" s="706">
        <f>J19</f>
        <v>100</v>
      </c>
      <c r="X19" s="1354"/>
      <c r="Y19" s="3683"/>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4"/>
      <c r="M20" s="2708"/>
      <c r="N20" s="2708"/>
      <c r="O20" s="2708"/>
      <c r="P20" s="3750"/>
      <c r="Q20" s="1351"/>
      <c r="R20" s="705"/>
      <c r="S20" s="706"/>
      <c r="T20" s="705"/>
      <c r="U20" s="706"/>
      <c r="V20" s="705"/>
      <c r="W20" s="706"/>
      <c r="X20" s="1354"/>
      <c r="Y20" s="3683"/>
      <c r="Z20" s="1355"/>
      <c r="AA20" s="1352">
        <v>1</v>
      </c>
      <c r="AB20" s="1352">
        <v>1</v>
      </c>
      <c r="AC20" s="1959">
        <v>1</v>
      </c>
    </row>
    <row r="21" spans="1:29" ht="15">
      <c r="A21" s="379"/>
      <c r="B21" s="581" t="s">
        <v>1813</v>
      </c>
      <c r="C21" s="1960"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4"/>
      <c r="M21" s="2708"/>
      <c r="N21" s="2708"/>
      <c r="O21" s="2708"/>
      <c r="P21" s="3750"/>
      <c r="Q21" s="1351" t="str">
        <f>B21</f>
        <v>基础设施水平</v>
      </c>
      <c r="R21" s="705" t="s">
        <v>14</v>
      </c>
      <c r="S21" s="706">
        <f>F21</f>
        <v>100</v>
      </c>
      <c r="T21" s="705" t="s">
        <v>14</v>
      </c>
      <c r="U21" s="706">
        <f>H21</f>
        <v>100</v>
      </c>
      <c r="V21" s="705" t="s">
        <v>14</v>
      </c>
      <c r="W21" s="706">
        <f>J21</f>
        <v>100</v>
      </c>
      <c r="X21" s="1354"/>
      <c r="Y21" s="3683"/>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30"/>
      <c r="L22" s="2714"/>
      <c r="M22" s="2708"/>
      <c r="N22" s="2708"/>
      <c r="O22" s="2708"/>
      <c r="P22" s="3750"/>
      <c r="Q22" s="1351"/>
      <c r="R22" s="705"/>
      <c r="S22" s="706"/>
      <c r="T22" s="705"/>
      <c r="U22" s="706"/>
      <c r="V22" s="705"/>
      <c r="W22" s="706"/>
      <c r="X22" s="1354"/>
      <c r="Y22" s="3683"/>
      <c r="Z22" s="1355"/>
      <c r="AA22" s="1352">
        <v>1</v>
      </c>
      <c r="AB22" s="1352">
        <v>1</v>
      </c>
      <c r="AC22" s="1959">
        <v>1</v>
      </c>
    </row>
    <row r="23" spans="1:29" ht="15">
      <c r="A23" s="379"/>
      <c r="B23" s="579" t="s">
        <v>1814</v>
      </c>
      <c r="C23" s="1960"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4"/>
      <c r="M23" s="2708"/>
      <c r="N23" s="2708"/>
      <c r="O23" s="2708"/>
      <c r="P23" s="3750"/>
      <c r="Q23" s="1351" t="str">
        <f>B23</f>
        <v>环境质量</v>
      </c>
      <c r="R23" s="705" t="s">
        <v>14</v>
      </c>
      <c r="S23" s="706">
        <f>F23</f>
        <v>100</v>
      </c>
      <c r="T23" s="705" t="s">
        <v>14</v>
      </c>
      <c r="U23" s="706">
        <f>H23</f>
        <v>100</v>
      </c>
      <c r="V23" s="705" t="s">
        <v>14</v>
      </c>
      <c r="W23" s="706">
        <f>J23</f>
        <v>100</v>
      </c>
      <c r="X23" s="1354"/>
      <c r="Y23" s="3683"/>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4"/>
      <c r="M24" s="2708"/>
      <c r="N24" s="2708"/>
      <c r="O24" s="2708"/>
      <c r="P24" s="3750"/>
      <c r="Q24" s="1351"/>
      <c r="R24" s="705"/>
      <c r="S24" s="706"/>
      <c r="T24" s="705"/>
      <c r="U24" s="706"/>
      <c r="V24" s="705"/>
      <c r="W24" s="706"/>
      <c r="X24" s="1354"/>
      <c r="Y24" s="3683"/>
      <c r="Z24" s="1355"/>
      <c r="AA24" s="1352">
        <v>1</v>
      </c>
      <c r="AB24" s="1352">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4"/>
      <c r="M25" s="2708"/>
      <c r="N25" s="2708"/>
      <c r="O25" s="2708"/>
      <c r="P25" s="3750"/>
      <c r="Q25" s="1351" t="str">
        <f>B25</f>
        <v>毗邻道路的类型与等级</v>
      </c>
      <c r="R25" s="705" t="s">
        <v>14</v>
      </c>
      <c r="S25" s="706">
        <f>F25</f>
        <v>100</v>
      </c>
      <c r="T25" s="705" t="s">
        <v>14</v>
      </c>
      <c r="U25" s="706">
        <f>H25</f>
        <v>100</v>
      </c>
      <c r="V25" s="705" t="s">
        <v>14</v>
      </c>
      <c r="W25" s="706">
        <f>J25</f>
        <v>100</v>
      </c>
      <c r="X25" s="1354"/>
      <c r="Y25" s="3683"/>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4"/>
      <c r="M26" s="2708"/>
      <c r="N26" s="2708"/>
      <c r="O26" s="2708"/>
      <c r="P26" s="3750"/>
      <c r="Q26" s="1351"/>
      <c r="R26" s="705"/>
      <c r="S26" s="706"/>
      <c r="T26" s="705"/>
      <c r="U26" s="706"/>
      <c r="V26" s="705"/>
      <c r="W26" s="706"/>
      <c r="X26" s="1354"/>
      <c r="Y26" s="3683"/>
      <c r="Z26" s="1355"/>
      <c r="AA26" s="1352">
        <v>1</v>
      </c>
      <c r="AB26" s="1352">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50"/>
      <c r="Q27" s="1351" t="str">
        <f t="shared" ref="Q27:Q47" si="11">B27</f>
        <v>楼层</v>
      </c>
      <c r="R27" s="705" t="s">
        <v>14</v>
      </c>
      <c r="S27" s="706">
        <f>F27</f>
        <v>100</v>
      </c>
      <c r="T27" s="705" t="s">
        <v>14</v>
      </c>
      <c r="U27" s="706">
        <f>H27</f>
        <v>100</v>
      </c>
      <c r="V27" s="705" t="s">
        <v>14</v>
      </c>
      <c r="W27" s="706">
        <f>J27</f>
        <v>100</v>
      </c>
      <c r="X27" s="1354"/>
      <c r="Y27" s="3683"/>
      <c r="Z27" s="1355" t="str">
        <f>Q27</f>
        <v>楼层</v>
      </c>
      <c r="AA27" s="1352">
        <f t="shared" si="3"/>
        <v>1</v>
      </c>
      <c r="AB27" s="1352">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09"/>
      <c r="M28" s="2710"/>
      <c r="N28" s="2710"/>
      <c r="O28" s="2710"/>
      <c r="P28" s="3750"/>
      <c r="Q28" s="1342" t="str">
        <f t="shared" si="11"/>
        <v>朝向</v>
      </c>
      <c r="R28" s="701" t="s">
        <v>14</v>
      </c>
      <c r="S28" s="702">
        <f>F28</f>
        <v>100</v>
      </c>
      <c r="T28" s="701" t="s">
        <v>14</v>
      </c>
      <c r="U28" s="702">
        <f>H28</f>
        <v>100</v>
      </c>
      <c r="V28" s="701" t="s">
        <v>14</v>
      </c>
      <c r="W28" s="702">
        <f>J28</f>
        <v>100</v>
      </c>
      <c r="X28" s="703"/>
      <c r="Y28" s="3683"/>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4"/>
      <c r="M29" s="2708"/>
      <c r="N29" s="2708"/>
      <c r="O29" s="2708"/>
      <c r="P29" s="3750"/>
      <c r="Q29" s="1351">
        <f t="shared" si="11"/>
        <v>111</v>
      </c>
      <c r="R29" s="705" t="s">
        <v>14</v>
      </c>
      <c r="S29" s="706">
        <f t="shared" ref="S29:S47" si="12">F29</f>
        <v>100</v>
      </c>
      <c r="T29" s="705" t="s">
        <v>14</v>
      </c>
      <c r="U29" s="706">
        <f t="shared" ref="U29:U47" si="13">H29</f>
        <v>100</v>
      </c>
      <c r="V29" s="705" t="s">
        <v>14</v>
      </c>
      <c r="W29" s="706">
        <f t="shared" ref="W29:W47" si="14">J29</f>
        <v>100</v>
      </c>
      <c r="X29" s="1354"/>
      <c r="Y29" s="3683"/>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4"/>
      <c r="M30" s="2708"/>
      <c r="N30" s="2708"/>
      <c r="O30" s="2708"/>
      <c r="P30" s="3750"/>
      <c r="Q30" s="1351">
        <f t="shared" si="11"/>
        <v>111</v>
      </c>
      <c r="R30" s="705" t="s">
        <v>14</v>
      </c>
      <c r="S30" s="706">
        <f t="shared" si="12"/>
        <v>100</v>
      </c>
      <c r="T30" s="705" t="s">
        <v>14</v>
      </c>
      <c r="U30" s="706">
        <f t="shared" si="13"/>
        <v>100</v>
      </c>
      <c r="V30" s="705" t="s">
        <v>14</v>
      </c>
      <c r="W30" s="706">
        <f t="shared" si="14"/>
        <v>100</v>
      </c>
      <c r="X30" s="1354"/>
      <c r="Y30" s="3683"/>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4"/>
      <c r="M31" s="2708"/>
      <c r="N31" s="2708"/>
      <c r="O31" s="2708"/>
      <c r="P31" s="3750"/>
      <c r="Q31" s="1351">
        <f t="shared" si="11"/>
        <v>111</v>
      </c>
      <c r="R31" s="705" t="s">
        <v>14</v>
      </c>
      <c r="S31" s="706">
        <f t="shared" si="12"/>
        <v>100</v>
      </c>
      <c r="T31" s="705" t="s">
        <v>14</v>
      </c>
      <c r="U31" s="706">
        <f t="shared" si="13"/>
        <v>100</v>
      </c>
      <c r="V31" s="705" t="s">
        <v>14</v>
      </c>
      <c r="W31" s="706">
        <f t="shared" si="14"/>
        <v>100</v>
      </c>
      <c r="X31" s="1354"/>
      <c r="Y31" s="3683"/>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4"/>
      <c r="M32" s="2708"/>
      <c r="N32" s="2708"/>
      <c r="O32" s="2708"/>
      <c r="P32" s="3750"/>
      <c r="Q32" s="1351">
        <f t="shared" si="11"/>
        <v>111</v>
      </c>
      <c r="R32" s="705" t="s">
        <v>14</v>
      </c>
      <c r="S32" s="706">
        <f t="shared" si="12"/>
        <v>100</v>
      </c>
      <c r="T32" s="705" t="s">
        <v>14</v>
      </c>
      <c r="U32" s="706">
        <f t="shared" si="13"/>
        <v>100</v>
      </c>
      <c r="V32" s="705" t="s">
        <v>14</v>
      </c>
      <c r="W32" s="706">
        <f t="shared" si="14"/>
        <v>100</v>
      </c>
      <c r="X32" s="1354"/>
      <c r="Y32" s="3683"/>
      <c r="Z32" s="1355">
        <f t="shared" si="15"/>
        <v>111</v>
      </c>
      <c r="AA32" s="1352">
        <f t="shared" si="3"/>
        <v>1</v>
      </c>
      <c r="AB32" s="1352">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4"/>
      <c r="M33" s="2708"/>
      <c r="N33" s="2708"/>
      <c r="O33" s="2708"/>
      <c r="P33" s="3745" t="s">
        <v>1696</v>
      </c>
      <c r="Q33" s="1351" t="str">
        <f t="shared" si="11"/>
        <v>建筑类型</v>
      </c>
      <c r="R33" s="705" t="s">
        <v>14</v>
      </c>
      <c r="S33" s="706">
        <f t="shared" si="12"/>
        <v>100</v>
      </c>
      <c r="T33" s="705" t="s">
        <v>14</v>
      </c>
      <c r="U33" s="706">
        <f t="shared" si="13"/>
        <v>100</v>
      </c>
      <c r="V33" s="705" t="s">
        <v>14</v>
      </c>
      <c r="W33" s="706">
        <f t="shared" si="14"/>
        <v>100</v>
      </c>
      <c r="X33" s="1354"/>
      <c r="Y33" s="3685" t="s">
        <v>1696</v>
      </c>
      <c r="Z33" s="1355" t="str">
        <f t="shared" si="15"/>
        <v>建筑类型</v>
      </c>
      <c r="AA33" s="1352">
        <f t="shared" si="3"/>
        <v>1</v>
      </c>
      <c r="AB33" s="1352">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3"/>
      <c r="M34" s="2715"/>
      <c r="N34" s="2715"/>
      <c r="O34" s="2715"/>
      <c r="P34" s="3746"/>
      <c r="Q34" s="707" t="str">
        <f t="shared" si="11"/>
        <v>项目建筑规模</v>
      </c>
      <c r="R34" s="708" t="s">
        <v>14</v>
      </c>
      <c r="S34" s="709" t="e">
        <f t="shared" si="12"/>
        <v>#N/A</v>
      </c>
      <c r="T34" s="708" t="s">
        <v>14</v>
      </c>
      <c r="U34" s="709" t="e">
        <f t="shared" si="13"/>
        <v>#N/A</v>
      </c>
      <c r="V34" s="708" t="s">
        <v>14</v>
      </c>
      <c r="W34" s="709" t="e">
        <f t="shared" si="14"/>
        <v>#N/A</v>
      </c>
      <c r="X34" s="710"/>
      <c r="Y34" s="3685"/>
      <c r="Z34" s="711" t="str">
        <f t="shared" si="15"/>
        <v>项目建筑规模</v>
      </c>
      <c r="AA34" s="1352" t="e">
        <f t="shared" si="3"/>
        <v>#N/A</v>
      </c>
      <c r="AB34" s="1352"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4"/>
      <c r="M35" s="2708"/>
      <c r="N35" s="2708"/>
      <c r="O35" s="2708"/>
      <c r="P35" s="3746"/>
      <c r="Q35" s="1351" t="str">
        <f t="shared" si="11"/>
        <v>建筑结构</v>
      </c>
      <c r="R35" s="705" t="s">
        <v>14</v>
      </c>
      <c r="S35" s="706">
        <f t="shared" si="12"/>
        <v>100</v>
      </c>
      <c r="T35" s="705" t="s">
        <v>14</v>
      </c>
      <c r="U35" s="706">
        <f t="shared" si="13"/>
        <v>100</v>
      </c>
      <c r="V35" s="705" t="s">
        <v>14</v>
      </c>
      <c r="W35" s="706">
        <f t="shared" si="14"/>
        <v>100</v>
      </c>
      <c r="X35" s="1354"/>
      <c r="Y35" s="3685"/>
      <c r="Z35" s="1355" t="str">
        <f t="shared" si="15"/>
        <v>建筑结构</v>
      </c>
      <c r="AA35" s="1352">
        <f t="shared" si="3"/>
        <v>1</v>
      </c>
      <c r="AB35" s="1352">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4"/>
      <c r="M36" s="2708"/>
      <c r="N36" s="2708"/>
      <c r="O36" s="2708"/>
      <c r="P36" s="3746"/>
      <c r="Q36" s="1351" t="str">
        <f t="shared" si="11"/>
        <v>公共部分装修</v>
      </c>
      <c r="R36" s="705" t="s">
        <v>14</v>
      </c>
      <c r="S36" s="706">
        <f t="shared" si="12"/>
        <v>100</v>
      </c>
      <c r="T36" s="705" t="s">
        <v>14</v>
      </c>
      <c r="U36" s="706">
        <f t="shared" si="13"/>
        <v>100</v>
      </c>
      <c r="V36" s="705" t="s">
        <v>14</v>
      </c>
      <c r="W36" s="706">
        <f t="shared" si="14"/>
        <v>100</v>
      </c>
      <c r="X36" s="1354"/>
      <c r="Y36" s="3685"/>
      <c r="Z36" s="1355" t="str">
        <f t="shared" si="15"/>
        <v>公共部分装修</v>
      </c>
      <c r="AA36" s="1352">
        <f t="shared" si="3"/>
        <v>1</v>
      </c>
      <c r="AB36" s="1352">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4"/>
      <c r="M37" s="2708"/>
      <c r="N37" s="2708"/>
      <c r="O37" s="2708"/>
      <c r="P37" s="3746"/>
      <c r="Q37" s="1351" t="str">
        <f t="shared" si="11"/>
        <v>成新度</v>
      </c>
      <c r="R37" s="705" t="s">
        <v>14</v>
      </c>
      <c r="S37" s="706" t="e">
        <f t="shared" si="12"/>
        <v>#N/A</v>
      </c>
      <c r="T37" s="705" t="s">
        <v>14</v>
      </c>
      <c r="U37" s="706" t="e">
        <f t="shared" si="13"/>
        <v>#N/A</v>
      </c>
      <c r="V37" s="705" t="s">
        <v>14</v>
      </c>
      <c r="W37" s="706" t="e">
        <f t="shared" si="14"/>
        <v>#N/A</v>
      </c>
      <c r="X37" s="1354"/>
      <c r="Y37" s="3685"/>
      <c r="Z37" s="1355" t="str">
        <f t="shared" si="15"/>
        <v>成新度</v>
      </c>
      <c r="AA37" s="1352" t="e">
        <f t="shared" si="3"/>
        <v>#N/A</v>
      </c>
      <c r="AB37" s="1352"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46"/>
      <c r="Q38" s="1342" t="str">
        <f t="shared" si="11"/>
        <v>写字楼等级</v>
      </c>
      <c r="R38" s="701" t="s">
        <v>14</v>
      </c>
      <c r="S38" s="702">
        <f t="shared" si="12"/>
        <v>100</v>
      </c>
      <c r="T38" s="701" t="s">
        <v>14</v>
      </c>
      <c r="U38" s="702">
        <f t="shared" si="13"/>
        <v>100</v>
      </c>
      <c r="V38" s="701" t="s">
        <v>14</v>
      </c>
      <c r="W38" s="702">
        <f t="shared" si="14"/>
        <v>100</v>
      </c>
      <c r="X38" s="703"/>
      <c r="Y38" s="3685"/>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4"/>
      <c r="M39" s="2708"/>
      <c r="N39" s="2708"/>
      <c r="O39" s="2708"/>
      <c r="P39" s="3746" t="s">
        <v>1696</v>
      </c>
      <c r="Q39" s="1351" t="str">
        <f t="shared" si="11"/>
        <v>物业管理</v>
      </c>
      <c r="R39" s="705" t="s">
        <v>14</v>
      </c>
      <c r="S39" s="706">
        <f t="shared" si="12"/>
        <v>100</v>
      </c>
      <c r="T39" s="705" t="s">
        <v>14</v>
      </c>
      <c r="U39" s="706">
        <f t="shared" si="13"/>
        <v>100</v>
      </c>
      <c r="V39" s="705" t="s">
        <v>14</v>
      </c>
      <c r="W39" s="706">
        <f t="shared" si="14"/>
        <v>100</v>
      </c>
      <c r="X39" s="1354"/>
      <c r="Y39" s="3685" t="s">
        <v>1696</v>
      </c>
      <c r="Z39" s="1355" t="str">
        <f t="shared" si="15"/>
        <v>物业管理</v>
      </c>
      <c r="AA39" s="1352">
        <f t="shared" si="3"/>
        <v>1</v>
      </c>
      <c r="AB39" s="1352">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4"/>
      <c r="M40" s="2708"/>
      <c r="N40" s="2708"/>
      <c r="O40" s="2708"/>
      <c r="P40" s="3746"/>
      <c r="Q40" s="1351" t="str">
        <f t="shared" si="11"/>
        <v>市政基础设施</v>
      </c>
      <c r="R40" s="705" t="s">
        <v>14</v>
      </c>
      <c r="S40" s="706">
        <f t="shared" si="12"/>
        <v>100</v>
      </c>
      <c r="T40" s="705" t="s">
        <v>14</v>
      </c>
      <c r="U40" s="706">
        <f t="shared" si="13"/>
        <v>100</v>
      </c>
      <c r="V40" s="705" t="s">
        <v>14</v>
      </c>
      <c r="W40" s="706">
        <f t="shared" si="14"/>
        <v>100</v>
      </c>
      <c r="X40" s="1354"/>
      <c r="Y40" s="3685"/>
      <c r="Z40" s="1355" t="str">
        <f t="shared" si="15"/>
        <v>市政基础设施</v>
      </c>
      <c r="AA40" s="1352">
        <f t="shared" si="3"/>
        <v>1</v>
      </c>
      <c r="AB40" s="1352">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4"/>
      <c r="M41" s="2708"/>
      <c r="N41" s="2708"/>
      <c r="O41" s="2708"/>
      <c r="P41" s="3746"/>
      <c r="Q41" s="1351" t="str">
        <f t="shared" si="11"/>
        <v>层高</v>
      </c>
      <c r="R41" s="705" t="s">
        <v>14</v>
      </c>
      <c r="S41" s="706">
        <f t="shared" si="12"/>
        <v>100</v>
      </c>
      <c r="T41" s="705" t="s">
        <v>14</v>
      </c>
      <c r="U41" s="706">
        <f t="shared" si="13"/>
        <v>100</v>
      </c>
      <c r="V41" s="705" t="s">
        <v>14</v>
      </c>
      <c r="W41" s="706">
        <f t="shared" si="14"/>
        <v>100</v>
      </c>
      <c r="X41" s="1354"/>
      <c r="Y41" s="3685"/>
      <c r="Z41" s="1355" t="str">
        <f t="shared" si="15"/>
        <v>层高</v>
      </c>
      <c r="AA41" s="1352">
        <f t="shared" si="3"/>
        <v>1</v>
      </c>
      <c r="AB41" s="1352">
        <f t="shared" si="4"/>
        <v>1</v>
      </c>
      <c r="AC41" s="1959">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46"/>
      <c r="Q42" s="707" t="str">
        <f t="shared" si="11"/>
        <v>单套建筑面积</v>
      </c>
      <c r="R42" s="708" t="s">
        <v>14</v>
      </c>
      <c r="S42" s="709">
        <f t="shared" si="12"/>
        <v>100</v>
      </c>
      <c r="T42" s="708" t="s">
        <v>14</v>
      </c>
      <c r="U42" s="709">
        <f t="shared" si="13"/>
        <v>100</v>
      </c>
      <c r="V42" s="708" t="s">
        <v>14</v>
      </c>
      <c r="W42" s="709">
        <f t="shared" si="14"/>
        <v>100</v>
      </c>
      <c r="X42" s="710"/>
      <c r="Y42" s="3685"/>
      <c r="Z42" s="711" t="str">
        <f t="shared" si="15"/>
        <v>单套建筑面积</v>
      </c>
      <c r="AA42" s="1352">
        <f t="shared" si="3"/>
        <v>1</v>
      </c>
      <c r="AB42" s="1352">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4"/>
      <c r="M43" s="2708"/>
      <c r="N43" s="2708"/>
      <c r="O43" s="2708"/>
      <c r="P43" s="3746"/>
      <c r="Q43" s="1351" t="str">
        <f t="shared" si="11"/>
        <v>内部装修</v>
      </c>
      <c r="R43" s="705" t="s">
        <v>14</v>
      </c>
      <c r="S43" s="706">
        <f t="shared" si="12"/>
        <v>100</v>
      </c>
      <c r="T43" s="705" t="s">
        <v>14</v>
      </c>
      <c r="U43" s="706">
        <f t="shared" si="13"/>
        <v>100</v>
      </c>
      <c r="V43" s="705" t="s">
        <v>14</v>
      </c>
      <c r="W43" s="706">
        <f t="shared" si="14"/>
        <v>100</v>
      </c>
      <c r="X43" s="1354"/>
      <c r="Y43" s="3685"/>
      <c r="Z43" s="1355" t="str">
        <f t="shared" si="15"/>
        <v>内部装修</v>
      </c>
      <c r="AA43" s="1352">
        <f t="shared" si="3"/>
        <v>1</v>
      </c>
      <c r="AB43" s="1352">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4"/>
      <c r="M44" s="2708"/>
      <c r="N44" s="2708"/>
      <c r="O44" s="2708"/>
      <c r="P44" s="3746"/>
      <c r="Q44" s="1351" t="str">
        <f t="shared" si="11"/>
        <v>内部装修维护情况</v>
      </c>
      <c r="R44" s="705" t="s">
        <v>14</v>
      </c>
      <c r="S44" s="706">
        <f t="shared" si="12"/>
        <v>100</v>
      </c>
      <c r="T44" s="705" t="s">
        <v>14</v>
      </c>
      <c r="U44" s="706">
        <f t="shared" si="13"/>
        <v>100</v>
      </c>
      <c r="V44" s="705" t="s">
        <v>14</v>
      </c>
      <c r="W44" s="706">
        <f t="shared" si="14"/>
        <v>100</v>
      </c>
      <c r="X44" s="1354"/>
      <c r="Y44" s="3685"/>
      <c r="Z44" s="1355" t="str">
        <f t="shared" si="15"/>
        <v>内部装修维护情况</v>
      </c>
      <c r="AA44" s="1352">
        <f t="shared" si="3"/>
        <v>1</v>
      </c>
      <c r="AB44" s="1352">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46"/>
      <c r="Q45" s="1342">
        <f t="shared" si="11"/>
        <v>111</v>
      </c>
      <c r="R45" s="701" t="s">
        <v>14</v>
      </c>
      <c r="S45" s="702">
        <f t="shared" si="12"/>
        <v>100</v>
      </c>
      <c r="T45" s="701" t="s">
        <v>14</v>
      </c>
      <c r="U45" s="702">
        <f t="shared" si="13"/>
        <v>100</v>
      </c>
      <c r="V45" s="701" t="s">
        <v>14</v>
      </c>
      <c r="W45" s="702">
        <f t="shared" si="14"/>
        <v>100</v>
      </c>
      <c r="X45" s="703"/>
      <c r="Y45" s="3685"/>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46"/>
      <c r="Q46" s="1351">
        <f t="shared" si="11"/>
        <v>111</v>
      </c>
      <c r="R46" s="705" t="s">
        <v>14</v>
      </c>
      <c r="S46" s="706">
        <f t="shared" si="12"/>
        <v>100</v>
      </c>
      <c r="T46" s="705" t="s">
        <v>14</v>
      </c>
      <c r="U46" s="706">
        <f t="shared" si="13"/>
        <v>100</v>
      </c>
      <c r="V46" s="705" t="s">
        <v>14</v>
      </c>
      <c r="W46" s="706">
        <f t="shared" si="14"/>
        <v>100</v>
      </c>
      <c r="X46" s="1354"/>
      <c r="Y46" s="3685"/>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47"/>
      <c r="Q47" s="1351">
        <f t="shared" si="11"/>
        <v>111</v>
      </c>
      <c r="R47" s="705" t="s">
        <v>14</v>
      </c>
      <c r="S47" s="706">
        <f t="shared" si="12"/>
        <v>100</v>
      </c>
      <c r="T47" s="705" t="s">
        <v>14</v>
      </c>
      <c r="U47" s="706">
        <f t="shared" si="13"/>
        <v>100</v>
      </c>
      <c r="V47" s="705" t="s">
        <v>14</v>
      </c>
      <c r="W47" s="706">
        <f t="shared" si="14"/>
        <v>100</v>
      </c>
      <c r="X47" s="1354"/>
      <c r="Y47" s="3748"/>
      <c r="Z47" s="1355">
        <f t="shared" si="15"/>
        <v>111</v>
      </c>
      <c r="AA47" s="1352">
        <f t="shared" si="3"/>
        <v>1</v>
      </c>
      <c r="AB47" s="1352">
        <f t="shared" si="4"/>
        <v>1</v>
      </c>
      <c r="AC47" s="1959">
        <f t="shared" si="5"/>
        <v>1</v>
      </c>
    </row>
    <row r="48" spans="1:29" ht="15">
      <c r="A48" s="430" t="s">
        <v>1708</v>
      </c>
      <c r="B48" s="431"/>
      <c r="C48" s="1154" t="s">
        <v>0</v>
      </c>
      <c r="D48" s="1155"/>
      <c r="E48" s="1156"/>
      <c r="F48" s="1157"/>
      <c r="G48" s="1158"/>
      <c r="H48" s="1159"/>
      <c r="I48" s="1156"/>
      <c r="J48" s="436"/>
      <c r="K48" s="714"/>
      <c r="L48" s="2716"/>
      <c r="M48" s="2708"/>
      <c r="N48" s="2708"/>
      <c r="O48" s="2708"/>
      <c r="P48" s="3680" t="str">
        <f>A48</f>
        <v>成交单价（元/平方米）</v>
      </c>
      <c r="Q48" s="3681"/>
      <c r="R48" s="3744">
        <f>E48</f>
        <v>0</v>
      </c>
      <c r="S48" s="3744"/>
      <c r="T48" s="3744">
        <f>G48</f>
        <v>0</v>
      </c>
      <c r="U48" s="3744"/>
      <c r="V48" s="3744">
        <f>I48</f>
        <v>0</v>
      </c>
      <c r="W48" s="3744"/>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16"/>
      <c r="M49" s="2708"/>
      <c r="N49" s="2708"/>
      <c r="O49" s="2708"/>
      <c r="P49" s="3680" t="str">
        <f>A49</f>
        <v>比较价值（元/平方米）</v>
      </c>
      <c r="Q49" s="3681"/>
      <c r="R49" s="3744" t="e">
        <f>IF(F1="售价",ROUND(PRODUCT(R48,AA7:AA47),0),ROUND(PRODUCT(R48,AA7:AA47),1))</f>
        <v>#DIV/0!</v>
      </c>
      <c r="S49" s="3744"/>
      <c r="T49" s="3744" t="e">
        <f>IF(F1="售价",ROUND(PRODUCT(T48,AB7:AB47),0),ROUND(PRODUCT(T48,AB7:AB47),1))</f>
        <v>#DIV/0!</v>
      </c>
      <c r="U49" s="3744"/>
      <c r="V49" s="3744" t="e">
        <f>IF(F1="售价",ROUND(PRODUCT(V48,AC7:AC47),0),ROUND(PRODUCT(V48,AC7:AC47),1))</f>
        <v>#DIV/0!</v>
      </c>
      <c r="W49" s="374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6"/>
      <c r="M50" s="2708"/>
      <c r="N50" s="2708"/>
      <c r="O50" s="2708"/>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43"/>
      <c r="Y50" s="1943"/>
      <c r="Z50" s="1943"/>
      <c r="AA50" s="1943"/>
      <c r="AB50" s="1943"/>
      <c r="AC50" s="1944"/>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4" t="s">
        <v>1798</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1"/>
      <c r="Q59" s="2733"/>
      <c r="R59" s="2733"/>
      <c r="S59" s="2733"/>
      <c r="T59" s="2733"/>
      <c r="U59" s="2733"/>
      <c r="V59" s="2733"/>
      <c r="W59" s="2733"/>
      <c r="X59" s="2733"/>
      <c r="Y59" s="2733"/>
      <c r="Z59" s="2733"/>
      <c r="AA59" s="2733"/>
      <c r="AB59" s="2733"/>
      <c r="AC59" s="2733"/>
    </row>
    <row r="60" spans="1:29" s="108" customFormat="1" ht="15">
      <c r="A60" s="458"/>
      <c r="B60" s="459"/>
      <c r="C60" s="1182">
        <v>100</v>
      </c>
      <c r="D60" s="461"/>
      <c r="E60" s="461"/>
      <c r="F60" s="461"/>
      <c r="G60" s="461"/>
      <c r="H60" s="461"/>
      <c r="I60" s="461"/>
      <c r="J60" s="461"/>
      <c r="K60" s="461"/>
      <c r="L60" s="461"/>
      <c r="M60" s="462"/>
      <c r="N60" s="461"/>
      <c r="O60" s="462"/>
      <c r="P60" s="2752"/>
      <c r="Q60" s="2653"/>
      <c r="R60" s="2653"/>
      <c r="S60" s="2653"/>
      <c r="T60" s="2653"/>
      <c r="U60" s="2653"/>
      <c r="V60" s="2653"/>
      <c r="W60" s="2653"/>
      <c r="X60" s="2653"/>
      <c r="Y60" s="2653"/>
      <c r="Z60" s="2653"/>
      <c r="AA60" s="2653"/>
      <c r="AB60" s="2653"/>
      <c r="AC60" s="2653"/>
    </row>
    <row r="61" spans="1:29" s="108" customFormat="1" ht="15.75" thickBot="1">
      <c r="A61" s="464" t="s">
        <v>1716</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29" s="108" customFormat="1" ht="15">
      <c r="A62" s="470" t="s">
        <v>1681</v>
      </c>
      <c r="B62" s="459"/>
      <c r="C62" s="471" t="s">
        <v>1776</v>
      </c>
      <c r="D62" s="472"/>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29" s="108" customFormat="1" ht="15.75" thickBot="1">
      <c r="A63" s="470"/>
      <c r="B63" s="459"/>
      <c r="C63" s="460">
        <v>100</v>
      </c>
      <c r="D63" s="461"/>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29">
      <c r="A64" s="476" t="s">
        <v>1719</v>
      </c>
      <c r="B64" s="477" t="s">
        <v>1685</v>
      </c>
      <c r="C64" s="478">
        <f>C9</f>
        <v>0</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1688</v>
      </c>
      <c r="C66" s="532"/>
      <c r="D66" s="532"/>
      <c r="E66" s="532"/>
      <c r="F66" s="532"/>
      <c r="G66" s="532"/>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c r="D67" s="485"/>
      <c r="E67" s="485"/>
      <c r="F67" s="485"/>
      <c r="G67" s="485"/>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3</v>
      </c>
      <c r="E69" s="498"/>
      <c r="F69" s="498"/>
      <c r="G69" s="498"/>
      <c r="H69" s="498"/>
      <c r="I69" s="498"/>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1690</v>
      </c>
      <c r="B77" s="477" t="s">
        <v>1821</v>
      </c>
      <c r="C77" s="522" t="s">
        <v>1721</v>
      </c>
      <c r="D77" s="522" t="s">
        <v>1722</v>
      </c>
      <c r="E77" s="522" t="s">
        <v>1723</v>
      </c>
      <c r="F77" s="522" t="s">
        <v>1724</v>
      </c>
      <c r="G77" s="522" t="s">
        <v>1725</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1726</v>
      </c>
      <c r="C79" s="527" t="s">
        <v>1721</v>
      </c>
      <c r="D79" s="527" t="s">
        <v>1722</v>
      </c>
      <c r="E79" s="527" t="s">
        <v>1723</v>
      </c>
      <c r="F79" s="527" t="s">
        <v>1724</v>
      </c>
      <c r="G79" s="527" t="s">
        <v>1725</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1727</v>
      </c>
      <c r="C81" s="527" t="s">
        <v>1721</v>
      </c>
      <c r="D81" s="527" t="s">
        <v>1722</v>
      </c>
      <c r="E81" s="527" t="s">
        <v>1723</v>
      </c>
      <c r="F81" s="527" t="s">
        <v>1724</v>
      </c>
      <c r="G81" s="527" t="s">
        <v>1725</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1813</v>
      </c>
      <c r="C83" s="608" t="s">
        <v>1799</v>
      </c>
      <c r="D83" s="608" t="s">
        <v>1800</v>
      </c>
      <c r="E83" s="608" t="s">
        <v>1801</v>
      </c>
      <c r="F83" s="608" t="s">
        <v>1802</v>
      </c>
      <c r="G83" s="608" t="s">
        <v>1803</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1822</v>
      </c>
      <c r="C85" s="527" t="s">
        <v>1721</v>
      </c>
      <c r="D85" s="527" t="s">
        <v>1722</v>
      </c>
      <c r="E85" s="527" t="s">
        <v>1723</v>
      </c>
      <c r="F85" s="527" t="s">
        <v>1724</v>
      </c>
      <c r="G85" s="527" t="s">
        <v>1725</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1823</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8"/>
      <c r="B89" s="487" t="str">
        <f>B27</f>
        <v>楼层</v>
      </c>
      <c r="C89" s="503"/>
      <c r="D89" s="503"/>
      <c r="E89" s="503"/>
      <c r="F89" s="1924"/>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5"/>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1694</v>
      </c>
      <c r="B101" s="477" t="s">
        <v>1736</v>
      </c>
      <c r="C101" s="479"/>
      <c r="D101" s="479"/>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c r="D104" s="544"/>
      <c r="E104" s="544"/>
      <c r="F104" s="544"/>
      <c r="G104" s="544"/>
      <c r="H104" s="544"/>
      <c r="I104" s="544"/>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c r="D105" s="485"/>
      <c r="E105" s="485"/>
      <c r="F105" s="485"/>
      <c r="G105" s="485"/>
      <c r="H105" s="485"/>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1738</v>
      </c>
      <c r="C106" s="503"/>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1740</v>
      </c>
      <c r="C108" s="503"/>
      <c r="D108" s="503"/>
      <c r="E108" s="503"/>
      <c r="F108" s="532"/>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1824</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1741</v>
      </c>
      <c r="C115" s="503"/>
      <c r="D115" s="503"/>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1742</v>
      </c>
      <c r="C117" s="503"/>
      <c r="D117" s="503"/>
      <c r="E117" s="503"/>
      <c r="F117" s="503"/>
      <c r="G117" s="503"/>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1825</v>
      </c>
      <c r="C119" s="532"/>
      <c r="D119" s="532"/>
      <c r="E119" s="532"/>
      <c r="F119" s="532"/>
      <c r="G119" s="532"/>
      <c r="H119" s="532"/>
      <c r="I119" s="532"/>
      <c r="J119" s="532"/>
      <c r="K119" s="532"/>
      <c r="L119" s="1965"/>
      <c r="M119" s="1966"/>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1808</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1744</v>
      </c>
      <c r="C123" s="503"/>
      <c r="D123" s="503"/>
      <c r="E123" s="503"/>
      <c r="F123" s="532"/>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5"/>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25"/>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75416.17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90"/>
      <c r="E4" s="3691" t="s">
        <v>1771</v>
      </c>
      <c r="F4" s="3692"/>
      <c r="G4" s="3678" t="s">
        <v>1772</v>
      </c>
      <c r="H4" s="3690"/>
      <c r="I4" s="3678" t="s">
        <v>1773</v>
      </c>
      <c r="J4" s="3690"/>
      <c r="K4" s="559" t="s">
        <v>1774</v>
      </c>
      <c r="L4" s="913"/>
      <c r="M4" s="914"/>
      <c r="N4" s="914"/>
      <c r="O4" s="914"/>
      <c r="P4" s="3693" t="s">
        <v>1775</v>
      </c>
      <c r="Q4" s="3694"/>
      <c r="R4" s="3699" t="s">
        <v>1771</v>
      </c>
      <c r="S4" s="3700"/>
      <c r="T4" s="3699" t="s">
        <v>1772</v>
      </c>
      <c r="U4" s="3700"/>
      <c r="V4" s="3686" t="s">
        <v>1773</v>
      </c>
      <c r="W4" s="3686"/>
      <c r="X4" s="1354"/>
      <c r="Y4" s="3699" t="s">
        <v>1775</v>
      </c>
      <c r="Z4" s="3700"/>
      <c r="AA4" s="3687" t="s">
        <v>1771</v>
      </c>
      <c r="AB4" s="3688" t="s">
        <v>1772</v>
      </c>
      <c r="AC4" s="3687" t="s">
        <v>1773</v>
      </c>
    </row>
    <row r="5" spans="1:29" ht="15">
      <c r="A5" s="358"/>
      <c r="B5" s="359"/>
      <c r="C5" s="3707" t="s">
        <v>1673</v>
      </c>
      <c r="D5" s="3708"/>
      <c r="E5" s="3715" t="s">
        <v>1674</v>
      </c>
      <c r="F5" s="3716"/>
      <c r="G5" s="3707" t="s">
        <v>1675</v>
      </c>
      <c r="H5" s="3708"/>
      <c r="I5" s="3707" t="s">
        <v>1676</v>
      </c>
      <c r="J5" s="3708"/>
      <c r="K5" s="559"/>
      <c r="L5" s="913"/>
      <c r="M5" s="914"/>
      <c r="N5" s="914"/>
      <c r="O5" s="914"/>
      <c r="P5" s="3695"/>
      <c r="Q5" s="3696"/>
      <c r="R5" s="3701"/>
      <c r="S5" s="3702"/>
      <c r="T5" s="3701"/>
      <c r="U5" s="3702"/>
      <c r="V5" s="3686"/>
      <c r="W5" s="3686"/>
      <c r="X5" s="1354"/>
      <c r="Y5" s="3701"/>
      <c r="Z5" s="3702"/>
      <c r="AA5" s="3688"/>
      <c r="AB5" s="3688"/>
      <c r="AC5" s="3688"/>
    </row>
    <row r="6" spans="1:29" ht="15.75" thickBot="1">
      <c r="A6" s="360"/>
      <c r="B6" s="361"/>
      <c r="C6" s="3705" t="s">
        <v>1677</v>
      </c>
      <c r="D6" s="3706"/>
      <c r="E6" s="3713" t="s">
        <v>1677</v>
      </c>
      <c r="F6" s="3714"/>
      <c r="G6" s="3705" t="s">
        <v>1677</v>
      </c>
      <c r="H6" s="3706"/>
      <c r="I6" s="3705" t="s">
        <v>1677</v>
      </c>
      <c r="J6" s="3706"/>
      <c r="K6" s="559" t="s">
        <v>1678</v>
      </c>
      <c r="L6" s="913"/>
      <c r="M6" s="914"/>
      <c r="N6" s="914"/>
      <c r="O6" s="914"/>
      <c r="P6" s="3697"/>
      <c r="Q6" s="3698"/>
      <c r="R6" s="3701"/>
      <c r="S6" s="3702"/>
      <c r="T6" s="3703"/>
      <c r="U6" s="3704"/>
      <c r="V6" s="3686"/>
      <c r="W6" s="3686"/>
      <c r="X6" s="1354"/>
      <c r="Y6" s="3703"/>
      <c r="Z6" s="3704"/>
      <c r="AA6" s="3689"/>
      <c r="AB6" s="3689"/>
      <c r="AC6" s="3689"/>
    </row>
    <row r="7" spans="1:29" s="108" customFormat="1" ht="15.75" thickBot="1">
      <c r="A7" s="362" t="s">
        <v>1679</v>
      </c>
      <c r="B7" s="363"/>
      <c r="C7" s="364">
        <f>'数据-取费表'!B2</f>
        <v>45160</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1"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681"/>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1"/>
      <c r="Q11" s="1342"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81"/>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81"/>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81"/>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15">
      <c r="A15" s="391" t="s">
        <v>1690</v>
      </c>
      <c r="B15" s="61" t="s">
        <v>1827</v>
      </c>
      <c r="C15" s="1968"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2" t="s">
        <v>1691</v>
      </c>
      <c r="Q15" s="1351" t="str">
        <f t="shared" si="6"/>
        <v>产业集聚程度</v>
      </c>
      <c r="R15" s="705" t="s">
        <v>14</v>
      </c>
      <c r="S15" s="706">
        <f t="shared" si="0"/>
        <v>100</v>
      </c>
      <c r="T15" s="705" t="s">
        <v>14</v>
      </c>
      <c r="U15" s="706">
        <f t="shared" si="1"/>
        <v>100</v>
      </c>
      <c r="V15" s="705" t="s">
        <v>14</v>
      </c>
      <c r="W15" s="706">
        <f t="shared" si="2"/>
        <v>100</v>
      </c>
      <c r="X15" s="1354"/>
      <c r="Y15" s="368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83"/>
      <c r="Q16" s="1351"/>
      <c r="R16" s="705"/>
      <c r="S16" s="706"/>
      <c r="T16" s="705"/>
      <c r="U16" s="706"/>
      <c r="V16" s="705"/>
      <c r="W16" s="706"/>
      <c r="X16" s="1354"/>
      <c r="Y16" s="3683"/>
      <c r="Z16" s="1355"/>
      <c r="AA16" s="1352">
        <v>1</v>
      </c>
      <c r="AB16" s="1352">
        <v>1</v>
      </c>
      <c r="AC16" s="1352">
        <v>1</v>
      </c>
    </row>
    <row r="17" spans="1:29" ht="15">
      <c r="A17" s="379"/>
      <c r="B17" s="402" t="s">
        <v>1259</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3"/>
      <c r="Q17" s="1351" t="str">
        <f>B17</f>
        <v>交通便捷度</v>
      </c>
      <c r="R17" s="705" t="s">
        <v>14</v>
      </c>
      <c r="S17" s="706">
        <f>F17</f>
        <v>100</v>
      </c>
      <c r="T17" s="705" t="s">
        <v>14</v>
      </c>
      <c r="U17" s="706">
        <f>H17</f>
        <v>100</v>
      </c>
      <c r="V17" s="705" t="s">
        <v>14</v>
      </c>
      <c r="W17" s="706">
        <f>J17</f>
        <v>100</v>
      </c>
      <c r="X17" s="1354"/>
      <c r="Y17" s="368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83"/>
      <c r="Q18" s="1351"/>
      <c r="R18" s="705"/>
      <c r="S18" s="706"/>
      <c r="T18" s="705"/>
      <c r="U18" s="706"/>
      <c r="V18" s="705"/>
      <c r="W18" s="706"/>
      <c r="X18" s="1354"/>
      <c r="Y18" s="3683"/>
      <c r="Z18" s="1355"/>
      <c r="AA18" s="1352">
        <v>1</v>
      </c>
      <c r="AB18" s="1352">
        <v>1</v>
      </c>
      <c r="AC18" s="1352">
        <v>1</v>
      </c>
    </row>
    <row r="19" spans="1:29" ht="15">
      <c r="A19" s="379"/>
      <c r="B19" s="402" t="s">
        <v>1812</v>
      </c>
      <c r="C19" s="1899"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3"/>
      <c r="Q19" s="1351" t="str">
        <f>B19</f>
        <v>公共配套设施</v>
      </c>
      <c r="R19" s="705" t="s">
        <v>14</v>
      </c>
      <c r="S19" s="706">
        <f>F19</f>
        <v>100</v>
      </c>
      <c r="T19" s="705" t="s">
        <v>14</v>
      </c>
      <c r="U19" s="706">
        <f>H19</f>
        <v>100</v>
      </c>
      <c r="V19" s="705" t="s">
        <v>14</v>
      </c>
      <c r="W19" s="706">
        <f>J19</f>
        <v>100</v>
      </c>
      <c r="X19" s="1354"/>
      <c r="Y19" s="368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83"/>
      <c r="Q20" s="1351"/>
      <c r="R20" s="705"/>
      <c r="S20" s="706"/>
      <c r="T20" s="705"/>
      <c r="U20" s="706"/>
      <c r="V20" s="705"/>
      <c r="W20" s="706"/>
      <c r="X20" s="1354"/>
      <c r="Y20" s="3683"/>
      <c r="Z20" s="1355"/>
      <c r="AA20" s="1352">
        <v>1</v>
      </c>
      <c r="AB20" s="1352">
        <v>1</v>
      </c>
      <c r="AC20" s="1352">
        <v>1</v>
      </c>
    </row>
    <row r="21" spans="1:29" ht="15">
      <c r="A21" s="379"/>
      <c r="B21" s="1131" t="s">
        <v>1813</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3"/>
      <c r="Q21" s="1351" t="str">
        <f>B21</f>
        <v>基础设施水平</v>
      </c>
      <c r="R21" s="705" t="s">
        <v>14</v>
      </c>
      <c r="S21" s="706">
        <f>F21</f>
        <v>100</v>
      </c>
      <c r="T21" s="705" t="s">
        <v>14</v>
      </c>
      <c r="U21" s="706">
        <f>H21</f>
        <v>100</v>
      </c>
      <c r="V21" s="705" t="s">
        <v>14</v>
      </c>
      <c r="W21" s="706">
        <f>J21</f>
        <v>100</v>
      </c>
      <c r="X21" s="1354"/>
      <c r="Y21" s="368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83"/>
      <c r="Q22" s="1351"/>
      <c r="R22" s="705"/>
      <c r="S22" s="706"/>
      <c r="T22" s="705"/>
      <c r="U22" s="706"/>
      <c r="V22" s="705"/>
      <c r="W22" s="706"/>
      <c r="X22" s="1354"/>
      <c r="Y22" s="3683"/>
      <c r="Z22" s="1355"/>
      <c r="AA22" s="1352">
        <v>1</v>
      </c>
      <c r="AB22" s="1352">
        <v>1</v>
      </c>
      <c r="AC22" s="1352">
        <v>1</v>
      </c>
    </row>
    <row r="23" spans="1:29" ht="15">
      <c r="A23" s="379"/>
      <c r="B23" s="402" t="s">
        <v>1814</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3"/>
      <c r="Q23" s="1351" t="str">
        <f>B23</f>
        <v>环境质量</v>
      </c>
      <c r="R23" s="705" t="s">
        <v>14</v>
      </c>
      <c r="S23" s="706">
        <f>F23</f>
        <v>100</v>
      </c>
      <c r="T23" s="705" t="s">
        <v>14</v>
      </c>
      <c r="U23" s="706">
        <f>H23</f>
        <v>100</v>
      </c>
      <c r="V23" s="705" t="s">
        <v>14</v>
      </c>
      <c r="W23" s="706">
        <f>J23</f>
        <v>100</v>
      </c>
      <c r="X23" s="1354"/>
      <c r="Y23" s="3683"/>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83"/>
      <c r="Q24" s="1351"/>
      <c r="R24" s="705"/>
      <c r="S24" s="706"/>
      <c r="T24" s="705"/>
      <c r="U24" s="706"/>
      <c r="V24" s="705"/>
      <c r="W24" s="706"/>
      <c r="X24" s="1354"/>
      <c r="Y24" s="3683"/>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3"/>
      <c r="Q25" s="1351">
        <f>B25</f>
        <v>111</v>
      </c>
      <c r="R25" s="705" t="s">
        <v>14</v>
      </c>
      <c r="S25" s="706">
        <f>F25</f>
        <v>100</v>
      </c>
      <c r="T25" s="705" t="s">
        <v>14</v>
      </c>
      <c r="U25" s="706">
        <f>H25</f>
        <v>100</v>
      </c>
      <c r="V25" s="705" t="s">
        <v>14</v>
      </c>
      <c r="W25" s="706">
        <f>J25</f>
        <v>100</v>
      </c>
      <c r="X25" s="1354"/>
      <c r="Y25" s="3683"/>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3"/>
      <c r="Q26" s="1351">
        <f t="shared" ref="Q26:Q40" si="11">B26</f>
        <v>111</v>
      </c>
      <c r="R26" s="705" t="s">
        <v>14</v>
      </c>
      <c r="S26" s="706">
        <f>F26</f>
        <v>100</v>
      </c>
      <c r="T26" s="705" t="s">
        <v>14</v>
      </c>
      <c r="U26" s="706">
        <f>H26</f>
        <v>100</v>
      </c>
      <c r="V26" s="705" t="s">
        <v>14</v>
      </c>
      <c r="W26" s="706">
        <f>J26</f>
        <v>100</v>
      </c>
      <c r="X26" s="1354"/>
      <c r="Y26" s="3683"/>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3"/>
      <c r="Q27" s="1342">
        <f t="shared" si="11"/>
        <v>111</v>
      </c>
      <c r="R27" s="701" t="s">
        <v>14</v>
      </c>
      <c r="S27" s="702">
        <f>F27</f>
        <v>100</v>
      </c>
      <c r="T27" s="701" t="s">
        <v>14</v>
      </c>
      <c r="U27" s="702">
        <f>H27</f>
        <v>100</v>
      </c>
      <c r="V27" s="701" t="s">
        <v>14</v>
      </c>
      <c r="W27" s="702">
        <f>J27</f>
        <v>100</v>
      </c>
      <c r="X27" s="703"/>
      <c r="Y27" s="3683"/>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3"/>
      <c r="Q28" s="1351">
        <f t="shared" si="11"/>
        <v>111</v>
      </c>
      <c r="R28" s="705" t="s">
        <v>14</v>
      </c>
      <c r="S28" s="706">
        <f t="shared" ref="S28:S40" si="12">F28</f>
        <v>100</v>
      </c>
      <c r="T28" s="705" t="s">
        <v>14</v>
      </c>
      <c r="U28" s="706">
        <f t="shared" ref="U28:U40" si="13">H28</f>
        <v>100</v>
      </c>
      <c r="V28" s="705" t="s">
        <v>14</v>
      </c>
      <c r="W28" s="706">
        <f t="shared" ref="W28:W40" si="14">J28</f>
        <v>100</v>
      </c>
      <c r="X28" s="1354"/>
      <c r="Y28" s="3683"/>
      <c r="Z28" s="1355">
        <f t="shared" ref="Z28:Z40" si="15">Q28</f>
        <v>111</v>
      </c>
      <c r="AA28" s="1352">
        <f t="shared" si="3"/>
        <v>1</v>
      </c>
      <c r="AB28" s="1352">
        <f t="shared" si="4"/>
        <v>1</v>
      </c>
      <c r="AC28" s="1352">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684" t="s">
        <v>1696</v>
      </c>
      <c r="Q29" s="1351" t="str">
        <f t="shared" si="11"/>
        <v>建筑类型</v>
      </c>
      <c r="R29" s="705" t="s">
        <v>14</v>
      </c>
      <c r="S29" s="706">
        <f t="shared" si="12"/>
        <v>100</v>
      </c>
      <c r="T29" s="705" t="s">
        <v>14</v>
      </c>
      <c r="U29" s="706">
        <f t="shared" si="13"/>
        <v>100</v>
      </c>
      <c r="V29" s="705" t="s">
        <v>14</v>
      </c>
      <c r="W29" s="706">
        <f t="shared" si="14"/>
        <v>100</v>
      </c>
      <c r="X29" s="1354"/>
      <c r="Y29" s="368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5"/>
      <c r="Q30" s="707" t="str">
        <f t="shared" si="11"/>
        <v>项目建筑规模</v>
      </c>
      <c r="R30" s="708" t="s">
        <v>14</v>
      </c>
      <c r="S30" s="709" t="e">
        <f t="shared" si="12"/>
        <v>#N/A</v>
      </c>
      <c r="T30" s="708" t="s">
        <v>14</v>
      </c>
      <c r="U30" s="709" t="e">
        <f t="shared" si="13"/>
        <v>#N/A</v>
      </c>
      <c r="V30" s="708" t="s">
        <v>14</v>
      </c>
      <c r="W30" s="709" t="e">
        <f t="shared" si="14"/>
        <v>#N/A</v>
      </c>
      <c r="X30" s="710"/>
      <c r="Y30" s="3685"/>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5"/>
      <c r="Q31" s="1351" t="str">
        <f t="shared" si="11"/>
        <v>建筑结构</v>
      </c>
      <c r="R31" s="705" t="s">
        <v>14</v>
      </c>
      <c r="S31" s="706">
        <f t="shared" si="12"/>
        <v>100</v>
      </c>
      <c r="T31" s="705" t="s">
        <v>14</v>
      </c>
      <c r="U31" s="706">
        <f t="shared" si="13"/>
        <v>100</v>
      </c>
      <c r="V31" s="705" t="s">
        <v>14</v>
      </c>
      <c r="W31" s="706">
        <f t="shared" si="14"/>
        <v>100</v>
      </c>
      <c r="X31" s="1354"/>
      <c r="Y31" s="368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5"/>
      <c r="Q32" s="1351" t="str">
        <f t="shared" si="11"/>
        <v>公共部分装修</v>
      </c>
      <c r="R32" s="705" t="s">
        <v>14</v>
      </c>
      <c r="S32" s="706">
        <f t="shared" si="12"/>
        <v>100</v>
      </c>
      <c r="T32" s="705" t="s">
        <v>14</v>
      </c>
      <c r="U32" s="706">
        <f t="shared" si="13"/>
        <v>100</v>
      </c>
      <c r="V32" s="705" t="s">
        <v>14</v>
      </c>
      <c r="W32" s="706">
        <f t="shared" si="14"/>
        <v>100</v>
      </c>
      <c r="X32" s="1354"/>
      <c r="Y32" s="368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5"/>
      <c r="Q33" s="1351" t="str">
        <f t="shared" si="11"/>
        <v>成新度</v>
      </c>
      <c r="R33" s="705" t="s">
        <v>14</v>
      </c>
      <c r="S33" s="706" t="e">
        <f t="shared" si="12"/>
        <v>#N/A</v>
      </c>
      <c r="T33" s="705" t="s">
        <v>14</v>
      </c>
      <c r="U33" s="706" t="e">
        <f t="shared" si="13"/>
        <v>#N/A</v>
      </c>
      <c r="V33" s="705" t="s">
        <v>14</v>
      </c>
      <c r="W33" s="706" t="e">
        <f t="shared" si="14"/>
        <v>#N/A</v>
      </c>
      <c r="X33" s="1354"/>
      <c r="Y33" s="368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5"/>
      <c r="Q34" s="1342" t="str">
        <f t="shared" si="11"/>
        <v>物业管理</v>
      </c>
      <c r="R34" s="701" t="s">
        <v>14</v>
      </c>
      <c r="S34" s="702">
        <f t="shared" si="12"/>
        <v>100</v>
      </c>
      <c r="T34" s="701" t="s">
        <v>14</v>
      </c>
      <c r="U34" s="702">
        <f t="shared" si="13"/>
        <v>100</v>
      </c>
      <c r="V34" s="701" t="s">
        <v>14</v>
      </c>
      <c r="W34" s="702">
        <f t="shared" si="14"/>
        <v>100</v>
      </c>
      <c r="X34" s="703"/>
      <c r="Y34" s="368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5" t="s">
        <v>1696</v>
      </c>
      <c r="Q35" s="1351" t="str">
        <f t="shared" si="11"/>
        <v>市政基础设施</v>
      </c>
      <c r="R35" s="705" t="s">
        <v>14</v>
      </c>
      <c r="S35" s="706">
        <f t="shared" si="12"/>
        <v>100</v>
      </c>
      <c r="T35" s="705" t="s">
        <v>14</v>
      </c>
      <c r="U35" s="706">
        <f t="shared" si="13"/>
        <v>100</v>
      </c>
      <c r="V35" s="705" t="s">
        <v>14</v>
      </c>
      <c r="W35" s="706">
        <f t="shared" si="14"/>
        <v>100</v>
      </c>
      <c r="X35" s="1354"/>
      <c r="Y35" s="368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5"/>
      <c r="Q36" s="1351" t="str">
        <f t="shared" si="11"/>
        <v>内部装修</v>
      </c>
      <c r="R36" s="705" t="s">
        <v>14</v>
      </c>
      <c r="S36" s="706">
        <f t="shared" si="12"/>
        <v>100</v>
      </c>
      <c r="T36" s="705" t="s">
        <v>14</v>
      </c>
      <c r="U36" s="706">
        <f t="shared" si="13"/>
        <v>100</v>
      </c>
      <c r="V36" s="705" t="s">
        <v>14</v>
      </c>
      <c r="W36" s="706">
        <f t="shared" si="14"/>
        <v>100</v>
      </c>
      <c r="X36" s="1354"/>
      <c r="Y36" s="368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5"/>
      <c r="Q37" s="1351" t="str">
        <f t="shared" si="11"/>
        <v>内部装修状况</v>
      </c>
      <c r="R37" s="705" t="s">
        <v>14</v>
      </c>
      <c r="S37" s="706">
        <f t="shared" si="12"/>
        <v>100</v>
      </c>
      <c r="T37" s="705" t="s">
        <v>14</v>
      </c>
      <c r="U37" s="706">
        <f t="shared" si="13"/>
        <v>100</v>
      </c>
      <c r="V37" s="705" t="s">
        <v>14</v>
      </c>
      <c r="W37" s="706">
        <f t="shared" si="14"/>
        <v>100</v>
      </c>
      <c r="X37" s="1354"/>
      <c r="Y37" s="3685"/>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5"/>
      <c r="Q38" s="707">
        <f t="shared" si="11"/>
        <v>111</v>
      </c>
      <c r="R38" s="708" t="s">
        <v>14</v>
      </c>
      <c r="S38" s="709">
        <f t="shared" si="12"/>
        <v>100</v>
      </c>
      <c r="T38" s="708" t="s">
        <v>14</v>
      </c>
      <c r="U38" s="709">
        <f t="shared" si="13"/>
        <v>100</v>
      </c>
      <c r="V38" s="708" t="s">
        <v>14</v>
      </c>
      <c r="W38" s="709">
        <f t="shared" si="14"/>
        <v>100</v>
      </c>
      <c r="X38" s="710"/>
      <c r="Y38" s="3685"/>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5"/>
      <c r="Q39" s="1351">
        <f t="shared" si="11"/>
        <v>111</v>
      </c>
      <c r="R39" s="705" t="s">
        <v>14</v>
      </c>
      <c r="S39" s="706">
        <f t="shared" si="12"/>
        <v>100</v>
      </c>
      <c r="T39" s="705" t="s">
        <v>14</v>
      </c>
      <c r="U39" s="706">
        <f t="shared" si="13"/>
        <v>100</v>
      </c>
      <c r="V39" s="705" t="s">
        <v>14</v>
      </c>
      <c r="W39" s="706">
        <f t="shared" si="14"/>
        <v>100</v>
      </c>
      <c r="X39" s="1354"/>
      <c r="Y39" s="368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8"/>
      <c r="Q40" s="1351">
        <f t="shared" si="11"/>
        <v>111</v>
      </c>
      <c r="R40" s="705" t="s">
        <v>14</v>
      </c>
      <c r="S40" s="706">
        <f t="shared" si="12"/>
        <v>100</v>
      </c>
      <c r="T40" s="705" t="s">
        <v>14</v>
      </c>
      <c r="U40" s="706">
        <f t="shared" si="13"/>
        <v>100</v>
      </c>
      <c r="V40" s="705" t="s">
        <v>14</v>
      </c>
      <c r="W40" s="706">
        <f t="shared" si="14"/>
        <v>100</v>
      </c>
      <c r="X40" s="1354"/>
      <c r="Y40" s="3748"/>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81" t="str">
        <f>A41</f>
        <v>成交单价（元/平方米）</v>
      </c>
      <c r="Q41" s="3681"/>
      <c r="R41" s="3744">
        <f>E41</f>
        <v>0</v>
      </c>
      <c r="S41" s="3744"/>
      <c r="T41" s="3744">
        <f>G41</f>
        <v>0</v>
      </c>
      <c r="U41" s="3744"/>
      <c r="V41" s="3744">
        <f>I41</f>
        <v>0</v>
      </c>
      <c r="W41" s="3744"/>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81" t="str">
        <f>A42</f>
        <v>比较价值（元/平方米）</v>
      </c>
      <c r="Q42" s="3681"/>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5" t="str">
        <f>A43</f>
        <v>估价对象XX用房的比较价值（楼面单价，元/平方米）</v>
      </c>
      <c r="Q43" s="3676"/>
      <c r="R43" s="3743" t="e">
        <f>IF(F1="售价",ROUND(IF(D42="简单平均",AVERAGE(R42:V42),R42*F42+T42*H42+V42*J42),0),ROUND(IF(D42="简单平均",AVERAGE(R42:V42),R42*F42+T42*H42+V42*J42),1))</f>
        <v>#DIV/0!</v>
      </c>
      <c r="S43" s="3743"/>
      <c r="T43" s="3743"/>
      <c r="U43" s="3743"/>
      <c r="V43" s="3743"/>
      <c r="W43" s="3743"/>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889"/>
      <c r="M46" s="927"/>
      <c r="N46" s="927"/>
      <c r="O46" s="927"/>
    </row>
    <row r="47" spans="1:29" ht="13.5" customHeight="1">
      <c r="A47" s="2717"/>
      <c r="B47" s="2717"/>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889"/>
      <c r="M47" s="927"/>
      <c r="N47" s="927"/>
      <c r="O47" s="927"/>
    </row>
    <row r="48" spans="1:29" s="451" customFormat="1" ht="13.5" customHeight="1">
      <c r="A48" s="2720"/>
      <c r="B48" s="2720"/>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2"/>
      <c r="O54" s="2763"/>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25"/>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5">
      <c r="A4" s="355" t="s">
        <v>1769</v>
      </c>
      <c r="B4" s="356"/>
      <c r="C4" s="3678" t="s">
        <v>1770</v>
      </c>
      <c r="D4" s="3690"/>
      <c r="E4" s="3691" t="s">
        <v>1771</v>
      </c>
      <c r="F4" s="3692"/>
      <c r="G4" s="3678" t="s">
        <v>1772</v>
      </c>
      <c r="H4" s="3690"/>
      <c r="I4" s="3678" t="s">
        <v>1773</v>
      </c>
      <c r="J4" s="3690"/>
      <c r="K4" s="559" t="s">
        <v>1774</v>
      </c>
      <c r="L4" s="2707"/>
      <c r="M4" s="2708"/>
      <c r="N4" s="2708"/>
      <c r="O4" s="2708"/>
      <c r="P4" s="3693" t="s">
        <v>1775</v>
      </c>
      <c r="Q4" s="3694"/>
      <c r="R4" s="3699" t="s">
        <v>1771</v>
      </c>
      <c r="S4" s="3700"/>
      <c r="T4" s="3699" t="s">
        <v>1772</v>
      </c>
      <c r="U4" s="3700"/>
      <c r="V4" s="3686" t="s">
        <v>1773</v>
      </c>
      <c r="W4" s="3686"/>
      <c r="X4" s="1354"/>
      <c r="Y4" s="3699" t="s">
        <v>1775</v>
      </c>
      <c r="Z4" s="3700"/>
      <c r="AA4" s="3687" t="s">
        <v>1771</v>
      </c>
      <c r="AB4" s="3688" t="s">
        <v>1772</v>
      </c>
      <c r="AC4" s="3687" t="s">
        <v>1773</v>
      </c>
    </row>
    <row r="5" spans="1:29" ht="15">
      <c r="A5" s="358"/>
      <c r="B5" s="359"/>
      <c r="C5" s="3707" t="s">
        <v>1673</v>
      </c>
      <c r="D5" s="3708"/>
      <c r="E5" s="3715" t="s">
        <v>1674</v>
      </c>
      <c r="F5" s="3716"/>
      <c r="G5" s="3707" t="s">
        <v>1675</v>
      </c>
      <c r="H5" s="3708"/>
      <c r="I5" s="3707" t="s">
        <v>1676</v>
      </c>
      <c r="J5" s="3708"/>
      <c r="K5" s="559"/>
      <c r="L5" s="2707"/>
      <c r="M5" s="2708"/>
      <c r="N5" s="2708"/>
      <c r="O5" s="2708"/>
      <c r="P5" s="3695"/>
      <c r="Q5" s="3696"/>
      <c r="R5" s="3701"/>
      <c r="S5" s="3702"/>
      <c r="T5" s="3701"/>
      <c r="U5" s="3702"/>
      <c r="V5" s="3686"/>
      <c r="W5" s="3686"/>
      <c r="X5" s="1354"/>
      <c r="Y5" s="3701"/>
      <c r="Z5" s="3702"/>
      <c r="AA5" s="3688"/>
      <c r="AB5" s="3688"/>
      <c r="AC5" s="3688"/>
    </row>
    <row r="6" spans="1:29" ht="15.75" thickBot="1">
      <c r="A6" s="360"/>
      <c r="B6" s="361"/>
      <c r="C6" s="3705" t="s">
        <v>1677</v>
      </c>
      <c r="D6" s="3706"/>
      <c r="E6" s="3713" t="s">
        <v>1677</v>
      </c>
      <c r="F6" s="3714"/>
      <c r="G6" s="3705" t="s">
        <v>1677</v>
      </c>
      <c r="H6" s="3706"/>
      <c r="I6" s="3705" t="s">
        <v>1677</v>
      </c>
      <c r="J6" s="3706"/>
      <c r="K6" s="559" t="s">
        <v>1678</v>
      </c>
      <c r="L6" s="2707"/>
      <c r="M6" s="2708"/>
      <c r="N6" s="2708"/>
      <c r="O6" s="2708"/>
      <c r="P6" s="3697"/>
      <c r="Q6" s="3698"/>
      <c r="R6" s="3701"/>
      <c r="S6" s="3702"/>
      <c r="T6" s="3703"/>
      <c r="U6" s="3704"/>
      <c r="V6" s="3686"/>
      <c r="W6" s="3686"/>
      <c r="X6" s="1354"/>
      <c r="Y6" s="3703"/>
      <c r="Z6" s="3704"/>
      <c r="AA6" s="3689"/>
      <c r="AB6" s="3689"/>
      <c r="AC6" s="3689"/>
    </row>
    <row r="7" spans="1:29" s="108" customFormat="1" ht="15.75" thickBot="1">
      <c r="A7" s="362" t="s">
        <v>1679</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09" t="s">
        <v>1683</v>
      </c>
      <c r="Q8" s="3710"/>
      <c r="R8" s="701" t="s">
        <v>14</v>
      </c>
      <c r="S8" s="702">
        <f t="shared" si="0"/>
        <v>100</v>
      </c>
      <c r="T8" s="701" t="s">
        <v>14</v>
      </c>
      <c r="U8" s="702">
        <f t="shared" si="1"/>
        <v>100</v>
      </c>
      <c r="V8" s="701" t="s">
        <v>14</v>
      </c>
      <c r="W8" s="702">
        <f t="shared" si="2"/>
        <v>100</v>
      </c>
      <c r="X8" s="703"/>
      <c r="Y8" s="3709" t="s">
        <v>1683</v>
      </c>
      <c r="Z8" s="371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681" t="s">
        <v>1686</v>
      </c>
      <c r="Q9" s="1342"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681"/>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681"/>
      <c r="Q11" s="1342">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681"/>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681"/>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
      <c r="A14" s="355" t="s">
        <v>1690</v>
      </c>
      <c r="B14" s="577" t="s">
        <v>1833</v>
      </c>
      <c r="C14" s="1968"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682" t="s">
        <v>1691</v>
      </c>
      <c r="Q14" s="1351" t="str">
        <f t="shared" si="6"/>
        <v>交通便捷度</v>
      </c>
      <c r="R14" s="705" t="s">
        <v>14</v>
      </c>
      <c r="S14" s="706">
        <f t="shared" si="0"/>
        <v>100</v>
      </c>
      <c r="T14" s="705" t="s">
        <v>14</v>
      </c>
      <c r="U14" s="706">
        <f t="shared" si="1"/>
        <v>100</v>
      </c>
      <c r="V14" s="705" t="s">
        <v>14</v>
      </c>
      <c r="W14" s="706">
        <f t="shared" si="2"/>
        <v>100</v>
      </c>
      <c r="X14" s="1354"/>
      <c r="Y14" s="368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4"/>
      <c r="M15" s="2708"/>
      <c r="N15" s="2708"/>
      <c r="O15" s="2708"/>
      <c r="P15" s="3683"/>
      <c r="Q15" s="1351"/>
      <c r="R15" s="705"/>
      <c r="S15" s="706"/>
      <c r="T15" s="705"/>
      <c r="U15" s="706"/>
      <c r="V15" s="705"/>
      <c r="W15" s="706"/>
      <c r="X15" s="1354"/>
      <c r="Y15" s="3683"/>
      <c r="Z15" s="1355"/>
      <c r="AA15" s="1352">
        <v>1</v>
      </c>
      <c r="AB15" s="1352">
        <v>1</v>
      </c>
      <c r="AC15" s="1352">
        <v>1</v>
      </c>
    </row>
    <row r="16" spans="1:29" ht="15">
      <c r="A16" s="358"/>
      <c r="B16" s="579" t="s">
        <v>1812</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683"/>
      <c r="Q16" s="1351" t="str">
        <f>B16</f>
        <v>公共配套设施</v>
      </c>
      <c r="R16" s="705" t="s">
        <v>14</v>
      </c>
      <c r="S16" s="706">
        <f>F16</f>
        <v>100</v>
      </c>
      <c r="T16" s="705" t="s">
        <v>14</v>
      </c>
      <c r="U16" s="706">
        <f>H16</f>
        <v>100</v>
      </c>
      <c r="V16" s="705" t="s">
        <v>14</v>
      </c>
      <c r="W16" s="706">
        <f>J16</f>
        <v>100</v>
      </c>
      <c r="X16" s="1354"/>
      <c r="Y16" s="368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4"/>
      <c r="M17" s="2708"/>
      <c r="N17" s="2708"/>
      <c r="O17" s="2708"/>
      <c r="P17" s="3683"/>
      <c r="Q17" s="1351"/>
      <c r="R17" s="705"/>
      <c r="S17" s="706"/>
      <c r="T17" s="705"/>
      <c r="U17" s="706"/>
      <c r="V17" s="705"/>
      <c r="W17" s="706"/>
      <c r="X17" s="1354"/>
      <c r="Y17" s="3683"/>
      <c r="Z17" s="1355"/>
      <c r="AA17" s="1352">
        <v>1</v>
      </c>
      <c r="AB17" s="1352">
        <v>1</v>
      </c>
      <c r="AC17" s="1352">
        <v>1</v>
      </c>
    </row>
    <row r="18" spans="1:29" ht="15">
      <c r="A18" s="358"/>
      <c r="B18" s="581"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683"/>
      <c r="Q18" s="1351" t="str">
        <f>B18</f>
        <v>基础设施水平</v>
      </c>
      <c r="R18" s="705" t="s">
        <v>14</v>
      </c>
      <c r="S18" s="706">
        <f>F18</f>
        <v>100</v>
      </c>
      <c r="T18" s="705" t="s">
        <v>14</v>
      </c>
      <c r="U18" s="706">
        <f>H18</f>
        <v>100</v>
      </c>
      <c r="V18" s="705" t="s">
        <v>14</v>
      </c>
      <c r="W18" s="706">
        <f>J18</f>
        <v>100</v>
      </c>
      <c r="X18" s="1354"/>
      <c r="Y18" s="368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4"/>
      <c r="M19" s="2708"/>
      <c r="N19" s="2708"/>
      <c r="O19" s="2708"/>
      <c r="P19" s="3683"/>
      <c r="Q19" s="1351"/>
      <c r="R19" s="705"/>
      <c r="S19" s="706"/>
      <c r="T19" s="705"/>
      <c r="U19" s="706"/>
      <c r="V19" s="705"/>
      <c r="W19" s="706"/>
      <c r="X19" s="1354"/>
      <c r="Y19" s="3683"/>
      <c r="Z19" s="1355"/>
      <c r="AA19" s="1352">
        <v>1</v>
      </c>
      <c r="AB19" s="1352">
        <v>1</v>
      </c>
      <c r="AC19" s="1352">
        <v>1</v>
      </c>
    </row>
    <row r="20" spans="1:29" ht="15">
      <c r="A20" s="358"/>
      <c r="B20" s="579" t="s">
        <v>1834</v>
      </c>
      <c r="C20" s="1899"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683"/>
      <c r="Q20" s="1351" t="str">
        <f>B20</f>
        <v>自然及人文环境</v>
      </c>
      <c r="R20" s="705" t="s">
        <v>14</v>
      </c>
      <c r="S20" s="706">
        <f>F20</f>
        <v>100</v>
      </c>
      <c r="T20" s="705" t="s">
        <v>14</v>
      </c>
      <c r="U20" s="706">
        <f>H20</f>
        <v>100</v>
      </c>
      <c r="V20" s="705" t="s">
        <v>14</v>
      </c>
      <c r="W20" s="706">
        <f>J20</f>
        <v>100</v>
      </c>
      <c r="X20" s="1354"/>
      <c r="Y20" s="368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4"/>
      <c r="M21" s="2708"/>
      <c r="N21" s="2708"/>
      <c r="O21" s="2708"/>
      <c r="P21" s="3683"/>
      <c r="Q21" s="1351"/>
      <c r="R21" s="705"/>
      <c r="S21" s="706"/>
      <c r="T21" s="705"/>
      <c r="U21" s="706"/>
      <c r="V21" s="705"/>
      <c r="W21" s="706"/>
      <c r="X21" s="1354"/>
      <c r="Y21" s="368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683"/>
      <c r="Q22" s="1351" t="str">
        <f>B22</f>
        <v>楼层</v>
      </c>
      <c r="R22" s="705" t="s">
        <v>14</v>
      </c>
      <c r="S22" s="706">
        <f>F22</f>
        <v>100</v>
      </c>
      <c r="T22" s="705" t="s">
        <v>14</v>
      </c>
      <c r="U22" s="706">
        <f>H22</f>
        <v>100</v>
      </c>
      <c r="V22" s="705" t="s">
        <v>14</v>
      </c>
      <c r="W22" s="706">
        <f>J22</f>
        <v>100</v>
      </c>
      <c r="X22" s="1354"/>
      <c r="Y22" s="368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683"/>
      <c r="Q23" s="1351">
        <f>B23</f>
        <v>111</v>
      </c>
      <c r="R23" s="705" t="s">
        <v>14</v>
      </c>
      <c r="S23" s="706">
        <f>F23</f>
        <v>100</v>
      </c>
      <c r="T23" s="705" t="s">
        <v>14</v>
      </c>
      <c r="U23" s="706">
        <f>H23</f>
        <v>100</v>
      </c>
      <c r="V23" s="705" t="s">
        <v>14</v>
      </c>
      <c r="W23" s="706">
        <f>J23</f>
        <v>100</v>
      </c>
      <c r="X23" s="1354"/>
      <c r="Y23" s="368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683"/>
      <c r="Q24" s="1351">
        <f t="shared" ref="Q24:Q36" si="11">B24</f>
        <v>111</v>
      </c>
      <c r="R24" s="705" t="s">
        <v>14</v>
      </c>
      <c r="S24" s="706">
        <f>F24</f>
        <v>100</v>
      </c>
      <c r="T24" s="705" t="s">
        <v>14</v>
      </c>
      <c r="U24" s="706">
        <f>H24</f>
        <v>100</v>
      </c>
      <c r="V24" s="705" t="s">
        <v>14</v>
      </c>
      <c r="W24" s="706">
        <f>J24</f>
        <v>100</v>
      </c>
      <c r="X24" s="1354"/>
      <c r="Y24" s="368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683"/>
      <c r="Q25" s="1342">
        <f t="shared" si="11"/>
        <v>111</v>
      </c>
      <c r="R25" s="701" t="s">
        <v>14</v>
      </c>
      <c r="S25" s="702">
        <f>F25</f>
        <v>100</v>
      </c>
      <c r="T25" s="701" t="s">
        <v>14</v>
      </c>
      <c r="U25" s="702">
        <f>H25</f>
        <v>100</v>
      </c>
      <c r="V25" s="701" t="s">
        <v>14</v>
      </c>
      <c r="W25" s="702">
        <f>J25</f>
        <v>100</v>
      </c>
      <c r="X25" s="703"/>
      <c r="Y25" s="3683"/>
      <c r="Z25" s="52">
        <f>Q25</f>
        <v>111</v>
      </c>
      <c r="AA25" s="1352">
        <f>D25/F25</f>
        <v>1</v>
      </c>
      <c r="AB25" s="1352">
        <f>D25/H25</f>
        <v>1</v>
      </c>
      <c r="AC25" s="1352">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684"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685"/>
      <c r="Q27" s="707" t="str">
        <f t="shared" si="11"/>
        <v>项目停车位配比</v>
      </c>
      <c r="R27" s="708" t="s">
        <v>14</v>
      </c>
      <c r="S27" s="709">
        <f t="shared" si="12"/>
        <v>100</v>
      </c>
      <c r="T27" s="708" t="s">
        <v>14</v>
      </c>
      <c r="U27" s="709">
        <f t="shared" si="13"/>
        <v>100</v>
      </c>
      <c r="V27" s="708" t="s">
        <v>14</v>
      </c>
      <c r="W27" s="709">
        <f t="shared" si="14"/>
        <v>100</v>
      </c>
      <c r="X27" s="710"/>
      <c r="Y27" s="3685"/>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685"/>
      <c r="Q28" s="1351" t="str">
        <f t="shared" si="11"/>
        <v>公共部分装修</v>
      </c>
      <c r="R28" s="705" t="s">
        <v>14</v>
      </c>
      <c r="S28" s="706">
        <f t="shared" si="12"/>
        <v>100</v>
      </c>
      <c r="T28" s="705" t="s">
        <v>14</v>
      </c>
      <c r="U28" s="706">
        <f t="shared" si="13"/>
        <v>100</v>
      </c>
      <c r="V28" s="705" t="s">
        <v>14</v>
      </c>
      <c r="W28" s="706">
        <f t="shared" si="14"/>
        <v>100</v>
      </c>
      <c r="X28" s="1354"/>
      <c r="Y28" s="368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685"/>
      <c r="Q29" s="1351" t="str">
        <f t="shared" si="11"/>
        <v>成新率</v>
      </c>
      <c r="R29" s="705" t="s">
        <v>14</v>
      </c>
      <c r="S29" s="706" t="e">
        <f t="shared" si="12"/>
        <v>#N/A</v>
      </c>
      <c r="T29" s="705" t="s">
        <v>14</v>
      </c>
      <c r="U29" s="706" t="e">
        <f t="shared" si="13"/>
        <v>#N/A</v>
      </c>
      <c r="V29" s="705" t="s">
        <v>14</v>
      </c>
      <c r="W29" s="706" t="e">
        <f t="shared" si="14"/>
        <v>#N/A</v>
      </c>
      <c r="X29" s="1354"/>
      <c r="Y29" s="368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685"/>
      <c r="Q30" s="1351" t="str">
        <f t="shared" si="11"/>
        <v>物业等级</v>
      </c>
      <c r="R30" s="705" t="s">
        <v>14</v>
      </c>
      <c r="S30" s="706">
        <f t="shared" si="12"/>
        <v>100</v>
      </c>
      <c r="T30" s="705" t="s">
        <v>14</v>
      </c>
      <c r="U30" s="706">
        <f t="shared" si="13"/>
        <v>100</v>
      </c>
      <c r="V30" s="705" t="s">
        <v>14</v>
      </c>
      <c r="W30" s="706">
        <f t="shared" si="14"/>
        <v>100</v>
      </c>
      <c r="X30" s="1354"/>
      <c r="Y30" s="368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685"/>
      <c r="Q31" s="1342" t="str">
        <f t="shared" si="11"/>
        <v>停车位面积</v>
      </c>
      <c r="R31" s="701" t="s">
        <v>14</v>
      </c>
      <c r="S31" s="702" t="e">
        <f t="shared" si="12"/>
        <v>#N/A</v>
      </c>
      <c r="T31" s="701" t="s">
        <v>14</v>
      </c>
      <c r="U31" s="702" t="e">
        <f t="shared" si="13"/>
        <v>#N/A</v>
      </c>
      <c r="V31" s="701" t="s">
        <v>14</v>
      </c>
      <c r="W31" s="702" t="e">
        <f t="shared" si="14"/>
        <v>#N/A</v>
      </c>
      <c r="X31" s="703"/>
      <c r="Y31" s="368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685" t="s">
        <v>1696</v>
      </c>
      <c r="Q32" s="1351" t="str">
        <f t="shared" si="11"/>
        <v>车位类型</v>
      </c>
      <c r="R32" s="705" t="s">
        <v>14</v>
      </c>
      <c r="S32" s="706">
        <f t="shared" si="12"/>
        <v>100</v>
      </c>
      <c r="T32" s="705" t="s">
        <v>14</v>
      </c>
      <c r="U32" s="706">
        <f t="shared" si="13"/>
        <v>100</v>
      </c>
      <c r="V32" s="705" t="s">
        <v>14</v>
      </c>
      <c r="W32" s="706">
        <f t="shared" si="14"/>
        <v>100</v>
      </c>
      <c r="X32" s="1354"/>
      <c r="Y32" s="368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685"/>
      <c r="Q33" s="1351" t="str">
        <f t="shared" si="11"/>
        <v>是否直接入户</v>
      </c>
      <c r="R33" s="705" t="s">
        <v>14</v>
      </c>
      <c r="S33" s="706">
        <f t="shared" si="12"/>
        <v>100</v>
      </c>
      <c r="T33" s="705" t="s">
        <v>14</v>
      </c>
      <c r="U33" s="706">
        <f t="shared" si="13"/>
        <v>100</v>
      </c>
      <c r="V33" s="705" t="s">
        <v>14</v>
      </c>
      <c r="W33" s="706">
        <f t="shared" si="14"/>
        <v>100</v>
      </c>
      <c r="X33" s="1354"/>
      <c r="Y33" s="368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685"/>
      <c r="Q34" s="1351">
        <f t="shared" si="11"/>
        <v>111</v>
      </c>
      <c r="R34" s="705" t="s">
        <v>14</v>
      </c>
      <c r="S34" s="706">
        <f t="shared" si="12"/>
        <v>100</v>
      </c>
      <c r="T34" s="705" t="s">
        <v>14</v>
      </c>
      <c r="U34" s="706">
        <f t="shared" si="13"/>
        <v>100</v>
      </c>
      <c r="V34" s="705" t="s">
        <v>14</v>
      </c>
      <c r="W34" s="706">
        <f t="shared" si="14"/>
        <v>100</v>
      </c>
      <c r="X34" s="1354"/>
      <c r="Y34" s="368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685"/>
      <c r="Q35" s="707">
        <f t="shared" si="11"/>
        <v>111</v>
      </c>
      <c r="R35" s="708" t="s">
        <v>14</v>
      </c>
      <c r="S35" s="709">
        <f t="shared" si="12"/>
        <v>100</v>
      </c>
      <c r="T35" s="708" t="s">
        <v>14</v>
      </c>
      <c r="U35" s="709">
        <f t="shared" si="13"/>
        <v>100</v>
      </c>
      <c r="V35" s="708" t="s">
        <v>14</v>
      </c>
      <c r="W35" s="709">
        <f t="shared" si="14"/>
        <v>100</v>
      </c>
      <c r="X35" s="710"/>
      <c r="Y35" s="3685"/>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685"/>
      <c r="Q36" s="1351">
        <f t="shared" si="11"/>
        <v>111</v>
      </c>
      <c r="R36" s="705" t="s">
        <v>14</v>
      </c>
      <c r="S36" s="706">
        <f t="shared" si="12"/>
        <v>100</v>
      </c>
      <c r="T36" s="705" t="s">
        <v>14</v>
      </c>
      <c r="U36" s="706">
        <f t="shared" si="13"/>
        <v>100</v>
      </c>
      <c r="V36" s="705" t="s">
        <v>14</v>
      </c>
      <c r="W36" s="706">
        <f t="shared" si="14"/>
        <v>100</v>
      </c>
      <c r="X36" s="1354"/>
      <c r="Y36" s="3685"/>
      <c r="Z36" s="1355">
        <f t="shared" si="15"/>
        <v>111</v>
      </c>
      <c r="AA36" s="1352">
        <f t="shared" si="3"/>
        <v>1</v>
      </c>
      <c r="AB36" s="1352">
        <f t="shared" si="4"/>
        <v>1</v>
      </c>
      <c r="AC36" s="1352">
        <f t="shared" si="5"/>
        <v>1</v>
      </c>
    </row>
    <row r="37" spans="1:29" ht="15">
      <c r="A37" s="430" t="s">
        <v>1844</v>
      </c>
      <c r="B37" s="1970" t="s">
        <v>3350</v>
      </c>
      <c r="C37" s="1154" t="s">
        <v>0</v>
      </c>
      <c r="D37" s="1155"/>
      <c r="E37" s="1156"/>
      <c r="F37" s="1157"/>
      <c r="G37" s="1158"/>
      <c r="H37" s="1159"/>
      <c r="I37" s="1156"/>
      <c r="J37" s="1159"/>
      <c r="K37" s="568"/>
      <c r="L37" s="2716"/>
      <c r="M37" s="2717"/>
      <c r="N37" s="2708"/>
      <c r="O37" s="2717"/>
      <c r="P37" s="3681" t="str">
        <f>A37</f>
        <v>成交单价</v>
      </c>
      <c r="Q37" s="3681"/>
      <c r="R37" s="3744">
        <f>E37</f>
        <v>0</v>
      </c>
      <c r="S37" s="3744"/>
      <c r="T37" s="3744">
        <f>G37</f>
        <v>0</v>
      </c>
      <c r="U37" s="3744"/>
      <c r="V37" s="3744">
        <f>I37</f>
        <v>0</v>
      </c>
      <c r="W37" s="3744"/>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16"/>
      <c r="M38" s="2717"/>
      <c r="N38" s="2717"/>
      <c r="O38" s="2717"/>
      <c r="P38" s="3681" t="str">
        <f>A38</f>
        <v>比较价值（元/平方米）</v>
      </c>
      <c r="Q38" s="3681"/>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6"/>
      <c r="M39" s="2717"/>
      <c r="N39" s="2717"/>
      <c r="O39" s="2717"/>
      <c r="P39" s="3675" t="str">
        <f>A39</f>
        <v>估价对象XX用房的比较价值（楼面单价，元/平方米）</v>
      </c>
      <c r="Q39" s="3676"/>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6" t="s">
        <v>1850</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1"/>
      <c r="Q48" s="2733"/>
      <c r="R48" s="2733"/>
      <c r="S48" s="2733"/>
      <c r="T48" s="2733"/>
      <c r="U48" s="2733"/>
      <c r="V48" s="2733"/>
      <c r="W48" s="2733"/>
      <c r="X48" s="2733"/>
      <c r="Y48" s="2733"/>
      <c r="Z48" s="2733"/>
      <c r="AA48" s="2733"/>
      <c r="AB48" s="2733"/>
      <c r="AC48" s="2733"/>
    </row>
    <row r="49" spans="1:29" s="108" customFormat="1" ht="15">
      <c r="A49" s="458"/>
      <c r="B49" s="459"/>
      <c r="C49" s="1177">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75" thickBot="1">
      <c r="A50" s="464" t="s">
        <v>1716</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5">
      <c r="A51" s="470" t="s">
        <v>1681</v>
      </c>
      <c r="B51" s="459"/>
      <c r="C51" s="471" t="s">
        <v>1776</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c r="A53" s="476" t="s">
        <v>1719</v>
      </c>
      <c r="B53" s="477" t="s">
        <v>1685</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1688</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1727</v>
      </c>
      <c r="C65" s="527" t="s">
        <v>1721</v>
      </c>
      <c r="D65" s="527" t="s">
        <v>1722</v>
      </c>
      <c r="E65" s="527" t="s">
        <v>1723</v>
      </c>
      <c r="F65" s="527" t="s">
        <v>1724</v>
      </c>
      <c r="G65" s="527" t="s">
        <v>1725</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1813</v>
      </c>
      <c r="C67" s="608" t="s">
        <v>1799</v>
      </c>
      <c r="D67" s="608" t="s">
        <v>1800</v>
      </c>
      <c r="E67" s="608" t="s">
        <v>1801</v>
      </c>
      <c r="F67" s="608" t="s">
        <v>1802</v>
      </c>
      <c r="G67" s="608" t="s">
        <v>1803</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1733</v>
      </c>
      <c r="C69" s="527" t="s">
        <v>1721</v>
      </c>
      <c r="D69" s="527" t="s">
        <v>1722</v>
      </c>
      <c r="E69" s="527" t="s">
        <v>1723</v>
      </c>
      <c r="F69" s="527" t="s">
        <v>1724</v>
      </c>
      <c r="G69" s="527" t="s">
        <v>1725</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1852</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1694</v>
      </c>
      <c r="B79" s="477" t="s">
        <v>1853</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1854</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1740</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1856</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1858</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1859</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25"/>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1769</v>
      </c>
      <c r="B4" s="356"/>
      <c r="C4" s="3678" t="s">
        <v>1770</v>
      </c>
      <c r="D4" s="3690"/>
      <c r="E4" s="3691" t="s">
        <v>1771</v>
      </c>
      <c r="F4" s="3692"/>
      <c r="G4" s="3678" t="s">
        <v>1772</v>
      </c>
      <c r="H4" s="3690"/>
      <c r="I4" s="3678" t="s">
        <v>1773</v>
      </c>
      <c r="J4" s="3690"/>
      <c r="K4" s="559" t="s">
        <v>1774</v>
      </c>
      <c r="L4" s="2707"/>
      <c r="M4" s="2708"/>
      <c r="N4" s="2708"/>
      <c r="O4" s="2708"/>
      <c r="P4" s="3693" t="s">
        <v>1775</v>
      </c>
      <c r="Q4" s="3694"/>
      <c r="R4" s="3699" t="s">
        <v>1771</v>
      </c>
      <c r="S4" s="3700"/>
      <c r="T4" s="3699" t="s">
        <v>1772</v>
      </c>
      <c r="U4" s="3700"/>
      <c r="V4" s="3686" t="s">
        <v>1773</v>
      </c>
      <c r="W4" s="3686"/>
      <c r="X4" s="1354"/>
      <c r="Y4" s="3699" t="s">
        <v>1775</v>
      </c>
      <c r="Z4" s="3700"/>
      <c r="AA4" s="3687" t="s">
        <v>1771</v>
      </c>
      <c r="AB4" s="3688" t="s">
        <v>1772</v>
      </c>
      <c r="AC4" s="3687" t="s">
        <v>1773</v>
      </c>
    </row>
    <row r="5" spans="1:29" ht="15">
      <c r="A5" s="358"/>
      <c r="B5" s="359"/>
      <c r="C5" s="3707" t="s">
        <v>1673</v>
      </c>
      <c r="D5" s="3708"/>
      <c r="E5" s="3715" t="s">
        <v>1674</v>
      </c>
      <c r="F5" s="3716"/>
      <c r="G5" s="3707" t="s">
        <v>1675</v>
      </c>
      <c r="H5" s="3708"/>
      <c r="I5" s="3707" t="s">
        <v>1676</v>
      </c>
      <c r="J5" s="3708"/>
      <c r="K5" s="559"/>
      <c r="L5" s="2707"/>
      <c r="M5" s="2708"/>
      <c r="N5" s="2708"/>
      <c r="O5" s="2708"/>
      <c r="P5" s="3695"/>
      <c r="Q5" s="3696"/>
      <c r="R5" s="3701"/>
      <c r="S5" s="3702"/>
      <c r="T5" s="3701"/>
      <c r="U5" s="3702"/>
      <c r="V5" s="3686"/>
      <c r="W5" s="3686"/>
      <c r="X5" s="1354"/>
      <c r="Y5" s="3701"/>
      <c r="Z5" s="3702"/>
      <c r="AA5" s="3688"/>
      <c r="AB5" s="3688"/>
      <c r="AC5" s="3688"/>
    </row>
    <row r="6" spans="1:29" ht="15.75" thickBot="1">
      <c r="A6" s="360"/>
      <c r="B6" s="361"/>
      <c r="C6" s="3705" t="s">
        <v>1677</v>
      </c>
      <c r="D6" s="3706"/>
      <c r="E6" s="3713" t="s">
        <v>1677</v>
      </c>
      <c r="F6" s="3714"/>
      <c r="G6" s="3705" t="s">
        <v>1677</v>
      </c>
      <c r="H6" s="3706"/>
      <c r="I6" s="3705" t="s">
        <v>1677</v>
      </c>
      <c r="J6" s="3706"/>
      <c r="K6" s="559" t="s">
        <v>1678</v>
      </c>
      <c r="L6" s="2707"/>
      <c r="M6" s="2708"/>
      <c r="N6" s="2708"/>
      <c r="O6" s="2708"/>
      <c r="P6" s="3697"/>
      <c r="Q6" s="3698"/>
      <c r="R6" s="3701"/>
      <c r="S6" s="3702"/>
      <c r="T6" s="3703"/>
      <c r="U6" s="3704"/>
      <c r="V6" s="3686"/>
      <c r="W6" s="3686"/>
      <c r="X6" s="1354"/>
      <c r="Y6" s="3703"/>
      <c r="Z6" s="3704"/>
      <c r="AA6" s="3689"/>
      <c r="AB6" s="3689"/>
      <c r="AC6" s="3689"/>
    </row>
    <row r="7" spans="1:29" s="108" customFormat="1" ht="15.75" thickBot="1">
      <c r="A7" s="362" t="s">
        <v>1679</v>
      </c>
      <c r="B7" s="363"/>
      <c r="C7" s="364">
        <f>'数据-取费表'!B2</f>
        <v>45160</v>
      </c>
      <c r="D7" s="365">
        <v>100</v>
      </c>
      <c r="E7" s="366"/>
      <c r="F7" s="367">
        <f>SUMIF(46:46,YEAR(E7)&amp;"-"&amp;MONTH(E7),47:47)</f>
        <v>0</v>
      </c>
      <c r="G7" s="1971"/>
      <c r="H7" s="365">
        <f>SUMIF(46:46,YEAR(G7)&amp;"-"&amp;MONTH(G7),47:47)</f>
        <v>0</v>
      </c>
      <c r="I7" s="366"/>
      <c r="J7" s="365">
        <f>SUMIF(46:46,YEAR(I7)&amp;"-"&amp;MONTH(I7),47:47)</f>
        <v>0</v>
      </c>
      <c r="K7" s="560"/>
      <c r="L7" s="2709"/>
      <c r="M7" s="2710"/>
      <c r="N7" s="2710"/>
      <c r="O7" s="2710"/>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09" t="s">
        <v>1683</v>
      </c>
      <c r="Q8" s="3710"/>
      <c r="R8" s="701" t="s">
        <v>14</v>
      </c>
      <c r="S8" s="702">
        <f t="shared" si="0"/>
        <v>100</v>
      </c>
      <c r="T8" s="701" t="s">
        <v>14</v>
      </c>
      <c r="U8" s="702">
        <f t="shared" si="1"/>
        <v>100</v>
      </c>
      <c r="V8" s="701" t="s">
        <v>14</v>
      </c>
      <c r="W8" s="702">
        <f t="shared" si="2"/>
        <v>100</v>
      </c>
      <c r="X8" s="703"/>
      <c r="Y8" s="3709" t="s">
        <v>1683</v>
      </c>
      <c r="Z8" s="371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681" t="s">
        <v>1686</v>
      </c>
      <c r="Q9" s="1342"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681"/>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681"/>
      <c r="Q11" s="1342">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681"/>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4"/>
      <c r="M13" s="2708"/>
      <c r="N13" s="2708"/>
      <c r="O13" s="2766"/>
      <c r="P13" s="3681"/>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
      <c r="A14" s="391" t="s">
        <v>1690</v>
      </c>
      <c r="B14" s="61" t="s">
        <v>1833</v>
      </c>
      <c r="C14" s="1968"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682" t="s">
        <v>1691</v>
      </c>
      <c r="Q14" s="1351" t="str">
        <f t="shared" si="6"/>
        <v>交通便捷度</v>
      </c>
      <c r="R14" s="705" t="s">
        <v>14</v>
      </c>
      <c r="S14" s="706">
        <f t="shared" si="0"/>
        <v>100</v>
      </c>
      <c r="T14" s="705" t="s">
        <v>14</v>
      </c>
      <c r="U14" s="706">
        <f t="shared" si="1"/>
        <v>100</v>
      </c>
      <c r="V14" s="705" t="s">
        <v>14</v>
      </c>
      <c r="W14" s="706">
        <f t="shared" si="2"/>
        <v>100</v>
      </c>
      <c r="X14" s="1354"/>
      <c r="Y14" s="368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4"/>
      <c r="M15" s="2708"/>
      <c r="N15" s="2708"/>
      <c r="O15" s="2766"/>
      <c r="P15" s="3683"/>
      <c r="Q15" s="1351"/>
      <c r="R15" s="705"/>
      <c r="S15" s="706"/>
      <c r="T15" s="705"/>
      <c r="U15" s="706"/>
      <c r="V15" s="705"/>
      <c r="W15" s="706"/>
      <c r="X15" s="1354"/>
      <c r="Y15" s="3683"/>
      <c r="Z15" s="1355"/>
      <c r="AA15" s="1352">
        <v>1</v>
      </c>
      <c r="AB15" s="1352">
        <v>1</v>
      </c>
      <c r="AC15" s="1352">
        <v>1</v>
      </c>
    </row>
    <row r="16" spans="1:29" ht="15">
      <c r="A16" s="379"/>
      <c r="B16" s="402" t="s">
        <v>1812</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683"/>
      <c r="Q16" s="1351" t="str">
        <f>B16</f>
        <v>公共配套设施</v>
      </c>
      <c r="R16" s="705" t="s">
        <v>14</v>
      </c>
      <c r="S16" s="706">
        <f>F16</f>
        <v>100</v>
      </c>
      <c r="T16" s="705" t="s">
        <v>14</v>
      </c>
      <c r="U16" s="706">
        <f>H16</f>
        <v>100</v>
      </c>
      <c r="V16" s="705" t="s">
        <v>14</v>
      </c>
      <c r="W16" s="706">
        <f>J16</f>
        <v>100</v>
      </c>
      <c r="X16" s="1354"/>
      <c r="Y16" s="368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4"/>
      <c r="M17" s="2708"/>
      <c r="N17" s="2708"/>
      <c r="O17" s="2766"/>
      <c r="P17" s="3683"/>
      <c r="Q17" s="1351"/>
      <c r="R17" s="705"/>
      <c r="S17" s="706"/>
      <c r="T17" s="705"/>
      <c r="U17" s="706"/>
      <c r="V17" s="705"/>
      <c r="W17" s="706"/>
      <c r="X17" s="1354"/>
      <c r="Y17" s="3683"/>
      <c r="Z17" s="1355"/>
      <c r="AA17" s="1352">
        <v>1</v>
      </c>
      <c r="AB17" s="1352">
        <v>1</v>
      </c>
      <c r="AC17" s="1352">
        <v>1</v>
      </c>
    </row>
    <row r="18" spans="1:29" ht="15">
      <c r="A18" s="379"/>
      <c r="B18" s="1131"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683"/>
      <c r="Q18" s="1351" t="str">
        <f>B18</f>
        <v>基础设施水平</v>
      </c>
      <c r="R18" s="705" t="s">
        <v>14</v>
      </c>
      <c r="S18" s="706">
        <f>F18</f>
        <v>100</v>
      </c>
      <c r="T18" s="705" t="s">
        <v>14</v>
      </c>
      <c r="U18" s="706">
        <f>H18</f>
        <v>100</v>
      </c>
      <c r="V18" s="705" t="s">
        <v>14</v>
      </c>
      <c r="W18" s="706">
        <f>J18</f>
        <v>100</v>
      </c>
      <c r="X18" s="1354"/>
      <c r="Y18" s="3683"/>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4"/>
      <c r="M19" s="2708"/>
      <c r="N19" s="2708"/>
      <c r="O19" s="2766"/>
      <c r="P19" s="3683"/>
      <c r="Q19" s="1351"/>
      <c r="R19" s="705"/>
      <c r="S19" s="706"/>
      <c r="T19" s="705"/>
      <c r="U19" s="706"/>
      <c r="V19" s="705"/>
      <c r="W19" s="706"/>
      <c r="X19" s="1354"/>
      <c r="Y19" s="3683"/>
      <c r="Z19" s="1355"/>
      <c r="AA19" s="1352">
        <v>1</v>
      </c>
      <c r="AB19" s="1352">
        <v>1</v>
      </c>
      <c r="AC19" s="1352">
        <v>1</v>
      </c>
    </row>
    <row r="20" spans="1:29" ht="15">
      <c r="A20" s="379"/>
      <c r="B20" s="402" t="s">
        <v>1834</v>
      </c>
      <c r="C20" s="1899"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683"/>
      <c r="Q20" s="1351" t="str">
        <f>B20</f>
        <v>自然及人文环境</v>
      </c>
      <c r="R20" s="705" t="s">
        <v>14</v>
      </c>
      <c r="S20" s="706">
        <f>F20</f>
        <v>100</v>
      </c>
      <c r="T20" s="705" t="s">
        <v>14</v>
      </c>
      <c r="U20" s="706">
        <f>H20</f>
        <v>100</v>
      </c>
      <c r="V20" s="705" t="s">
        <v>14</v>
      </c>
      <c r="W20" s="706">
        <f>J20</f>
        <v>100</v>
      </c>
      <c r="X20" s="1354"/>
      <c r="Y20" s="368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4"/>
      <c r="M21" s="2708"/>
      <c r="N21" s="2708"/>
      <c r="O21" s="2766"/>
      <c r="P21" s="3683"/>
      <c r="Q21" s="1351"/>
      <c r="R21" s="705"/>
      <c r="S21" s="706"/>
      <c r="T21" s="705"/>
      <c r="U21" s="706"/>
      <c r="V21" s="705"/>
      <c r="W21" s="706"/>
      <c r="X21" s="1354"/>
      <c r="Y21" s="368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683"/>
      <c r="Q22" s="1351" t="str">
        <f>B22</f>
        <v>楼层</v>
      </c>
      <c r="R22" s="705" t="s">
        <v>14</v>
      </c>
      <c r="S22" s="706">
        <f>F22</f>
        <v>100</v>
      </c>
      <c r="T22" s="705" t="s">
        <v>14</v>
      </c>
      <c r="U22" s="706">
        <f>H22</f>
        <v>100</v>
      </c>
      <c r="V22" s="705" t="s">
        <v>14</v>
      </c>
      <c r="W22" s="706">
        <f>J22</f>
        <v>100</v>
      </c>
      <c r="X22" s="1354"/>
      <c r="Y22" s="368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683"/>
      <c r="Q23" s="1351">
        <f>B23</f>
        <v>111</v>
      </c>
      <c r="R23" s="705" t="s">
        <v>14</v>
      </c>
      <c r="S23" s="706">
        <f>F23</f>
        <v>100</v>
      </c>
      <c r="T23" s="705" t="s">
        <v>14</v>
      </c>
      <c r="U23" s="706">
        <f>H23</f>
        <v>100</v>
      </c>
      <c r="V23" s="705" t="s">
        <v>14</v>
      </c>
      <c r="W23" s="706">
        <f>J23</f>
        <v>100</v>
      </c>
      <c r="X23" s="1354"/>
      <c r="Y23" s="368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683"/>
      <c r="Q24" s="1351">
        <f t="shared" ref="Q24:Q34" si="11">B24</f>
        <v>111</v>
      </c>
      <c r="R24" s="705" t="s">
        <v>14</v>
      </c>
      <c r="S24" s="706">
        <f>F24</f>
        <v>100</v>
      </c>
      <c r="T24" s="705" t="s">
        <v>14</v>
      </c>
      <c r="U24" s="706">
        <f>H24</f>
        <v>100</v>
      </c>
      <c r="V24" s="705" t="s">
        <v>14</v>
      </c>
      <c r="W24" s="706">
        <f>J24</f>
        <v>100</v>
      </c>
      <c r="X24" s="1354"/>
      <c r="Y24" s="3683"/>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09"/>
      <c r="M25" s="2710"/>
      <c r="N25" s="2710"/>
      <c r="O25" s="2764"/>
      <c r="P25" s="3683"/>
      <c r="Q25" s="1342">
        <f t="shared" si="11"/>
        <v>111</v>
      </c>
      <c r="R25" s="701" t="s">
        <v>14</v>
      </c>
      <c r="S25" s="702">
        <f>F25</f>
        <v>100</v>
      </c>
      <c r="T25" s="701" t="s">
        <v>14</v>
      </c>
      <c r="U25" s="702">
        <f>H25</f>
        <v>100</v>
      </c>
      <c r="V25" s="701" t="s">
        <v>14</v>
      </c>
      <c r="W25" s="702">
        <f>J25</f>
        <v>100</v>
      </c>
      <c r="X25" s="703"/>
      <c r="Y25" s="3683"/>
      <c r="Z25" s="52">
        <f>Q25</f>
        <v>111</v>
      </c>
      <c r="AA25" s="1352">
        <f>D25/F25</f>
        <v>1</v>
      </c>
      <c r="AB25" s="1352">
        <f>D25/H25</f>
        <v>1</v>
      </c>
      <c r="AC25" s="1352">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4"/>
      <c r="M26" s="2708"/>
      <c r="N26" s="2708"/>
      <c r="O26" s="2766"/>
      <c r="P26" s="3684"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685"/>
      <c r="Q27" s="707" t="str">
        <f t="shared" si="11"/>
        <v>成新率</v>
      </c>
      <c r="R27" s="708" t="s">
        <v>14</v>
      </c>
      <c r="S27" s="709" t="e">
        <f t="shared" si="12"/>
        <v>#N/A</v>
      </c>
      <c r="T27" s="708" t="s">
        <v>14</v>
      </c>
      <c r="U27" s="709" t="e">
        <f t="shared" si="13"/>
        <v>#N/A</v>
      </c>
      <c r="V27" s="708" t="s">
        <v>14</v>
      </c>
      <c r="W27" s="709" t="e">
        <f t="shared" si="14"/>
        <v>#N/A</v>
      </c>
      <c r="X27" s="710"/>
      <c r="Y27" s="3685"/>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685"/>
      <c r="Q28" s="1351" t="str">
        <f t="shared" si="11"/>
        <v>物业等级</v>
      </c>
      <c r="R28" s="705" t="s">
        <v>14</v>
      </c>
      <c r="S28" s="706">
        <f t="shared" si="12"/>
        <v>100</v>
      </c>
      <c r="T28" s="705" t="s">
        <v>14</v>
      </c>
      <c r="U28" s="706">
        <f t="shared" si="13"/>
        <v>100</v>
      </c>
      <c r="V28" s="705" t="s">
        <v>14</v>
      </c>
      <c r="W28" s="706">
        <f t="shared" si="14"/>
        <v>100</v>
      </c>
      <c r="X28" s="1354"/>
      <c r="Y28" s="368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685"/>
      <c r="Q29" s="1351" t="str">
        <f t="shared" si="11"/>
        <v>有无电梯</v>
      </c>
      <c r="R29" s="705" t="s">
        <v>14</v>
      </c>
      <c r="S29" s="706">
        <f t="shared" si="12"/>
        <v>100</v>
      </c>
      <c r="T29" s="705" t="s">
        <v>14</v>
      </c>
      <c r="U29" s="706">
        <f t="shared" si="13"/>
        <v>100</v>
      </c>
      <c r="V29" s="705" t="s">
        <v>14</v>
      </c>
      <c r="W29" s="706">
        <f t="shared" si="14"/>
        <v>100</v>
      </c>
      <c r="X29" s="1354"/>
      <c r="Y29" s="368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685"/>
      <c r="Q30" s="1351" t="str">
        <f t="shared" si="11"/>
        <v>建筑面积</v>
      </c>
      <c r="R30" s="705" t="s">
        <v>14</v>
      </c>
      <c r="S30" s="706" t="e">
        <f t="shared" si="12"/>
        <v>#N/A</v>
      </c>
      <c r="T30" s="705" t="s">
        <v>14</v>
      </c>
      <c r="U30" s="706" t="e">
        <f t="shared" si="13"/>
        <v>#N/A</v>
      </c>
      <c r="V30" s="705" t="s">
        <v>14</v>
      </c>
      <c r="W30" s="706" t="e">
        <f t="shared" si="14"/>
        <v>#N/A</v>
      </c>
      <c r="X30" s="1354"/>
      <c r="Y30" s="368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685"/>
      <c r="Q31" s="1342" t="str">
        <f t="shared" si="11"/>
        <v>是否封闭</v>
      </c>
      <c r="R31" s="701" t="s">
        <v>14</v>
      </c>
      <c r="S31" s="702">
        <f t="shared" si="12"/>
        <v>100</v>
      </c>
      <c r="T31" s="701" t="s">
        <v>14</v>
      </c>
      <c r="U31" s="702">
        <f t="shared" si="13"/>
        <v>100</v>
      </c>
      <c r="V31" s="701" t="s">
        <v>14</v>
      </c>
      <c r="W31" s="702">
        <f t="shared" si="14"/>
        <v>100</v>
      </c>
      <c r="X31" s="703"/>
      <c r="Y31" s="368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685" t="s">
        <v>1696</v>
      </c>
      <c r="Q32" s="1351">
        <f t="shared" si="11"/>
        <v>111</v>
      </c>
      <c r="R32" s="705" t="s">
        <v>14</v>
      </c>
      <c r="S32" s="706">
        <f t="shared" si="12"/>
        <v>100</v>
      </c>
      <c r="T32" s="705" t="s">
        <v>14</v>
      </c>
      <c r="U32" s="706">
        <f t="shared" si="13"/>
        <v>100</v>
      </c>
      <c r="V32" s="705" t="s">
        <v>14</v>
      </c>
      <c r="W32" s="706">
        <f t="shared" si="14"/>
        <v>100</v>
      </c>
      <c r="X32" s="1354"/>
      <c r="Y32" s="368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685"/>
      <c r="Q33" s="1351">
        <f t="shared" si="11"/>
        <v>111</v>
      </c>
      <c r="R33" s="705" t="s">
        <v>14</v>
      </c>
      <c r="S33" s="706">
        <f t="shared" si="12"/>
        <v>100</v>
      </c>
      <c r="T33" s="705" t="s">
        <v>14</v>
      </c>
      <c r="U33" s="706">
        <f t="shared" si="13"/>
        <v>100</v>
      </c>
      <c r="V33" s="705" t="s">
        <v>14</v>
      </c>
      <c r="W33" s="706">
        <f t="shared" si="14"/>
        <v>100</v>
      </c>
      <c r="X33" s="1354"/>
      <c r="Y33" s="3685"/>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4"/>
      <c r="M34" s="2708"/>
      <c r="N34" s="2708"/>
      <c r="O34" s="2766"/>
      <c r="P34" s="3685"/>
      <c r="Q34" s="1351">
        <f t="shared" si="11"/>
        <v>111</v>
      </c>
      <c r="R34" s="705" t="s">
        <v>14</v>
      </c>
      <c r="S34" s="706">
        <f t="shared" si="12"/>
        <v>100</v>
      </c>
      <c r="T34" s="705" t="s">
        <v>14</v>
      </c>
      <c r="U34" s="706">
        <f t="shared" si="13"/>
        <v>100</v>
      </c>
      <c r="V34" s="705" t="s">
        <v>14</v>
      </c>
      <c r="W34" s="706">
        <f t="shared" si="14"/>
        <v>100</v>
      </c>
      <c r="X34" s="1354"/>
      <c r="Y34" s="3685"/>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6"/>
      <c r="M35" s="2717"/>
      <c r="N35" s="2708"/>
      <c r="O35" s="2717"/>
      <c r="P35" s="3681" t="str">
        <f>A35</f>
        <v>成交单价（元/平方米）</v>
      </c>
      <c r="Q35" s="3681"/>
      <c r="R35" s="3744">
        <f>E35</f>
        <v>0</v>
      </c>
      <c r="S35" s="3744"/>
      <c r="T35" s="3744">
        <f>G35</f>
        <v>0</v>
      </c>
      <c r="U35" s="3744"/>
      <c r="V35" s="3744">
        <f>I35</f>
        <v>0</v>
      </c>
      <c r="W35" s="3744"/>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16"/>
      <c r="M36" s="2717"/>
      <c r="N36" s="2708"/>
      <c r="O36" s="2717"/>
      <c r="P36" s="3681" t="str">
        <f>A36</f>
        <v>比较价值（元/平方米）</v>
      </c>
      <c r="Q36" s="3681"/>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6"/>
      <c r="M37" s="2717"/>
      <c r="N37" s="2717"/>
      <c r="O37" s="2717"/>
      <c r="P37" s="3675" t="str">
        <f>A37</f>
        <v>估价对象XX用房的比较价值（楼面单价，元/平方米）</v>
      </c>
      <c r="Q37" s="3676"/>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1798</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2">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75" thickBot="1">
      <c r="A48" s="464" t="s">
        <v>1716</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5">
      <c r="A49" s="470" t="s">
        <v>1681</v>
      </c>
      <c r="B49" s="459"/>
      <c r="C49" s="471" t="s">
        <v>1776</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c r="A51" s="476" t="s">
        <v>1719</v>
      </c>
      <c r="B51" s="477" t="s">
        <v>1685</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1688</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1863</v>
      </c>
      <c r="C63" s="527" t="s">
        <v>1721</v>
      </c>
      <c r="D63" s="527" t="s">
        <v>1722</v>
      </c>
      <c r="E63" s="527" t="s">
        <v>1723</v>
      </c>
      <c r="F63" s="527" t="s">
        <v>1724</v>
      </c>
      <c r="G63" s="527" t="s">
        <v>1725</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1813</v>
      </c>
      <c r="C65" s="608" t="s">
        <v>1799</v>
      </c>
      <c r="D65" s="608" t="s">
        <v>1800</v>
      </c>
      <c r="E65" s="608" t="s">
        <v>1801</v>
      </c>
      <c r="F65" s="608" t="s">
        <v>1802</v>
      </c>
      <c r="G65" s="608" t="s">
        <v>1803</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1733</v>
      </c>
      <c r="C67" s="527" t="s">
        <v>1721</v>
      </c>
      <c r="D67" s="527" t="s">
        <v>1722</v>
      </c>
      <c r="E67" s="527" t="s">
        <v>1723</v>
      </c>
      <c r="F67" s="527" t="s">
        <v>1724</v>
      </c>
      <c r="G67" s="527" t="s">
        <v>1725</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1852</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1694</v>
      </c>
      <c r="B77" s="477" t="s">
        <v>1740</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1856</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1864</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1866</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90" zoomScaleNormal="70" zoomScaleSheetLayoutView="9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3450</v>
      </c>
      <c r="D1" s="1361" t="s">
        <v>43</v>
      </c>
      <c r="E1" s="1362" t="s">
        <v>678</v>
      </c>
      <c r="F1" s="1062">
        <f ca="1">J53</f>
        <v>37.75</v>
      </c>
      <c r="G1" s="1377">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10865</v>
      </c>
      <c r="C2" s="1386" t="s">
        <v>805</v>
      </c>
      <c r="D2" s="1386"/>
      <c r="E2" s="1387"/>
      <c r="F2" s="1388"/>
      <c r="G2" s="2698"/>
      <c r="H2" s="2687"/>
      <c r="I2" s="2687"/>
      <c r="J2" s="2687"/>
      <c r="K2" s="2688"/>
      <c r="L2" s="2687"/>
      <c r="M2" s="2687"/>
    </row>
    <row r="3" spans="1:37" ht="18" customHeight="1" thickBot="1">
      <c r="A3" s="1389" t="s">
        <v>806</v>
      </c>
      <c r="B3" s="1390">
        <f ca="1">IF(ISERROR(B2*10000/F43),0,ROUND(B2*10000/F43,0))</f>
        <v>27163</v>
      </c>
      <c r="C3" s="1386" t="s">
        <v>807</v>
      </c>
      <c r="D3" s="1386"/>
      <c r="E3" s="1387"/>
      <c r="F3" s="1388"/>
      <c r="G3" s="2698"/>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658</v>
      </c>
      <c r="D5" s="1363" t="s">
        <v>693</v>
      </c>
      <c r="E5" s="1071"/>
      <c r="F5" s="1072"/>
      <c r="G5" s="1383"/>
      <c r="H5" s="299">
        <v>1</v>
      </c>
      <c r="I5" s="300" t="s">
        <v>692</v>
      </c>
      <c r="J5" s="1070">
        <f ca="1">J6+J10+J12</f>
        <v>0</v>
      </c>
      <c r="K5" s="1363" t="s">
        <v>693</v>
      </c>
      <c r="L5" s="1071"/>
      <c r="M5" s="1072"/>
    </row>
    <row r="6" spans="1:37" ht="18" customHeight="1">
      <c r="A6" s="1069" t="s">
        <v>398</v>
      </c>
      <c r="B6" s="3721" t="s">
        <v>694</v>
      </c>
      <c r="C6" s="1074">
        <f ca="1">ROUND(F6*F8*F7*(1-F9)/10000,0)</f>
        <v>657</v>
      </c>
      <c r="D6" s="155" t="s">
        <v>2109</v>
      </c>
      <c r="E6" s="302" t="s">
        <v>696</v>
      </c>
      <c r="F6" s="303">
        <f ca="1">INDIRECT("'数据-取费表'!u"&amp;$G$1)</f>
        <v>5</v>
      </c>
      <c r="G6" s="1383"/>
      <c r="H6" s="1069" t="s">
        <v>398</v>
      </c>
      <c r="I6" s="3721" t="s">
        <v>694</v>
      </c>
      <c r="J6" s="301">
        <f ca="1">ROUND(M6*M8*M7*(1-M9)/10000,0)</f>
        <v>0</v>
      </c>
      <c r="K6" s="155" t="s">
        <v>2108</v>
      </c>
      <c r="L6" s="302" t="s">
        <v>696</v>
      </c>
      <c r="M6" s="303">
        <f ca="1">INDIRECT("'数据-取费表'!z"&amp;$G$1)</f>
        <v>0</v>
      </c>
    </row>
    <row r="7" spans="1:37" ht="18" customHeight="1">
      <c r="A7" s="1073"/>
      <c r="B7" s="3722"/>
      <c r="C7" s="1075"/>
      <c r="D7" s="307"/>
      <c r="E7" s="3458" t="s">
        <v>697</v>
      </c>
      <c r="F7" s="303">
        <f ca="1">IF(INDIRECT("'数据-取费表'!ah"&amp;$G$1)="",INDIRECT("'数据-取费表'!k"&amp;$G$1),INDIRECT("'数据-取费表'!ah"&amp;$G$1))</f>
        <v>4000</v>
      </c>
      <c r="G7" s="1383"/>
      <c r="H7" s="304"/>
      <c r="I7" s="3722"/>
      <c r="J7" s="306"/>
      <c r="K7" s="307"/>
      <c r="L7" s="302" t="s">
        <v>697</v>
      </c>
      <c r="M7" s="303">
        <f ca="1">F7</f>
        <v>4000</v>
      </c>
    </row>
    <row r="8" spans="1:37" ht="18" customHeight="1">
      <c r="A8" s="304"/>
      <c r="B8" s="3722"/>
      <c r="C8" s="306"/>
      <c r="D8" s="307"/>
      <c r="E8" s="302" t="s">
        <v>698</v>
      </c>
      <c r="F8" s="303">
        <f ca="1">INDIRECT("'数据-取费表'!ai"&amp;$G$1)</f>
        <v>365</v>
      </c>
      <c r="G8" s="1383"/>
      <c r="H8" s="304"/>
      <c r="I8" s="3722"/>
      <c r="J8" s="306"/>
      <c r="K8" s="307"/>
      <c r="L8" s="302" t="s">
        <v>698</v>
      </c>
      <c r="M8" s="303">
        <f ca="1">INDIRECT("'数据-取费表'!ai"&amp;$G$1)</f>
        <v>365</v>
      </c>
    </row>
    <row r="9" spans="1:37" ht="18" customHeight="1">
      <c r="A9" s="304"/>
      <c r="B9" s="3723"/>
      <c r="C9" s="306"/>
      <c r="D9" s="307"/>
      <c r="E9" s="302" t="s">
        <v>699</v>
      </c>
      <c r="F9" s="312">
        <f ca="1">INDIRECT("'数据-取费表'!w"&amp;$G$1)</f>
        <v>0.1</v>
      </c>
      <c r="G9" s="1383"/>
      <c r="H9" s="304"/>
      <c r="I9" s="3723"/>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2116</v>
      </c>
      <c r="E10" s="313" t="s">
        <v>701</v>
      </c>
      <c r="F10" s="1116" t="s">
        <v>3404</v>
      </c>
      <c r="G10" s="1383"/>
      <c r="H10" s="1069" t="s">
        <v>402</v>
      </c>
      <c r="I10" s="1364" t="s">
        <v>700</v>
      </c>
      <c r="J10" s="301">
        <f ca="1">ROUND(IF(M10="押一",J6/12*M11,IF(M10="押二",J6/12*2*M11,IF(M10="押三",J6/12*3*M11,J11*M11))),0)</f>
        <v>0</v>
      </c>
      <c r="K10" s="1365" t="s">
        <v>2116</v>
      </c>
      <c r="L10" s="313" t="s">
        <v>701</v>
      </c>
      <c r="M10" s="1116" t="s">
        <v>3404</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2569</v>
      </c>
      <c r="D13" s="3450" t="s">
        <v>705</v>
      </c>
      <c r="E13" s="3450"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1717</v>
      </c>
      <c r="D14" s="3454" t="s">
        <v>708</v>
      </c>
      <c r="E14" s="3452"/>
      <c r="F14" s="319"/>
      <c r="G14" s="1383"/>
      <c r="H14" s="982" t="s">
        <v>398</v>
      </c>
      <c r="I14" s="302" t="s">
        <v>709</v>
      </c>
      <c r="J14" s="21">
        <f ca="1">C29</f>
        <v>2569</v>
      </c>
      <c r="K14" s="3457"/>
      <c r="L14" s="807"/>
      <c r="M14" s="808"/>
    </row>
    <row r="15" spans="1:37" s="1396" customFormat="1" ht="18" customHeight="1" thickBot="1">
      <c r="A15" s="982" t="s">
        <v>399</v>
      </c>
      <c r="B15" s="302" t="s">
        <v>710</v>
      </c>
      <c r="C15" s="21">
        <f ca="1">ROUND(C14*F15,0)</f>
        <v>52</v>
      </c>
      <c r="D15" s="3451" t="s">
        <v>711</v>
      </c>
      <c r="E15" s="3451"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13</v>
      </c>
      <c r="K16" s="1087" t="s">
        <v>715</v>
      </c>
      <c r="L16" s="3455"/>
      <c r="M16" s="1072"/>
    </row>
    <row r="17" spans="1:37" s="1396" customFormat="1" ht="18" customHeight="1">
      <c r="A17" s="982" t="s">
        <v>681</v>
      </c>
      <c r="B17" s="302" t="s">
        <v>716</v>
      </c>
      <c r="C17" s="21">
        <f ca="1">ROUND(F17*(F43+INDIRECT("'数据-取费表'!S"&amp;$G$1))/10000,0)</f>
        <v>86</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3454" t="s">
        <v>720</v>
      </c>
      <c r="L17" s="345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26</v>
      </c>
      <c r="D18" s="302" t="s">
        <v>711</v>
      </c>
      <c r="E18" s="302" t="s">
        <v>712</v>
      </c>
      <c r="F18" s="322">
        <f>'数据-取费表'!B36</f>
        <v>1.4999999999999999E-2</v>
      </c>
      <c r="G18" s="1395"/>
      <c r="H18" s="982" t="s">
        <v>397</v>
      </c>
      <c r="I18" s="302" t="s">
        <v>723</v>
      </c>
      <c r="J18" s="21">
        <f ca="1">ROUND(J6*M18/(1+'数据-取费表'!C42),2)</f>
        <v>0</v>
      </c>
      <c r="K18" s="345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1881</v>
      </c>
      <c r="D19" s="131" t="s">
        <v>726</v>
      </c>
      <c r="E19" s="3460"/>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38</v>
      </c>
      <c r="D20" s="2425"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908.16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3"/>
      <c r="H22" s="982" t="s">
        <v>402</v>
      </c>
      <c r="I22" s="302" t="s">
        <v>738</v>
      </c>
      <c r="J22" s="21">
        <f ca="1">ROUND(J14*M22,2)</f>
        <v>12.85</v>
      </c>
      <c r="K22" s="345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66</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0"/>
      <c r="F25" s="23"/>
      <c r="G25" s="1383"/>
      <c r="H25" s="1079" t="s">
        <v>394</v>
      </c>
      <c r="I25" s="1094" t="s">
        <v>752</v>
      </c>
      <c r="J25" s="310">
        <f ca="1">J5-J16</f>
        <v>-13</v>
      </c>
      <c r="K25" s="1095" t="s">
        <v>753</v>
      </c>
      <c r="L25" s="1096"/>
      <c r="M25" s="1097"/>
    </row>
    <row r="26" spans="1:37">
      <c r="A26" s="982" t="s">
        <v>397</v>
      </c>
      <c r="B26" s="302" t="s">
        <v>754</v>
      </c>
      <c r="C26" s="21">
        <f ca="1">ROUND((C19+C20)*F26,0)</f>
        <v>384</v>
      </c>
      <c r="D26" s="2425"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2425" t="s">
        <v>761</v>
      </c>
      <c r="E27" s="3451"/>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5"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2569</v>
      </c>
      <c r="D29" s="1092"/>
      <c r="E29" s="1090"/>
      <c r="F29" s="1093"/>
      <c r="G29" s="1395"/>
      <c r="H29" s="334" t="s">
        <v>396</v>
      </c>
      <c r="I29" s="335" t="s">
        <v>768</v>
      </c>
      <c r="J29" s="336">
        <f ca="1">ROUND(J26/(1+F40)^F41,0)</f>
        <v>0</v>
      </c>
      <c r="K29" s="337" t="s">
        <v>769</v>
      </c>
      <c r="L29" s="338"/>
      <c r="M29" s="339">
        <f ca="1">INDIRECT("'数据-取费表'!k"&amp;$G$1)</f>
        <v>4000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132</v>
      </c>
      <c r="D30" s="1087" t="s">
        <v>715</v>
      </c>
      <c r="E30" s="3455"/>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ROUND(IF(AND(项目基本情况!B11="自然人",项目基本情况!B10="北京市"),C6*F31/(1+'数据-取费表'!C42),C32+C33+C34),2)</f>
        <v>110.13</v>
      </c>
      <c r="D31" s="3454" t="s">
        <v>720</v>
      </c>
      <c r="E31" s="345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IF(项目基本情况!B11="自然人","——",ROUND(C6*F32/(1+'数据-取费表'!C42),2))</f>
        <v>35.04</v>
      </c>
      <c r="D32" s="3453" t="s">
        <v>724</v>
      </c>
      <c r="E32" s="302" t="s">
        <v>712</v>
      </c>
      <c r="F32" s="331">
        <f>'数据-取费表'!B41</f>
        <v>5.6000000000000001E-2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75.09</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0</v>
      </c>
      <c r="G34" s="1383"/>
      <c r="H34" s="2689"/>
      <c r="I34" s="1397"/>
      <c r="J34" s="1398"/>
      <c r="K34" s="2694"/>
      <c r="L34" s="2695"/>
      <c r="M34" s="2695"/>
    </row>
    <row r="35" spans="1:18" ht="18" customHeight="1">
      <c r="A35" s="1103"/>
      <c r="B35" s="1101"/>
      <c r="C35" s="26"/>
      <c r="D35" s="327"/>
      <c r="E35" s="302" t="s">
        <v>736</v>
      </c>
      <c r="F35" s="303">
        <f ca="1">INDIRECT("'数据-取费表'!r"&amp;$G$1)</f>
        <v>908.16</v>
      </c>
      <c r="G35" s="1383"/>
      <c r="H35" s="2689"/>
      <c r="I35" s="1397"/>
      <c r="J35" s="1398"/>
      <c r="K35" s="2693"/>
      <c r="L35" s="2692"/>
      <c r="M35" s="2692"/>
    </row>
    <row r="36" spans="1:18" ht="18" customHeight="1">
      <c r="A36" s="1102" t="s">
        <v>402</v>
      </c>
      <c r="B36" s="302" t="s">
        <v>738</v>
      </c>
      <c r="C36" s="21">
        <f ca="1">ROUND(C29*F36,2)</f>
        <v>12.85</v>
      </c>
      <c r="D36" s="3453" t="s">
        <v>771</v>
      </c>
      <c r="E36" s="302" t="s">
        <v>712</v>
      </c>
      <c r="F36" s="328">
        <f ca="1">INDIRECT("'数据-取费表'!Ak"&amp;$G$1)</f>
        <v>5.0000000000000001E-3</v>
      </c>
      <c r="G36" s="1383"/>
      <c r="H36" s="2692"/>
      <c r="I36" s="1397"/>
      <c r="J36" s="1398"/>
      <c r="K36" s="2536"/>
      <c r="L36" s="2692"/>
      <c r="M36" s="2692"/>
    </row>
    <row r="37" spans="1:18" ht="18" customHeight="1">
      <c r="A37" s="982" t="s">
        <v>437</v>
      </c>
      <c r="B37" s="302" t="s">
        <v>742</v>
      </c>
      <c r="C37" s="21">
        <f ca="1">ROUND(C13*F37,2)</f>
        <v>2.57</v>
      </c>
      <c r="D37" s="3453" t="s">
        <v>743</v>
      </c>
      <c r="E37" s="302" t="s">
        <v>744</v>
      </c>
      <c r="F37" s="330">
        <f ca="1">INDIRECT("'数据-取费表'!Al"&amp;$G$1)</f>
        <v>1E-3</v>
      </c>
      <c r="G37" s="1383"/>
      <c r="H37" s="2692"/>
      <c r="I37" s="1397"/>
      <c r="J37" s="1398"/>
      <c r="K37" s="2536"/>
      <c r="L37" s="2692"/>
      <c r="M37" s="2692"/>
    </row>
    <row r="38" spans="1:18" ht="18" customHeight="1" thickBot="1">
      <c r="A38" s="1089" t="s">
        <v>684</v>
      </c>
      <c r="B38" s="1090" t="s">
        <v>728</v>
      </c>
      <c r="C38" s="1091">
        <f ca="1">ROUND(C5*F38,2)</f>
        <v>6.58</v>
      </c>
      <c r="D38" s="1092" t="s">
        <v>748</v>
      </c>
      <c r="E38" s="1090" t="s">
        <v>744</v>
      </c>
      <c r="F38" s="1086">
        <f ca="1">INDIRECT("'数据-取费表'!Am"&amp;$G$1)</f>
        <v>0.01</v>
      </c>
      <c r="G38" s="1383"/>
      <c r="H38" s="2692"/>
      <c r="I38" s="1397"/>
      <c r="J38" s="1398"/>
      <c r="K38" s="2696"/>
      <c r="L38" s="2692"/>
      <c r="M38" s="2692"/>
    </row>
    <row r="39" spans="1:18" ht="24.6" customHeight="1" thickTop="1">
      <c r="A39" s="1079" t="s">
        <v>394</v>
      </c>
      <c r="B39" s="1094" t="s">
        <v>772</v>
      </c>
      <c r="C39" s="310">
        <f ca="1">C5-C30</f>
        <v>526</v>
      </c>
      <c r="D39" s="1095" t="s">
        <v>753</v>
      </c>
      <c r="E39" s="1096"/>
      <c r="F39" s="1097"/>
      <c r="G39" s="1383"/>
      <c r="H39" s="2692"/>
      <c r="I39" s="1397"/>
      <c r="J39" s="1398"/>
      <c r="K39" s="2696"/>
      <c r="L39" s="2692"/>
      <c r="M39" s="2692"/>
    </row>
    <row r="40" spans="1:18" ht="18" customHeight="1">
      <c r="A40" s="299" t="s">
        <v>395</v>
      </c>
      <c r="B40" s="300" t="s">
        <v>774</v>
      </c>
      <c r="C40" s="301">
        <f ca="1">ROUND(C39*(1-((1+F42)/(1+F40))^F41)/(F40-F42),0)</f>
        <v>10798</v>
      </c>
      <c r="D40" s="324" t="s">
        <v>758</v>
      </c>
      <c r="E40" s="302" t="s">
        <v>759</v>
      </c>
      <c r="F40" s="312">
        <f ca="1">INDIRECT("'数据-取费表'!I"&amp;$G$1)</f>
        <v>0.06</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37.75</v>
      </c>
      <c r="G41" s="1383"/>
      <c r="H41" s="1190"/>
      <c r="I41" s="1397"/>
      <c r="J41" s="1398"/>
      <c r="K41" s="2536"/>
      <c r="L41" s="1190"/>
      <c r="M41" s="1190"/>
    </row>
    <row r="42" spans="1:18" ht="18" customHeight="1">
      <c r="A42" s="308"/>
      <c r="B42" s="309"/>
      <c r="C42" s="310"/>
      <c r="D42" s="327"/>
      <c r="E42" s="302" t="s">
        <v>766</v>
      </c>
      <c r="F42" s="312">
        <f ca="1">INDIRECT("'数据-取费表'!v"&amp;$G$1)</f>
        <v>2.5000000000000001E-2</v>
      </c>
      <c r="G42" s="1383"/>
      <c r="H42" s="1190"/>
      <c r="I42" s="1397"/>
      <c r="J42" s="1398"/>
      <c r="K42" s="2536"/>
      <c r="L42" s="1190"/>
      <c r="M42" s="1190"/>
    </row>
    <row r="43" spans="1:18" ht="18" customHeight="1" thickBot="1">
      <c r="A43" s="334" t="s">
        <v>396</v>
      </c>
      <c r="B43" s="335" t="s">
        <v>776</v>
      </c>
      <c r="C43" s="336">
        <f ca="1">ROUND(C40*10000/F43,0)</f>
        <v>26995</v>
      </c>
      <c r="D43" s="337" t="s">
        <v>777</v>
      </c>
      <c r="E43" s="338" t="s">
        <v>778</v>
      </c>
      <c r="F43" s="339">
        <f ca="1">INDIRECT("'数据-取费表'!k"&amp;$G$1)</f>
        <v>4000</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7" t="s">
        <v>808</v>
      </c>
      <c r="P45" s="1460"/>
      <c r="Q45" s="1460"/>
      <c r="R45" s="1460"/>
    </row>
    <row r="46" spans="1:18" s="1383" customFormat="1" ht="13.5" thickBot="1">
      <c r="A46" s="1403" t="s">
        <v>809</v>
      </c>
      <c r="C46" s="1404">
        <f ca="1">C68-C40</f>
        <v>-11020</v>
      </c>
      <c r="D46" s="1405" t="str">
        <f>C2</f>
        <v>万元</v>
      </c>
      <c r="E46" s="1399"/>
      <c r="F46" s="1399"/>
      <c r="I46" s="1406" t="s">
        <v>810</v>
      </c>
      <c r="J46" s="1407"/>
      <c r="K46" s="1408"/>
      <c r="L46" s="1409">
        <f ca="1">IF(M47="住宅",0,IF(L48&gt;J51,L60,J60))</f>
        <v>67</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3405</v>
      </c>
      <c r="K47" s="1415" t="s">
        <v>816</v>
      </c>
      <c r="L47" s="1416">
        <f ca="1">INDIRECT("'数据-取费表'!d"&amp;$G$1)</f>
        <v>40</v>
      </c>
      <c r="M47" s="1379" t="str">
        <f>IF(ISNUMBER(FIND("住宅",C1)),"住宅","非住宅")</f>
        <v>非住宅</v>
      </c>
      <c r="O47" s="1417" t="s">
        <v>403</v>
      </c>
      <c r="P47" s="1418" t="s">
        <v>817</v>
      </c>
      <c r="Q47" s="1419">
        <f ca="1">C40+J29</f>
        <v>10798</v>
      </c>
      <c r="R47" s="1419" t="s">
        <v>818</v>
      </c>
    </row>
    <row r="48" spans="1:18" s="1383" customFormat="1" ht="28.5" thickBot="1">
      <c r="A48" s="1110" t="s">
        <v>438</v>
      </c>
      <c r="B48" s="300" t="s">
        <v>692</v>
      </c>
      <c r="C48" s="3459">
        <f ca="1">C49+C53+C55</f>
        <v>0</v>
      </c>
      <c r="D48" s="1112"/>
      <c r="E48" s="1113"/>
      <c r="F48" s="962"/>
      <c r="G48" s="722"/>
      <c r="H48" s="723"/>
      <c r="I48" s="1420" t="s">
        <v>819</v>
      </c>
      <c r="J48" s="1421" t="s">
        <v>3406</v>
      </c>
      <c r="K48" s="1422" t="s">
        <v>820</v>
      </c>
      <c r="L48" s="1423">
        <f ca="1">INDIRECT("'数据-取费表'!f"&amp;$G$1)</f>
        <v>37.75</v>
      </c>
      <c r="O48" s="1417" t="s">
        <v>404</v>
      </c>
      <c r="P48" s="1418" t="s">
        <v>821</v>
      </c>
      <c r="Q48" s="1419">
        <f ca="1">J60</f>
        <v>67</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'数据-取费表'!N18</f>
        <v>2023</v>
      </c>
      <c r="K49" s="1422" t="s">
        <v>824</v>
      </c>
      <c r="L49" s="1426"/>
      <c r="O49" s="1427" t="s">
        <v>405</v>
      </c>
      <c r="P49" s="1418" t="s">
        <v>825</v>
      </c>
      <c r="Q49" s="1419">
        <f ca="1">C29</f>
        <v>2569</v>
      </c>
      <c r="R49" s="1419" t="s">
        <v>818</v>
      </c>
    </row>
    <row r="50" spans="1:18" s="1383" customFormat="1" ht="13.5" thickBot="1">
      <c r="A50" s="976"/>
      <c r="B50" s="979"/>
      <c r="C50" s="1118"/>
      <c r="D50" s="953"/>
      <c r="E50" s="1056" t="s">
        <v>697</v>
      </c>
      <c r="F50" s="1057">
        <f ca="1">F7</f>
        <v>4000</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6041</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37.75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37.75</v>
      </c>
      <c r="K53" s="3719" t="s">
        <v>837</v>
      </c>
      <c r="L53" s="3720"/>
      <c r="O53" s="1417" t="s">
        <v>409</v>
      </c>
      <c r="P53" s="1418" t="s">
        <v>838</v>
      </c>
      <c r="Q53" s="1419">
        <f ca="1">Q47+Q48</f>
        <v>10865</v>
      </c>
      <c r="R53" s="1419" t="s">
        <v>410</v>
      </c>
    </row>
    <row r="54" spans="1:18" s="1383" customFormat="1" ht="13.5" thickBot="1">
      <c r="A54" s="1153"/>
      <c r="B54" s="1366" t="s">
        <v>679</v>
      </c>
      <c r="C54" s="959"/>
      <c r="D54" s="1365"/>
      <c r="E54" s="3456"/>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6"/>
      <c r="F55" s="1439"/>
      <c r="I55" s="1442" t="s">
        <v>840</v>
      </c>
      <c r="J55" s="1443">
        <f ca="1">ROUND(IF(J47="钢混",J57/J50,1-(1-2%)*(J50-J57)/J50),3)</f>
        <v>0.371</v>
      </c>
      <c r="K55" s="1444" t="s">
        <v>841</v>
      </c>
      <c r="L55" s="1445"/>
      <c r="O55" s="1410" t="s">
        <v>811</v>
      </c>
      <c r="P55" s="1411" t="s">
        <v>812</v>
      </c>
      <c r="Q55" s="1412" t="s">
        <v>813</v>
      </c>
      <c r="R55" s="1412" t="s">
        <v>814</v>
      </c>
    </row>
    <row r="56" spans="1:18" s="1383" customFormat="1" ht="25.5" thickTop="1" thickBot="1">
      <c r="A56" s="957">
        <v>2</v>
      </c>
      <c r="B56" s="958" t="s">
        <v>704</v>
      </c>
      <c r="C56" s="232">
        <f ca="1">C13</f>
        <v>2569</v>
      </c>
      <c r="D56" s="1446"/>
      <c r="E56" s="1447"/>
      <c r="F56" s="1439"/>
      <c r="I56" s="1448" t="s">
        <v>842</v>
      </c>
      <c r="J56" s="1449" t="s">
        <v>3407</v>
      </c>
      <c r="K56" s="1420" t="s">
        <v>843</v>
      </c>
      <c r="L56" s="1423" t="str">
        <f ca="1">IF(L48&lt;J51,"——",L48-J53)</f>
        <v>——</v>
      </c>
      <c r="O56" s="1417" t="s">
        <v>403</v>
      </c>
      <c r="P56" s="1418" t="s">
        <v>817</v>
      </c>
      <c r="Q56" s="1419">
        <f ca="1">C40+J29</f>
        <v>10798</v>
      </c>
      <c r="R56" s="1419" t="s">
        <v>818</v>
      </c>
    </row>
    <row r="57" spans="1:18" s="1383" customFormat="1" ht="24.75" thickBot="1">
      <c r="A57" s="1450"/>
      <c r="B57" s="950" t="s">
        <v>767</v>
      </c>
      <c r="C57" s="238">
        <f ca="1">C29</f>
        <v>2569</v>
      </c>
      <c r="D57" s="1451"/>
      <c r="E57" s="1452"/>
      <c r="F57" s="1453"/>
      <c r="I57" s="1454" t="s">
        <v>844</v>
      </c>
      <c r="J57" s="1455">
        <f ca="1">IF(OR(M47="住宅",J51&lt;L48,J56="是"),"——",J51-L48)</f>
        <v>22.25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15</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1028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67</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f ca="1">IF(项目基本情况!B11="自然人","——",IF(D61="按租金收入计税",ROUND(C49*F61/(1+'数据-取费表'!C42),2),IF(D61="按房产原值计税",ROUND(C57*F61*0.7,2),INDIRECT("'数据-取费表'!Aj"&amp;$G$1))))</f>
        <v>0</v>
      </c>
      <c r="D61" s="1369" t="s">
        <v>3332</v>
      </c>
      <c r="E61" s="950" t="s">
        <v>744</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f ca="1">IF(项目基本情况!B11="自然人","——",ROUND(F62*F63/10000,2))</f>
        <v>0</v>
      </c>
      <c r="D62" s="965" t="s">
        <v>731</v>
      </c>
      <c r="E62" s="950" t="s">
        <v>732</v>
      </c>
      <c r="F62" s="325">
        <f t="shared" si="0"/>
        <v>0</v>
      </c>
      <c r="I62" s="1461" t="s">
        <v>858</v>
      </c>
      <c r="J62" s="1462" t="s">
        <v>859</v>
      </c>
      <c r="K62" s="1462" t="s">
        <v>860</v>
      </c>
      <c r="L62" s="1462" t="s">
        <v>861</v>
      </c>
      <c r="M62" s="1463" t="s">
        <v>862</v>
      </c>
      <c r="O62" s="1417" t="s">
        <v>409</v>
      </c>
      <c r="P62" s="1418" t="s">
        <v>863</v>
      </c>
      <c r="Q62" s="1419">
        <f ca="1">Q56+Q57</f>
        <v>10798</v>
      </c>
      <c r="R62" s="1419" t="s">
        <v>410</v>
      </c>
    </row>
    <row r="63" spans="1:18" s="1383" customFormat="1" ht="13.5" thickBot="1">
      <c r="A63" s="326"/>
      <c r="B63" s="956"/>
      <c r="C63" s="26"/>
      <c r="D63" s="966"/>
      <c r="E63" s="950" t="s">
        <v>788</v>
      </c>
      <c r="F63" s="303">
        <f t="shared" ca="1" si="0"/>
        <v>908.16</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12.85</v>
      </c>
      <c r="D64" s="964" t="s">
        <v>791</v>
      </c>
      <c r="E64" s="950" t="s">
        <v>744</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2.57</v>
      </c>
      <c r="D65" s="964" t="s">
        <v>743</v>
      </c>
      <c r="E65" s="950" t="s">
        <v>744</v>
      </c>
      <c r="F65" s="330">
        <f t="shared" ca="1" si="0"/>
        <v>1E-3</v>
      </c>
      <c r="I65" s="1461" t="s">
        <v>867</v>
      </c>
      <c r="J65" s="1462">
        <v>40</v>
      </c>
      <c r="K65" s="1462">
        <v>30</v>
      </c>
      <c r="L65" s="1462">
        <v>50</v>
      </c>
      <c r="M65" s="1464">
        <v>0.02</v>
      </c>
      <c r="O65" s="1417" t="s">
        <v>403</v>
      </c>
      <c r="P65" s="1418" t="s">
        <v>868</v>
      </c>
      <c r="Q65" s="1419">
        <f ca="1">C40+J29</f>
        <v>10798</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-15</v>
      </c>
      <c r="D67" s="963" t="s">
        <v>753</v>
      </c>
      <c r="E67" s="968"/>
      <c r="F67" s="969"/>
      <c r="O67" s="1427" t="s">
        <v>405</v>
      </c>
      <c r="P67" s="1418" t="s">
        <v>850</v>
      </c>
      <c r="Q67" s="1465">
        <f ca="1">L51</f>
        <v>6041</v>
      </c>
      <c r="R67" s="1419" t="s">
        <v>870</v>
      </c>
    </row>
    <row r="68" spans="1:18" s="1383" customFormat="1" ht="16.5" thickBot="1">
      <c r="A68" s="947" t="s">
        <v>395</v>
      </c>
      <c r="B68" s="948" t="s">
        <v>774</v>
      </c>
      <c r="C68" s="301">
        <f ca="1">ROUND(C67*(1-((1+F70)/(1+F68))^F69)/(F68-F70),0)</f>
        <v>-222</v>
      </c>
      <c r="D68" s="965" t="s">
        <v>758</v>
      </c>
      <c r="E68" s="950" t="s">
        <v>759</v>
      </c>
      <c r="F68" s="312">
        <f ca="1">F40</f>
        <v>0.06</v>
      </c>
      <c r="O68" s="1427" t="s">
        <v>406</v>
      </c>
      <c r="P68" s="1466" t="s">
        <v>871</v>
      </c>
      <c r="Q68" s="1419">
        <f ca="1">ROUND(Q69-Q70*Q71,0)</f>
        <v>346</v>
      </c>
      <c r="R68" s="1419" t="s">
        <v>414</v>
      </c>
    </row>
    <row r="69" spans="1:18" s="1383" customFormat="1" ht="13.5" thickBot="1">
      <c r="A69" s="951"/>
      <c r="B69" s="952"/>
      <c r="C69" s="306"/>
      <c r="D69" s="970" t="s">
        <v>762</v>
      </c>
      <c r="E69" s="950" t="s">
        <v>763</v>
      </c>
      <c r="F69" s="333">
        <f ca="1">F41</f>
        <v>37.75</v>
      </c>
      <c r="O69" s="1427" t="s">
        <v>411</v>
      </c>
      <c r="P69" s="1466" t="s">
        <v>872</v>
      </c>
      <c r="Q69" s="1419">
        <f ca="1">C39</f>
        <v>526</v>
      </c>
      <c r="R69" s="1419" t="s">
        <v>818</v>
      </c>
    </row>
    <row r="70" spans="1:18" s="1383" customFormat="1" ht="13.5" thickBot="1">
      <c r="A70" s="954"/>
      <c r="B70" s="955"/>
      <c r="C70" s="310"/>
      <c r="D70" s="966"/>
      <c r="E70" s="950" t="s">
        <v>766</v>
      </c>
      <c r="F70" s="1054"/>
      <c r="O70" s="1427" t="s">
        <v>412</v>
      </c>
      <c r="P70" s="1466" t="s">
        <v>873</v>
      </c>
      <c r="Q70" s="1419">
        <f ca="1">C13</f>
        <v>2569</v>
      </c>
      <c r="R70" s="1419" t="s">
        <v>818</v>
      </c>
    </row>
    <row r="71" spans="1:18" s="1383" customFormat="1" ht="13.5" thickBot="1">
      <c r="A71" s="971" t="s">
        <v>396</v>
      </c>
      <c r="B71" s="972" t="s">
        <v>776</v>
      </c>
      <c r="C71" s="336">
        <f ca="1">ROUND(C68*10000/F71,0)</f>
        <v>-555</v>
      </c>
      <c r="D71" s="973" t="s">
        <v>777</v>
      </c>
      <c r="E71" s="974" t="s">
        <v>778</v>
      </c>
      <c r="F71" s="339">
        <f ca="1">F43</f>
        <v>4000</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180</v>
      </c>
      <c r="D75" s="1383"/>
      <c r="E75" s="1383"/>
      <c r="F75" s="1383"/>
      <c r="K75" s="1401"/>
      <c r="L75" s="1383"/>
      <c r="O75" s="1417" t="s">
        <v>409</v>
      </c>
      <c r="P75" s="1418" t="s">
        <v>838</v>
      </c>
      <c r="Q75" s="1419">
        <f ca="1">Q65+Q66</f>
        <v>10798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0.65799999999999992</v>
      </c>
    </row>
    <row r="80" spans="1:18">
      <c r="B80" s="340" t="s">
        <v>800</v>
      </c>
      <c r="C80" s="274">
        <f ca="1">ROUND(C75/C39,3)</f>
        <v>0.34200000000000003</v>
      </c>
    </row>
    <row r="81" spans="2:3">
      <c r="B81" s="270" t="s">
        <v>801</v>
      </c>
      <c r="C81" s="238"/>
    </row>
    <row r="82" spans="2:3">
      <c r="B82" s="273" t="s">
        <v>802</v>
      </c>
      <c r="C82" s="275">
        <f ca="1">1-C83</f>
        <v>0.76200000000000001</v>
      </c>
    </row>
    <row r="83" spans="2:3">
      <c r="B83" s="273" t="s">
        <v>803</v>
      </c>
      <c r="C83" s="274">
        <f ca="1">ROUND(C13/C40,3)</f>
        <v>0.23799999999999999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3452</v>
      </c>
      <c r="D1" s="1361" t="s">
        <v>43</v>
      </c>
      <c r="E1" s="1362" t="s">
        <v>678</v>
      </c>
      <c r="F1" s="1062">
        <f ca="1">J53</f>
        <v>47.75</v>
      </c>
      <c r="G1" s="1377">
        <f>MATCH(C1,'数据-取费表'!A6:A16,0)+5</f>
        <v>8</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825</v>
      </c>
      <c r="C2" s="1386" t="s">
        <v>805</v>
      </c>
      <c r="D2" s="1386"/>
      <c r="E2" s="1387"/>
      <c r="F2" s="1388"/>
      <c r="G2" s="2698"/>
      <c r="H2" s="2687"/>
      <c r="I2" s="2687"/>
      <c r="J2" s="2687"/>
      <c r="K2" s="2688"/>
      <c r="L2" s="2687"/>
      <c r="M2" s="2687"/>
    </row>
    <row r="3" spans="1:37" ht="18" customHeight="1" thickBot="1">
      <c r="A3" s="1389" t="s">
        <v>806</v>
      </c>
      <c r="B3" s="1390">
        <f ca="1">IF(ISERROR(B2*10000/F43),0,ROUND(B2*10000/F43,0))</f>
        <v>999</v>
      </c>
      <c r="C3" s="1386" t="s">
        <v>807</v>
      </c>
      <c r="D3" s="1386"/>
      <c r="E3" s="1387"/>
      <c r="F3" s="1388"/>
      <c r="G3" s="2698"/>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68</v>
      </c>
      <c r="D5" s="1363" t="s">
        <v>693</v>
      </c>
      <c r="E5" s="1071"/>
      <c r="F5" s="1072"/>
      <c r="G5" s="1383"/>
      <c r="H5" s="299">
        <v>1</v>
      </c>
      <c r="I5" s="300" t="s">
        <v>692</v>
      </c>
      <c r="J5" s="1070">
        <f ca="1">J6+J10+J12</f>
        <v>0</v>
      </c>
      <c r="K5" s="1363" t="s">
        <v>693</v>
      </c>
      <c r="L5" s="1071"/>
      <c r="M5" s="1072"/>
    </row>
    <row r="6" spans="1:37" ht="18" customHeight="1">
      <c r="A6" s="1069" t="s">
        <v>398</v>
      </c>
      <c r="B6" s="3721" t="s">
        <v>694</v>
      </c>
      <c r="C6" s="1074">
        <f ca="1">ROUND(F6*F8*F7*(1-F9)/10000,0)</f>
        <v>68</v>
      </c>
      <c r="D6" s="155" t="s">
        <v>2109</v>
      </c>
      <c r="E6" s="302" t="s">
        <v>696</v>
      </c>
      <c r="F6" s="303">
        <f ca="1">INDIRECT("'数据-取费表'!u"&amp;$G$1)</f>
        <v>350</v>
      </c>
      <c r="G6" s="1383"/>
      <c r="H6" s="1069" t="s">
        <v>398</v>
      </c>
      <c r="I6" s="3721" t="s">
        <v>694</v>
      </c>
      <c r="J6" s="301">
        <f ca="1">ROUND(M6*M8*M7*(1-M9)/10000,0)</f>
        <v>0</v>
      </c>
      <c r="K6" s="155" t="s">
        <v>2108</v>
      </c>
      <c r="L6" s="302" t="s">
        <v>696</v>
      </c>
      <c r="M6" s="303">
        <f ca="1">INDIRECT("'数据-取费表'!z"&amp;$G$1)</f>
        <v>0</v>
      </c>
    </row>
    <row r="7" spans="1:37" ht="18" customHeight="1">
      <c r="A7" s="1073"/>
      <c r="B7" s="3722"/>
      <c r="C7" s="1075"/>
      <c r="D7" s="307"/>
      <c r="E7" s="3458" t="s">
        <v>697</v>
      </c>
      <c r="F7" s="303">
        <f ca="1">IF(INDIRECT("'数据-取费表'!ah"&amp;$G$1)="",INDIRECT("'数据-取费表'!k"&amp;$G$1),INDIRECT("'数据-取费表'!ah"&amp;$G$1))</f>
        <v>180</v>
      </c>
      <c r="G7" s="1383"/>
      <c r="H7" s="304"/>
      <c r="I7" s="3722"/>
      <c r="J7" s="306"/>
      <c r="K7" s="307"/>
      <c r="L7" s="302" t="s">
        <v>697</v>
      </c>
      <c r="M7" s="303">
        <f ca="1">F7</f>
        <v>180</v>
      </c>
    </row>
    <row r="8" spans="1:37" ht="18" customHeight="1">
      <c r="A8" s="304"/>
      <c r="B8" s="3722"/>
      <c r="C8" s="306"/>
      <c r="D8" s="307"/>
      <c r="E8" s="302" t="s">
        <v>698</v>
      </c>
      <c r="F8" s="303">
        <f ca="1">INDIRECT("'数据-取费表'!ai"&amp;$G$1)</f>
        <v>12</v>
      </c>
      <c r="G8" s="1383"/>
      <c r="H8" s="304"/>
      <c r="I8" s="3722"/>
      <c r="J8" s="306"/>
      <c r="K8" s="307"/>
      <c r="L8" s="302" t="s">
        <v>698</v>
      </c>
      <c r="M8" s="303">
        <f ca="1">INDIRECT("'数据-取费表'!ai"&amp;$G$1)</f>
        <v>12</v>
      </c>
    </row>
    <row r="9" spans="1:37" ht="18" customHeight="1">
      <c r="A9" s="304"/>
      <c r="B9" s="3723"/>
      <c r="C9" s="306"/>
      <c r="D9" s="307"/>
      <c r="E9" s="302" t="s">
        <v>699</v>
      </c>
      <c r="F9" s="312">
        <f ca="1">INDIRECT("'数据-取费表'!w"&amp;$G$1)</f>
        <v>0.1</v>
      </c>
      <c r="G9" s="1383"/>
      <c r="H9" s="304"/>
      <c r="I9" s="372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3682</v>
      </c>
      <c r="G10" s="1383"/>
      <c r="H10" s="1069" t="s">
        <v>402</v>
      </c>
      <c r="I10" s="1364" t="s">
        <v>700</v>
      </c>
      <c r="J10" s="301">
        <f ca="1">ROUND(IF(M10="押一",J6/12*M11,IF(M10="押二",J6/12*2*M11,IF(M10="押三",J6/12*3*M11,J11*M11))),0)</f>
        <v>0</v>
      </c>
      <c r="K10" s="1365" t="s">
        <v>2116</v>
      </c>
      <c r="L10" s="313" t="s">
        <v>701</v>
      </c>
      <c r="M10" s="1116" t="s">
        <v>3404</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4643</v>
      </c>
      <c r="D13" s="3450" t="s">
        <v>705</v>
      </c>
      <c r="E13" s="3450"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3546</v>
      </c>
      <c r="D14" s="3454" t="s">
        <v>708</v>
      </c>
      <c r="E14" s="3452"/>
      <c r="F14" s="319"/>
      <c r="G14" s="1383"/>
      <c r="H14" s="982" t="s">
        <v>398</v>
      </c>
      <c r="I14" s="302" t="s">
        <v>709</v>
      </c>
      <c r="J14" s="21">
        <f ca="1">C29</f>
        <v>4643</v>
      </c>
      <c r="K14" s="3457"/>
      <c r="L14" s="807"/>
      <c r="M14" s="808"/>
    </row>
    <row r="15" spans="1:37" s="1396" customFormat="1" ht="18" customHeight="1" thickBot="1">
      <c r="A15" s="982" t="s">
        <v>399</v>
      </c>
      <c r="B15" s="302" t="s">
        <v>710</v>
      </c>
      <c r="C15" s="21">
        <f ca="1">ROUND(C14*F15,0)</f>
        <v>106</v>
      </c>
      <c r="D15" s="3451" t="s">
        <v>711</v>
      </c>
      <c r="E15" s="3451"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23</v>
      </c>
      <c r="K16" s="1087" t="s">
        <v>715</v>
      </c>
      <c r="L16" s="3455"/>
      <c r="M16" s="1072"/>
    </row>
    <row r="17" spans="1:37" s="1396" customFormat="1" ht="18" customHeight="1">
      <c r="A17" s="982" t="s">
        <v>681</v>
      </c>
      <c r="B17" s="302" t="s">
        <v>716</v>
      </c>
      <c r="C17" s="21">
        <f ca="1">ROUND(F17*(F43+INDIRECT("'数据-取费表'!S"&amp;$G$1))/10000,0)</f>
        <v>177</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3454" t="s">
        <v>720</v>
      </c>
      <c r="L17" s="345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53</v>
      </c>
      <c r="D18" s="302" t="s">
        <v>711</v>
      </c>
      <c r="E18" s="302" t="s">
        <v>712</v>
      </c>
      <c r="F18" s="322">
        <f>'数据-取费表'!B36</f>
        <v>1.4999999999999999E-2</v>
      </c>
      <c r="G18" s="1395"/>
      <c r="H18" s="982" t="s">
        <v>397</v>
      </c>
      <c r="I18" s="302" t="s">
        <v>723</v>
      </c>
      <c r="J18" s="21">
        <f ca="1">ROUND(J6*M18/(1+'数据-取费表'!C42),2)</f>
        <v>0</v>
      </c>
      <c r="K18" s="345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3882</v>
      </c>
      <c r="D19" s="131" t="s">
        <v>726</v>
      </c>
      <c r="E19" s="3460"/>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78</v>
      </c>
      <c r="D20" s="2425"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1875.26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3"/>
      <c r="H22" s="982" t="s">
        <v>402</v>
      </c>
      <c r="I22" s="302" t="s">
        <v>738</v>
      </c>
      <c r="J22" s="21">
        <f ca="1">ROUND(J14*M22,2)</f>
        <v>23.22</v>
      </c>
      <c r="K22" s="345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137</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0"/>
      <c r="F25" s="23"/>
      <c r="G25" s="1383"/>
      <c r="H25" s="1079" t="s">
        <v>394</v>
      </c>
      <c r="I25" s="1094" t="s">
        <v>752</v>
      </c>
      <c r="J25" s="310">
        <f ca="1">J5-J16</f>
        <v>-23</v>
      </c>
      <c r="K25" s="1095" t="s">
        <v>753</v>
      </c>
      <c r="L25" s="1096"/>
      <c r="M25" s="1097"/>
    </row>
    <row r="26" spans="1:37">
      <c r="A26" s="982" t="s">
        <v>397</v>
      </c>
      <c r="B26" s="302" t="s">
        <v>754</v>
      </c>
      <c r="C26" s="21">
        <f ca="1">ROUND((C19+C20)*F26,0)</f>
        <v>198</v>
      </c>
      <c r="D26" s="2425"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5" t="s">
        <v>761</v>
      </c>
      <c r="E27" s="3451"/>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5"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4643</v>
      </c>
      <c r="D29" s="1092"/>
      <c r="E29" s="1090"/>
      <c r="F29" s="1093"/>
      <c r="G29" s="1395"/>
      <c r="H29" s="334" t="s">
        <v>396</v>
      </c>
      <c r="I29" s="335" t="s">
        <v>768</v>
      </c>
      <c r="J29" s="336">
        <f ca="1">ROUND(J26/(1+F40)^F41,0)</f>
        <v>0</v>
      </c>
      <c r="K29" s="337" t="s">
        <v>769</v>
      </c>
      <c r="L29" s="338"/>
      <c r="M29" s="339">
        <f ca="1">INDIRECT("'数据-取费表'!k"&amp;$G$1)</f>
        <v>8259.5399999999991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40</v>
      </c>
      <c r="D30" s="1087" t="s">
        <v>715</v>
      </c>
      <c r="E30" s="3455"/>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ROUND(IF(AND(项目基本情况!B11="自然人",项目基本情况!B10="北京市"),C6*F31/(1+'数据-取费表'!C42),C32+C33+C34),2)</f>
        <v>11.4</v>
      </c>
      <c r="D31" s="3454" t="s">
        <v>720</v>
      </c>
      <c r="E31" s="345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IF(项目基本情况!B11="自然人","——",ROUND(C6*F32/(1+'数据-取费表'!C42),2))</f>
        <v>3.63</v>
      </c>
      <c r="D32" s="3453" t="s">
        <v>724</v>
      </c>
      <c r="E32" s="302" t="s">
        <v>712</v>
      </c>
      <c r="F32" s="331">
        <f>'数据-取费表'!B41</f>
        <v>5.6000000000000001E-2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7.77</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0</v>
      </c>
      <c r="G34" s="1383"/>
      <c r="H34" s="2689"/>
      <c r="I34" s="1397"/>
      <c r="J34" s="1398"/>
      <c r="K34" s="2694"/>
      <c r="L34" s="2695"/>
      <c r="M34" s="2695"/>
    </row>
    <row r="35" spans="1:18" ht="18" customHeight="1">
      <c r="A35" s="1103"/>
      <c r="B35" s="1101"/>
      <c r="C35" s="26"/>
      <c r="D35" s="327"/>
      <c r="E35" s="302" t="s">
        <v>736</v>
      </c>
      <c r="F35" s="303">
        <f ca="1">INDIRECT("'数据-取费表'!r"&amp;$G$1)</f>
        <v>1875.26</v>
      </c>
      <c r="G35" s="1383"/>
      <c r="H35" s="2689"/>
      <c r="I35" s="1397"/>
      <c r="J35" s="1398"/>
      <c r="K35" s="2693"/>
      <c r="L35" s="2692"/>
      <c r="M35" s="2692"/>
    </row>
    <row r="36" spans="1:18" ht="18" customHeight="1">
      <c r="A36" s="1102" t="s">
        <v>402</v>
      </c>
      <c r="B36" s="302" t="s">
        <v>738</v>
      </c>
      <c r="C36" s="21">
        <f ca="1">ROUND(C29*F36,2)</f>
        <v>23.22</v>
      </c>
      <c r="D36" s="3453" t="s">
        <v>771</v>
      </c>
      <c r="E36" s="302" t="s">
        <v>712</v>
      </c>
      <c r="F36" s="328">
        <f ca="1">INDIRECT("'数据-取费表'!Ak"&amp;$G$1)</f>
        <v>5.0000000000000001E-3</v>
      </c>
      <c r="G36" s="1383"/>
      <c r="H36" s="2692"/>
      <c r="I36" s="1397"/>
      <c r="J36" s="1398"/>
      <c r="K36" s="2536"/>
      <c r="L36" s="2692"/>
      <c r="M36" s="2692"/>
    </row>
    <row r="37" spans="1:18" ht="18" customHeight="1">
      <c r="A37" s="982" t="s">
        <v>437</v>
      </c>
      <c r="B37" s="302" t="s">
        <v>742</v>
      </c>
      <c r="C37" s="21">
        <f ca="1">ROUND(C13*F37,2)</f>
        <v>4.6399999999999997</v>
      </c>
      <c r="D37" s="3453" t="s">
        <v>743</v>
      </c>
      <c r="E37" s="302" t="s">
        <v>744</v>
      </c>
      <c r="F37" s="330">
        <f ca="1">INDIRECT("'数据-取费表'!Al"&amp;$G$1)</f>
        <v>1E-3</v>
      </c>
      <c r="G37" s="1383"/>
      <c r="H37" s="2692"/>
      <c r="I37" s="1397"/>
      <c r="J37" s="1398"/>
      <c r="K37" s="2536"/>
      <c r="L37" s="2692"/>
      <c r="M37" s="2692"/>
    </row>
    <row r="38" spans="1:18" ht="18" customHeight="1" thickBot="1">
      <c r="A38" s="1089" t="s">
        <v>684</v>
      </c>
      <c r="B38" s="1090" t="s">
        <v>728</v>
      </c>
      <c r="C38" s="1091">
        <f ca="1">ROUND(C5*F38,2)</f>
        <v>0.34</v>
      </c>
      <c r="D38" s="1092" t="s">
        <v>748</v>
      </c>
      <c r="E38" s="1090" t="s">
        <v>744</v>
      </c>
      <c r="F38" s="1086">
        <f ca="1">INDIRECT("'数据-取费表'!Am"&amp;$G$1)</f>
        <v>5.0000000000000001E-3</v>
      </c>
      <c r="G38" s="1383"/>
      <c r="H38" s="2692"/>
      <c r="I38" s="1397"/>
      <c r="J38" s="1398"/>
      <c r="K38" s="2696"/>
      <c r="L38" s="2692"/>
      <c r="M38" s="2692"/>
    </row>
    <row r="39" spans="1:18" ht="24.6" customHeight="1" thickTop="1">
      <c r="A39" s="1079" t="s">
        <v>394</v>
      </c>
      <c r="B39" s="1094" t="s">
        <v>772</v>
      </c>
      <c r="C39" s="310">
        <f ca="1">C5-C30</f>
        <v>28</v>
      </c>
      <c r="D39" s="1095" t="s">
        <v>753</v>
      </c>
      <c r="E39" s="1096"/>
      <c r="F39" s="1097"/>
      <c r="G39" s="1383"/>
      <c r="H39" s="2692"/>
      <c r="I39" s="1397"/>
      <c r="J39" s="1398"/>
      <c r="K39" s="2696"/>
      <c r="L39" s="2692"/>
      <c r="M39" s="2692"/>
    </row>
    <row r="40" spans="1:18" ht="18" customHeight="1">
      <c r="A40" s="299" t="s">
        <v>395</v>
      </c>
      <c r="B40" s="300" t="s">
        <v>774</v>
      </c>
      <c r="C40" s="301">
        <f ca="1">ROUND(C39*(1-((1+F42)/(1+F40))^F41)/(F40-F42),0)</f>
        <v>766</v>
      </c>
      <c r="D40" s="324" t="s">
        <v>758</v>
      </c>
      <c r="E40" s="302" t="s">
        <v>759</v>
      </c>
      <c r="F40" s="312">
        <f ca="1">INDIRECT("'数据-取费表'!I"&amp;$G$1)</f>
        <v>0.05</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47.75</v>
      </c>
      <c r="G41" s="1383"/>
      <c r="H41" s="1190"/>
      <c r="I41" s="1397"/>
      <c r="J41" s="1398"/>
      <c r="K41" s="2536"/>
      <c r="L41" s="1190"/>
      <c r="M41" s="1190"/>
    </row>
    <row r="42" spans="1:18" ht="18" customHeight="1">
      <c r="A42" s="308"/>
      <c r="B42" s="309"/>
      <c r="C42" s="310"/>
      <c r="D42" s="327"/>
      <c r="E42" s="302" t="s">
        <v>766</v>
      </c>
      <c r="F42" s="312">
        <f ca="1">INDIRECT("'数据-取费表'!v"&amp;$G$1)</f>
        <v>2.5000000000000001E-2</v>
      </c>
      <c r="G42" s="1383"/>
      <c r="H42" s="1190"/>
      <c r="I42" s="1397"/>
      <c r="J42" s="1398"/>
      <c r="K42" s="2536"/>
      <c r="L42" s="1190"/>
      <c r="M42" s="1190"/>
    </row>
    <row r="43" spans="1:18" ht="18" customHeight="1" thickBot="1">
      <c r="A43" s="334" t="s">
        <v>396</v>
      </c>
      <c r="B43" s="335" t="s">
        <v>776</v>
      </c>
      <c r="C43" s="336">
        <f ca="1">ROUND(C40*10000/F43,0)</f>
        <v>927</v>
      </c>
      <c r="D43" s="337" t="s">
        <v>777</v>
      </c>
      <c r="E43" s="338" t="s">
        <v>778</v>
      </c>
      <c r="F43" s="339">
        <f ca="1">INDIRECT("'数据-取费表'!k"&amp;$G$1)</f>
        <v>8259.5399999999991</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7" t="s">
        <v>808</v>
      </c>
      <c r="P45" s="1460"/>
      <c r="Q45" s="1460"/>
      <c r="R45" s="1460"/>
    </row>
    <row r="46" spans="1:18" s="1383" customFormat="1" ht="13.5" thickBot="1">
      <c r="A46" s="1403" t="s">
        <v>809</v>
      </c>
      <c r="C46" s="1404">
        <f ca="1">C68-C40</f>
        <v>-1271</v>
      </c>
      <c r="D46" s="1405" t="str">
        <f>C2</f>
        <v>万元</v>
      </c>
      <c r="E46" s="1399"/>
      <c r="F46" s="1399"/>
      <c r="I46" s="1406" t="s">
        <v>810</v>
      </c>
      <c r="J46" s="1407"/>
      <c r="K46" s="1408"/>
      <c r="L46" s="1409">
        <f ca="1">IF(M47="住宅",0,IF(L48&gt;J51,L60,J60))</f>
        <v>59</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3405</v>
      </c>
      <c r="K47" s="1415" t="s">
        <v>816</v>
      </c>
      <c r="L47" s="1416">
        <f ca="1">INDIRECT("'数据-取费表'!d"&amp;$G$1)</f>
        <v>50</v>
      </c>
      <c r="M47" s="1379" t="str">
        <f>IF(ISNUMBER(FIND("住宅",C1)),"住宅","非住宅")</f>
        <v>非住宅</v>
      </c>
      <c r="O47" s="1417" t="s">
        <v>403</v>
      </c>
      <c r="P47" s="1418" t="s">
        <v>817</v>
      </c>
      <c r="Q47" s="1419">
        <f ca="1">C40+J29</f>
        <v>766</v>
      </c>
      <c r="R47" s="1419" t="s">
        <v>818</v>
      </c>
    </row>
    <row r="48" spans="1:18" s="1383" customFormat="1" ht="28.5" thickBot="1">
      <c r="A48" s="1110" t="s">
        <v>438</v>
      </c>
      <c r="B48" s="300" t="s">
        <v>692</v>
      </c>
      <c r="C48" s="3459">
        <f ca="1">C49+C53+C55</f>
        <v>0</v>
      </c>
      <c r="D48" s="1112"/>
      <c r="E48" s="1113"/>
      <c r="F48" s="962"/>
      <c r="G48" s="722"/>
      <c r="H48" s="723"/>
      <c r="I48" s="1420" t="s">
        <v>819</v>
      </c>
      <c r="J48" s="1421" t="s">
        <v>3406</v>
      </c>
      <c r="K48" s="1422" t="s">
        <v>820</v>
      </c>
      <c r="L48" s="1423">
        <f ca="1">INDIRECT("'数据-取费表'!f"&amp;$G$1)</f>
        <v>47.75</v>
      </c>
      <c r="O48" s="1417" t="s">
        <v>404</v>
      </c>
      <c r="P48" s="1418" t="s">
        <v>821</v>
      </c>
      <c r="Q48" s="1419">
        <f ca="1">J60</f>
        <v>59</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'数据-取费表'!N18</f>
        <v>2023</v>
      </c>
      <c r="K49" s="1422" t="s">
        <v>824</v>
      </c>
      <c r="L49" s="1426"/>
      <c r="O49" s="1427" t="s">
        <v>405</v>
      </c>
      <c r="P49" s="1418" t="s">
        <v>825</v>
      </c>
      <c r="Q49" s="1419">
        <f ca="1">C29</f>
        <v>4643</v>
      </c>
      <c r="R49" s="1419" t="s">
        <v>818</v>
      </c>
    </row>
    <row r="50" spans="1:18" s="1383" customFormat="1" ht="13.5" thickBot="1">
      <c r="A50" s="976"/>
      <c r="B50" s="979"/>
      <c r="C50" s="1118"/>
      <c r="D50" s="953"/>
      <c r="E50" s="1056" t="s">
        <v>697</v>
      </c>
      <c r="F50" s="1057">
        <f ca="1">F7</f>
        <v>180</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12</v>
      </c>
      <c r="I51" s="1431" t="s">
        <v>829</v>
      </c>
      <c r="J51" s="1432">
        <f>IF(J49="",J50,J49+J50-YEAR('数据-取费表'!B2))</f>
        <v>60</v>
      </c>
      <c r="K51" s="1433" t="s">
        <v>830</v>
      </c>
      <c r="L51" s="1434">
        <f ca="1">ROUND(-PV(INDIRECT("'数据-取费表'!h"&amp;$G$1),J51,(C39-C13*C76),0),0)</f>
        <v>-6130</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47.75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47.75</v>
      </c>
      <c r="K53" s="3719" t="s">
        <v>837</v>
      </c>
      <c r="L53" s="3720"/>
      <c r="O53" s="1417" t="s">
        <v>409</v>
      </c>
      <c r="P53" s="1418" t="s">
        <v>838</v>
      </c>
      <c r="Q53" s="1419">
        <f ca="1">Q47+Q48</f>
        <v>825</v>
      </c>
      <c r="R53" s="1419" t="s">
        <v>410</v>
      </c>
    </row>
    <row r="54" spans="1:18" s="1383" customFormat="1" ht="13.5" thickBot="1">
      <c r="A54" s="1153"/>
      <c r="B54" s="1366" t="s">
        <v>679</v>
      </c>
      <c r="C54" s="959"/>
      <c r="D54" s="1365"/>
      <c r="E54" s="3456"/>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6"/>
      <c r="F55" s="1439"/>
      <c r="I55" s="1442" t="s">
        <v>840</v>
      </c>
      <c r="J55" s="1443">
        <f ca="1">ROUND(IF(J47="钢混",J57/J50,1-(1-2%)*(J50-J57)/J50),3)</f>
        <v>0.20399999999999999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4643</v>
      </c>
      <c r="D56" s="1446"/>
      <c r="E56" s="1447"/>
      <c r="F56" s="1439"/>
      <c r="I56" s="1448" t="s">
        <v>842</v>
      </c>
      <c r="J56" s="1449" t="s">
        <v>3407</v>
      </c>
      <c r="K56" s="1420" t="s">
        <v>843</v>
      </c>
      <c r="L56" s="1423" t="str">
        <f ca="1">IF(L48&lt;J51,"——",L48-J53)</f>
        <v>——</v>
      </c>
      <c r="O56" s="1417" t="s">
        <v>403</v>
      </c>
      <c r="P56" s="1418" t="s">
        <v>817</v>
      </c>
      <c r="Q56" s="1419">
        <f ca="1">C40+J29</f>
        <v>766</v>
      </c>
      <c r="R56" s="1419" t="s">
        <v>818</v>
      </c>
    </row>
    <row r="57" spans="1:18" s="1383" customFormat="1" ht="24.75" thickBot="1">
      <c r="A57" s="1450"/>
      <c r="B57" s="950" t="s">
        <v>767</v>
      </c>
      <c r="C57" s="238">
        <f ca="1">C29</f>
        <v>4643</v>
      </c>
      <c r="D57" s="1451"/>
      <c r="E57" s="1452"/>
      <c r="F57" s="1453"/>
      <c r="I57" s="1454" t="s">
        <v>844</v>
      </c>
      <c r="J57" s="1455">
        <f ca="1">IF(OR(M47="住宅",J51&lt;L48,J56="是"),"——",J51-L48)</f>
        <v>12.25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28</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1857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59</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f ca="1">IF(项目基本情况!B11="自然人","——",IF(D61="按租金收入计税",ROUND(C49*F61/(1+'数据-取费表'!C42),2),IF(D61="按房产原值计税",ROUND(C57*F61*0.7,2),INDIRECT("'数据-取费表'!Aj"&amp;$G$1))))</f>
        <v>0</v>
      </c>
      <c r="D61" s="1369" t="s">
        <v>3332</v>
      </c>
      <c r="E61" s="950" t="s">
        <v>744</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f ca="1">IF(项目基本情况!B11="自然人","——",ROUND(F62*F63/10000,2))</f>
        <v>0</v>
      </c>
      <c r="D62" s="965" t="s">
        <v>731</v>
      </c>
      <c r="E62" s="950" t="s">
        <v>732</v>
      </c>
      <c r="F62" s="325">
        <f t="shared" si="0"/>
        <v>0</v>
      </c>
      <c r="I62" s="1461" t="s">
        <v>858</v>
      </c>
      <c r="J62" s="1462" t="s">
        <v>859</v>
      </c>
      <c r="K62" s="1462" t="s">
        <v>860</v>
      </c>
      <c r="L62" s="1462" t="s">
        <v>861</v>
      </c>
      <c r="M62" s="1463" t="s">
        <v>862</v>
      </c>
      <c r="O62" s="1417" t="s">
        <v>409</v>
      </c>
      <c r="P62" s="1418" t="s">
        <v>863</v>
      </c>
      <c r="Q62" s="1419">
        <f ca="1">Q56+Q57</f>
        <v>766</v>
      </c>
      <c r="R62" s="1419" t="s">
        <v>410</v>
      </c>
    </row>
    <row r="63" spans="1:18" s="1383" customFormat="1" ht="13.5" thickBot="1">
      <c r="A63" s="326"/>
      <c r="B63" s="956"/>
      <c r="C63" s="26"/>
      <c r="D63" s="966"/>
      <c r="E63" s="950" t="s">
        <v>788</v>
      </c>
      <c r="F63" s="303">
        <f t="shared" ca="1" si="0"/>
        <v>1875.26</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23.22</v>
      </c>
      <c r="D64" s="964" t="s">
        <v>791</v>
      </c>
      <c r="E64" s="950" t="s">
        <v>744</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4.6399999999999997</v>
      </c>
      <c r="D65" s="964" t="s">
        <v>743</v>
      </c>
      <c r="E65" s="950" t="s">
        <v>744</v>
      </c>
      <c r="F65" s="330">
        <f t="shared" ca="1" si="0"/>
        <v>1E-3</v>
      </c>
      <c r="I65" s="1461" t="s">
        <v>867</v>
      </c>
      <c r="J65" s="1462">
        <v>40</v>
      </c>
      <c r="K65" s="1462">
        <v>30</v>
      </c>
      <c r="L65" s="1462">
        <v>50</v>
      </c>
      <c r="M65" s="1464">
        <v>0.02</v>
      </c>
      <c r="O65" s="1417" t="s">
        <v>403</v>
      </c>
      <c r="P65" s="1418" t="s">
        <v>868</v>
      </c>
      <c r="Q65" s="1419">
        <f ca="1">C40+J29</f>
        <v>766</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-28</v>
      </c>
      <c r="D67" s="963" t="s">
        <v>753</v>
      </c>
      <c r="E67" s="968"/>
      <c r="F67" s="969"/>
      <c r="O67" s="1427" t="s">
        <v>405</v>
      </c>
      <c r="P67" s="1418" t="s">
        <v>850</v>
      </c>
      <c r="Q67" s="1465">
        <f ca="1">L51</f>
        <v>-6130</v>
      </c>
      <c r="R67" s="1419" t="s">
        <v>870</v>
      </c>
    </row>
    <row r="68" spans="1:18" s="1383" customFormat="1" ht="16.5" thickBot="1">
      <c r="A68" s="947" t="s">
        <v>395</v>
      </c>
      <c r="B68" s="948" t="s">
        <v>774</v>
      </c>
      <c r="C68" s="301">
        <f ca="1">ROUND(C67*(1-((1+F70)/(1+F68))^F69)/(F68-F70),0)</f>
        <v>-505</v>
      </c>
      <c r="D68" s="965" t="s">
        <v>758</v>
      </c>
      <c r="E68" s="950" t="s">
        <v>759</v>
      </c>
      <c r="F68" s="312">
        <f ca="1">F40</f>
        <v>0.05</v>
      </c>
      <c r="O68" s="1427" t="s">
        <v>406</v>
      </c>
      <c r="P68" s="1466" t="s">
        <v>871</v>
      </c>
      <c r="Q68" s="1419">
        <f ca="1">ROUND(Q69-Q70*Q71,0)</f>
        <v>-297</v>
      </c>
      <c r="R68" s="1419" t="s">
        <v>414</v>
      </c>
    </row>
    <row r="69" spans="1:18" s="1383" customFormat="1" ht="13.5" thickBot="1">
      <c r="A69" s="951"/>
      <c r="B69" s="952"/>
      <c r="C69" s="306"/>
      <c r="D69" s="970" t="s">
        <v>762</v>
      </c>
      <c r="E69" s="950" t="s">
        <v>763</v>
      </c>
      <c r="F69" s="333">
        <f ca="1">F41</f>
        <v>47.75</v>
      </c>
      <c r="O69" s="1427" t="s">
        <v>411</v>
      </c>
      <c r="P69" s="1466" t="s">
        <v>872</v>
      </c>
      <c r="Q69" s="1419">
        <f ca="1">C39</f>
        <v>28</v>
      </c>
      <c r="R69" s="1419" t="s">
        <v>818</v>
      </c>
    </row>
    <row r="70" spans="1:18" s="1383" customFormat="1" ht="13.5" thickBot="1">
      <c r="A70" s="954"/>
      <c r="B70" s="955"/>
      <c r="C70" s="310"/>
      <c r="D70" s="966"/>
      <c r="E70" s="950" t="s">
        <v>766</v>
      </c>
      <c r="F70" s="1054"/>
      <c r="O70" s="1427" t="s">
        <v>412</v>
      </c>
      <c r="P70" s="1466" t="s">
        <v>873</v>
      </c>
      <c r="Q70" s="1419">
        <f ca="1">C13</f>
        <v>4643</v>
      </c>
      <c r="R70" s="1419" t="s">
        <v>818</v>
      </c>
    </row>
    <row r="71" spans="1:18" s="1383" customFormat="1" ht="13.5" thickBot="1">
      <c r="A71" s="971" t="s">
        <v>396</v>
      </c>
      <c r="B71" s="972" t="s">
        <v>776</v>
      </c>
      <c r="C71" s="336">
        <f ca="1">ROUND(C68*10000/F71,0)</f>
        <v>-611</v>
      </c>
      <c r="D71" s="973" t="s">
        <v>777</v>
      </c>
      <c r="E71" s="974" t="s">
        <v>778</v>
      </c>
      <c r="F71" s="339">
        <f ca="1">F43</f>
        <v>8259.5399999999991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325</v>
      </c>
      <c r="D75" s="1383"/>
      <c r="E75" s="1383"/>
      <c r="F75" s="1383"/>
      <c r="K75" s="1401"/>
      <c r="L75" s="1383"/>
      <c r="O75" s="1417" t="s">
        <v>409</v>
      </c>
      <c r="P75" s="1418" t="s">
        <v>838</v>
      </c>
      <c r="Q75" s="1419">
        <f ca="1">Q65+Q66</f>
        <v>766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-10.606999999999999</v>
      </c>
    </row>
    <row r="80" spans="1:18">
      <c r="B80" s="340" t="s">
        <v>800</v>
      </c>
      <c r="C80" s="274">
        <f ca="1">ROUND(C75/C39,3)</f>
        <v>11.606999999999999</v>
      </c>
    </row>
    <row r="81" spans="2:3">
      <c r="B81" s="270" t="s">
        <v>801</v>
      </c>
      <c r="C81" s="238"/>
    </row>
    <row r="82" spans="2:3">
      <c r="B82" s="273" t="s">
        <v>802</v>
      </c>
      <c r="C82" s="275">
        <f ca="1">1-C83</f>
        <v>-5.0609999999999999</v>
      </c>
    </row>
    <row r="83" spans="2:3">
      <c r="B83" s="273" t="s">
        <v>803</v>
      </c>
      <c r="C83" s="274">
        <f ca="1">ROUND(C13/C40,3)</f>
        <v>6.0609999999999999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1769</v>
      </c>
      <c r="B4" s="356"/>
      <c r="C4" s="3678" t="s">
        <v>1770</v>
      </c>
      <c r="D4" s="3690"/>
      <c r="E4" s="3691" t="s">
        <v>1771</v>
      </c>
      <c r="F4" s="3692"/>
      <c r="G4" s="3678" t="s">
        <v>1772</v>
      </c>
      <c r="H4" s="3690"/>
      <c r="I4" s="3678" t="s">
        <v>1773</v>
      </c>
      <c r="J4" s="3690"/>
      <c r="K4" s="559" t="s">
        <v>1774</v>
      </c>
      <c r="L4" s="2707"/>
      <c r="M4" s="2708"/>
      <c r="N4" s="2708"/>
      <c r="O4" s="2708"/>
      <c r="P4" s="3693" t="s">
        <v>1775</v>
      </c>
      <c r="Q4" s="3694"/>
      <c r="R4" s="3699" t="s">
        <v>1771</v>
      </c>
      <c r="S4" s="3700"/>
      <c r="T4" s="3699" t="s">
        <v>1772</v>
      </c>
      <c r="U4" s="3700"/>
      <c r="V4" s="3686" t="s">
        <v>1773</v>
      </c>
      <c r="W4" s="3686"/>
      <c r="X4" s="1354"/>
      <c r="Y4" s="3699" t="s">
        <v>1775</v>
      </c>
      <c r="Z4" s="3700"/>
      <c r="AA4" s="3687" t="s">
        <v>1771</v>
      </c>
      <c r="AB4" s="3688" t="s">
        <v>1772</v>
      </c>
      <c r="AC4" s="3687" t="s">
        <v>1773</v>
      </c>
    </row>
    <row r="5" spans="1:29" ht="15">
      <c r="A5" s="358"/>
      <c r="B5" s="359"/>
      <c r="C5" s="3707" t="s">
        <v>1673</v>
      </c>
      <c r="D5" s="3708"/>
      <c r="E5" s="3715" t="s">
        <v>1674</v>
      </c>
      <c r="F5" s="3716"/>
      <c r="G5" s="3707" t="s">
        <v>1675</v>
      </c>
      <c r="H5" s="3708"/>
      <c r="I5" s="3707" t="s">
        <v>1676</v>
      </c>
      <c r="J5" s="3708"/>
      <c r="K5" s="559"/>
      <c r="L5" s="2707"/>
      <c r="M5" s="2708"/>
      <c r="N5" s="2708"/>
      <c r="O5" s="2708"/>
      <c r="P5" s="3695"/>
      <c r="Q5" s="3696"/>
      <c r="R5" s="3701"/>
      <c r="S5" s="3702"/>
      <c r="T5" s="3701"/>
      <c r="U5" s="3702"/>
      <c r="V5" s="3686"/>
      <c r="W5" s="3686"/>
      <c r="X5" s="1354"/>
      <c r="Y5" s="3701"/>
      <c r="Z5" s="3702"/>
      <c r="AA5" s="3688"/>
      <c r="AB5" s="3688"/>
      <c r="AC5" s="3688"/>
    </row>
    <row r="6" spans="1:29" ht="15.75" thickBot="1">
      <c r="A6" s="360"/>
      <c r="B6" s="361"/>
      <c r="C6" s="3767" t="s">
        <v>1919</v>
      </c>
      <c r="D6" s="3768"/>
      <c r="E6" s="3769" t="s">
        <v>1919</v>
      </c>
      <c r="F6" s="3770"/>
      <c r="G6" s="3767" t="s">
        <v>1919</v>
      </c>
      <c r="H6" s="3768"/>
      <c r="I6" s="3767" t="s">
        <v>1919</v>
      </c>
      <c r="J6" s="3768"/>
      <c r="K6" s="559" t="s">
        <v>1678</v>
      </c>
      <c r="L6" s="2707"/>
      <c r="M6" s="2708"/>
      <c r="N6" s="2708"/>
      <c r="O6" s="2708"/>
      <c r="P6" s="3697"/>
      <c r="Q6" s="3698"/>
      <c r="R6" s="3701"/>
      <c r="S6" s="3702"/>
      <c r="T6" s="3703"/>
      <c r="U6" s="3704"/>
      <c r="V6" s="3686"/>
      <c r="W6" s="3686"/>
      <c r="X6" s="1354"/>
      <c r="Y6" s="3703"/>
      <c r="Z6" s="3704"/>
      <c r="AA6" s="3689"/>
      <c r="AB6" s="3689"/>
      <c r="AC6" s="3689"/>
    </row>
    <row r="7" spans="1:29" s="108" customFormat="1" ht="15.75" thickBot="1">
      <c r="A7" s="362" t="s">
        <v>1679</v>
      </c>
      <c r="B7" s="363"/>
      <c r="C7" s="364">
        <f>'数据-取费表'!B2</f>
        <v>45160</v>
      </c>
      <c r="D7" s="365">
        <v>100</v>
      </c>
      <c r="E7" s="366"/>
      <c r="F7" s="367">
        <f>SUMIF(65:65,YEAR(E7)&amp;"-"&amp;INT((MONTH(E7)+2)/3),66:66)</f>
        <v>0</v>
      </c>
      <c r="G7" s="1971"/>
      <c r="H7" s="365">
        <f>SUMIF(65:65,YEAR(G7)&amp;"-"&amp;INT((MONTH(G7)+2)/3),66:66)</f>
        <v>0</v>
      </c>
      <c r="I7" s="1971"/>
      <c r="J7" s="365">
        <f>SUMIF(65:65,YEAR(I7)&amp;"-"&amp;INT((MONTH(I7)+2)/3),66:66)</f>
        <v>0</v>
      </c>
      <c r="K7" s="560"/>
      <c r="L7" s="2709"/>
      <c r="M7" s="2710"/>
      <c r="N7" s="2710"/>
      <c r="O7" s="2710"/>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709" t="s">
        <v>1683</v>
      </c>
      <c r="Q8" s="3710"/>
      <c r="R8" s="701" t="s">
        <v>14</v>
      </c>
      <c r="S8" s="702">
        <f t="shared" si="0"/>
        <v>0</v>
      </c>
      <c r="T8" s="701" t="s">
        <v>14</v>
      </c>
      <c r="U8" s="702">
        <f t="shared" si="1"/>
        <v>0</v>
      </c>
      <c r="V8" s="701" t="s">
        <v>14</v>
      </c>
      <c r="W8" s="702">
        <f t="shared" si="2"/>
        <v>0</v>
      </c>
      <c r="X8" s="703"/>
      <c r="Y8" s="3709" t="s">
        <v>1683</v>
      </c>
      <c r="Z8" s="3710"/>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09"/>
      <c r="M9" s="2710"/>
      <c r="N9" s="2710"/>
      <c r="O9" s="2764"/>
      <c r="P9" s="3681"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1"/>
      <c r="M10" s="2712"/>
      <c r="N10" s="2712"/>
      <c r="O10" s="2765"/>
      <c r="P10" s="3681"/>
      <c r="Q10" s="1342" t="str">
        <f t="shared" si="6"/>
        <v>土地使用年限（年）</v>
      </c>
      <c r="R10" s="701" t="s">
        <v>14</v>
      </c>
      <c r="S10" s="702">
        <f t="shared" si="0"/>
        <v>101</v>
      </c>
      <c r="T10" s="701" t="s">
        <v>14</v>
      </c>
      <c r="U10" s="702">
        <f t="shared" si="1"/>
        <v>101</v>
      </c>
      <c r="V10" s="701" t="s">
        <v>14</v>
      </c>
      <c r="W10" s="702">
        <f t="shared" si="2"/>
        <v>101</v>
      </c>
      <c r="X10" s="703"/>
      <c r="Y10" s="3559"/>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681"/>
      <c r="Q11" s="1342"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681"/>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681"/>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681"/>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15">
      <c r="A15" s="391" t="s">
        <v>1690</v>
      </c>
      <c r="B15" s="577" t="s">
        <v>1920</v>
      </c>
      <c r="C15" s="1968"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682" t="s">
        <v>1691</v>
      </c>
      <c r="Q15" s="1351" t="str">
        <f t="shared" si="6"/>
        <v>产业集聚程度</v>
      </c>
      <c r="R15" s="705" t="s">
        <v>14</v>
      </c>
      <c r="S15" s="706">
        <f t="shared" si="0"/>
        <v>100</v>
      </c>
      <c r="T15" s="705" t="s">
        <v>14</v>
      </c>
      <c r="U15" s="706">
        <f t="shared" si="1"/>
        <v>100</v>
      </c>
      <c r="V15" s="705" t="s">
        <v>14</v>
      </c>
      <c r="W15" s="706">
        <f t="shared" si="2"/>
        <v>100</v>
      </c>
      <c r="X15" s="1354"/>
      <c r="Y15" s="3682"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4"/>
      <c r="M16" s="2708"/>
      <c r="N16" s="2708"/>
      <c r="O16" s="2766"/>
      <c r="P16" s="3683"/>
      <c r="Q16" s="1351"/>
      <c r="R16" s="705"/>
      <c r="S16" s="706"/>
      <c r="T16" s="705"/>
      <c r="U16" s="706"/>
      <c r="V16" s="705"/>
      <c r="W16" s="706"/>
      <c r="X16" s="1354"/>
      <c r="Y16" s="3683"/>
      <c r="Z16" s="1355"/>
      <c r="AA16" s="1352">
        <v>1</v>
      </c>
      <c r="AB16" s="1352">
        <v>1</v>
      </c>
      <c r="AC16" s="1352">
        <v>1</v>
      </c>
    </row>
    <row r="17" spans="1:29" ht="15">
      <c r="A17" s="379"/>
      <c r="B17" s="579" t="s">
        <v>1833</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683"/>
      <c r="Q17" s="1351" t="str">
        <f>B17</f>
        <v>交通便捷度</v>
      </c>
      <c r="R17" s="705" t="s">
        <v>14</v>
      </c>
      <c r="S17" s="706">
        <f>F17</f>
        <v>100</v>
      </c>
      <c r="T17" s="705" t="s">
        <v>14</v>
      </c>
      <c r="U17" s="706">
        <f>H17</f>
        <v>100</v>
      </c>
      <c r="V17" s="705" t="s">
        <v>14</v>
      </c>
      <c r="W17" s="706">
        <f>J17</f>
        <v>100</v>
      </c>
      <c r="X17" s="1354"/>
      <c r="Y17" s="3683"/>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4"/>
      <c r="M18" s="2708"/>
      <c r="N18" s="2708"/>
      <c r="O18" s="2766"/>
      <c r="P18" s="3683"/>
      <c r="Q18" s="1351"/>
      <c r="R18" s="705"/>
      <c r="S18" s="706"/>
      <c r="T18" s="705"/>
      <c r="U18" s="706"/>
      <c r="V18" s="705"/>
      <c r="W18" s="706"/>
      <c r="X18" s="1354"/>
      <c r="Y18" s="3683"/>
      <c r="Z18" s="1355"/>
      <c r="AA18" s="1352">
        <v>1</v>
      </c>
      <c r="AB18" s="1352">
        <v>1</v>
      </c>
      <c r="AC18" s="1352">
        <v>1</v>
      </c>
    </row>
    <row r="19" spans="1:29" ht="15">
      <c r="A19" s="379"/>
      <c r="B19" s="579" t="s">
        <v>1871</v>
      </c>
      <c r="C19" s="1899"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683"/>
      <c r="Q19" s="1351" t="str">
        <f t="shared" ref="Q19:Q33" si="8">B19</f>
        <v>区域土地利用方向</v>
      </c>
      <c r="R19" s="705" t="s">
        <v>14</v>
      </c>
      <c r="S19" s="706">
        <f>F19</f>
        <v>100</v>
      </c>
      <c r="T19" s="705" t="s">
        <v>14</v>
      </c>
      <c r="U19" s="706">
        <f>H19</f>
        <v>100</v>
      </c>
      <c r="V19" s="705" t="s">
        <v>14</v>
      </c>
      <c r="W19" s="706">
        <f>J19</f>
        <v>100</v>
      </c>
      <c r="X19" s="1354"/>
      <c r="Y19" s="3683"/>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4"/>
      <c r="M20" s="2708"/>
      <c r="N20" s="2708"/>
      <c r="O20" s="2766"/>
      <c r="P20" s="3683"/>
      <c r="Q20" s="1351"/>
      <c r="R20" s="705"/>
      <c r="S20" s="706"/>
      <c r="T20" s="705"/>
      <c r="U20" s="706"/>
      <c r="V20" s="705"/>
      <c r="W20" s="706"/>
      <c r="X20" s="1354"/>
      <c r="Y20" s="3683"/>
      <c r="Z20" s="1355"/>
      <c r="AA20" s="1352"/>
      <c r="AB20" s="1352"/>
      <c r="AC20" s="1352"/>
    </row>
    <row r="21" spans="1:29" ht="15">
      <c r="A21" s="358"/>
      <c r="B21" s="579" t="s">
        <v>1921</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683"/>
      <c r="Q21" s="1351" t="str">
        <f t="shared" si="8"/>
        <v>环境状况</v>
      </c>
      <c r="R21" s="705" t="s">
        <v>14</v>
      </c>
      <c r="S21" s="706">
        <f>F21</f>
        <v>100</v>
      </c>
      <c r="T21" s="705" t="s">
        <v>14</v>
      </c>
      <c r="U21" s="706">
        <f>H21</f>
        <v>100</v>
      </c>
      <c r="V21" s="705" t="s">
        <v>14</v>
      </c>
      <c r="W21" s="706">
        <f>J21</f>
        <v>100</v>
      </c>
      <c r="X21" s="1354"/>
      <c r="Y21" s="3683"/>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4"/>
      <c r="M22" s="2708"/>
      <c r="N22" s="2708"/>
      <c r="O22" s="2766"/>
      <c r="P22" s="3683"/>
      <c r="Q22" s="1351"/>
      <c r="R22" s="705"/>
      <c r="S22" s="706"/>
      <c r="T22" s="705"/>
      <c r="U22" s="706"/>
      <c r="V22" s="705"/>
      <c r="W22" s="706"/>
      <c r="X22" s="1354"/>
      <c r="Y22" s="3683"/>
      <c r="Z22" s="1355"/>
      <c r="AA22" s="1352">
        <v>1</v>
      </c>
      <c r="AB22" s="1352">
        <v>1</v>
      </c>
      <c r="AC22" s="1352">
        <v>1</v>
      </c>
    </row>
    <row r="23" spans="1:29" s="108" customFormat="1" ht="15">
      <c r="A23" s="597"/>
      <c r="B23" s="581" t="s">
        <v>1778</v>
      </c>
      <c r="C23" s="1899"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683"/>
      <c r="Q23" s="1342" t="str">
        <f t="shared" si="8"/>
        <v>公共配套设施</v>
      </c>
      <c r="R23" s="701" t="s">
        <v>14</v>
      </c>
      <c r="S23" s="702">
        <f>F23</f>
        <v>100</v>
      </c>
      <c r="T23" s="701" t="s">
        <v>14</v>
      </c>
      <c r="U23" s="702">
        <f>H23</f>
        <v>100</v>
      </c>
      <c r="V23" s="701" t="s">
        <v>14</v>
      </c>
      <c r="W23" s="702">
        <f>J23</f>
        <v>100</v>
      </c>
      <c r="X23" s="703"/>
      <c r="Y23" s="3683"/>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09"/>
      <c r="M24" s="2710"/>
      <c r="N24" s="2710"/>
      <c r="O24" s="2764"/>
      <c r="P24" s="3683"/>
      <c r="Q24" s="1342"/>
      <c r="R24" s="701"/>
      <c r="S24" s="702"/>
      <c r="T24" s="701"/>
      <c r="U24" s="702"/>
      <c r="V24" s="701"/>
      <c r="W24" s="702"/>
      <c r="X24" s="703"/>
      <c r="Y24" s="3683"/>
      <c r="Z24" s="52"/>
      <c r="AA24" s="704">
        <v>1</v>
      </c>
      <c r="AB24" s="704">
        <v>1</v>
      </c>
      <c r="AC24" s="704">
        <v>1</v>
      </c>
    </row>
    <row r="25" spans="1:29" s="108" customFormat="1" ht="15">
      <c r="A25" s="597"/>
      <c r="B25" s="581" t="s">
        <v>1779</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683"/>
      <c r="Q25" s="1342" t="str">
        <f t="shared" ref="Q25" si="9">B25</f>
        <v>基础设施水平</v>
      </c>
      <c r="R25" s="701" t="s">
        <v>14</v>
      </c>
      <c r="S25" s="702">
        <f>F25</f>
        <v>100</v>
      </c>
      <c r="T25" s="701" t="s">
        <v>14</v>
      </c>
      <c r="U25" s="702">
        <f>H25</f>
        <v>100</v>
      </c>
      <c r="V25" s="701" t="s">
        <v>14</v>
      </c>
      <c r="W25" s="702">
        <f>J25</f>
        <v>100</v>
      </c>
      <c r="X25" s="703"/>
      <c r="Y25" s="3683"/>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09"/>
      <c r="M26" s="2710"/>
      <c r="N26" s="2710"/>
      <c r="O26" s="2764"/>
      <c r="P26" s="3683"/>
      <c r="Q26" s="1342"/>
      <c r="R26" s="701"/>
      <c r="S26" s="702"/>
      <c r="T26" s="701"/>
      <c r="U26" s="702"/>
      <c r="V26" s="701"/>
      <c r="W26" s="702"/>
      <c r="X26" s="703"/>
      <c r="Y26" s="368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68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83"/>
      <c r="Z27" s="1355" t="str">
        <f t="shared" ref="Z27:Z40" si="13">Q27</f>
        <v>临街状况</v>
      </c>
      <c r="AA27" s="1352">
        <f t="shared" si="3"/>
        <v>1</v>
      </c>
      <c r="AB27" s="1352">
        <f t="shared" si="4"/>
        <v>1</v>
      </c>
      <c r="AC27" s="1352">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683"/>
      <c r="Q28" s="1351" t="str">
        <f t="shared" si="8"/>
        <v>毗邻道路的类型与等级</v>
      </c>
      <c r="R28" s="705" t="s">
        <v>14</v>
      </c>
      <c r="S28" s="706">
        <f t="shared" si="10"/>
        <v>100</v>
      </c>
      <c r="T28" s="705" t="s">
        <v>14</v>
      </c>
      <c r="U28" s="706">
        <f t="shared" si="11"/>
        <v>100</v>
      </c>
      <c r="V28" s="705" t="s">
        <v>14</v>
      </c>
      <c r="W28" s="706">
        <f t="shared" si="12"/>
        <v>100</v>
      </c>
      <c r="X28" s="1354"/>
      <c r="Y28" s="3683"/>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4"/>
      <c r="M29" s="2708"/>
      <c r="N29" s="2708"/>
      <c r="O29" s="2766"/>
      <c r="P29" s="3683"/>
      <c r="Q29" s="1351"/>
      <c r="R29" s="705"/>
      <c r="S29" s="706"/>
      <c r="T29" s="705"/>
      <c r="U29" s="706"/>
      <c r="V29" s="705"/>
      <c r="W29" s="706"/>
      <c r="X29" s="1354"/>
      <c r="Y29" s="3683"/>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683"/>
      <c r="Q30" s="1351" t="str">
        <f t="shared" si="8"/>
        <v>土地级别</v>
      </c>
      <c r="R30" s="705" t="s">
        <v>14</v>
      </c>
      <c r="S30" s="706">
        <f t="shared" si="10"/>
        <v>100</v>
      </c>
      <c r="T30" s="705" t="s">
        <v>14</v>
      </c>
      <c r="U30" s="706">
        <f t="shared" si="11"/>
        <v>100</v>
      </c>
      <c r="V30" s="705" t="s">
        <v>14</v>
      </c>
      <c r="W30" s="706">
        <f t="shared" si="12"/>
        <v>100</v>
      </c>
      <c r="X30" s="1354"/>
      <c r="Y30" s="3683"/>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683"/>
      <c r="Q31" s="1351">
        <f t="shared" si="8"/>
        <v>111</v>
      </c>
      <c r="R31" s="705" t="s">
        <v>14</v>
      </c>
      <c r="S31" s="706">
        <f t="shared" si="10"/>
        <v>100</v>
      </c>
      <c r="T31" s="705" t="s">
        <v>14</v>
      </c>
      <c r="U31" s="706">
        <f t="shared" si="11"/>
        <v>100</v>
      </c>
      <c r="V31" s="705" t="s">
        <v>14</v>
      </c>
      <c r="W31" s="706">
        <f t="shared" si="12"/>
        <v>100</v>
      </c>
      <c r="X31" s="1354"/>
      <c r="Y31" s="3683"/>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684" t="s">
        <v>1696</v>
      </c>
      <c r="Q32" s="1351">
        <f t="shared" si="8"/>
        <v>111</v>
      </c>
      <c r="R32" s="705" t="s">
        <v>14</v>
      </c>
      <c r="S32" s="706">
        <f t="shared" si="10"/>
        <v>100</v>
      </c>
      <c r="T32" s="705" t="s">
        <v>14</v>
      </c>
      <c r="U32" s="706">
        <f t="shared" si="11"/>
        <v>100</v>
      </c>
      <c r="V32" s="705" t="s">
        <v>14</v>
      </c>
      <c r="W32" s="706">
        <f t="shared" si="12"/>
        <v>100</v>
      </c>
      <c r="X32" s="1354"/>
      <c r="Y32" s="3685" t="s">
        <v>1696</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685"/>
      <c r="Q33" s="1351">
        <f t="shared" si="8"/>
        <v>111</v>
      </c>
      <c r="R33" s="708" t="s">
        <v>14</v>
      </c>
      <c r="S33" s="709">
        <f t="shared" si="10"/>
        <v>100</v>
      </c>
      <c r="T33" s="708" t="s">
        <v>14</v>
      </c>
      <c r="U33" s="709">
        <f t="shared" si="11"/>
        <v>100</v>
      </c>
      <c r="V33" s="708" t="s">
        <v>14</v>
      </c>
      <c r="W33" s="709">
        <f t="shared" si="12"/>
        <v>100</v>
      </c>
      <c r="X33" s="710"/>
      <c r="Y33" s="3685"/>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685"/>
      <c r="Q34" s="1351" t="str">
        <f>B34</f>
        <v>宗地面积</v>
      </c>
      <c r="R34" s="705" t="s">
        <v>14</v>
      </c>
      <c r="S34" s="706" t="e">
        <f t="shared" si="10"/>
        <v>#N/A</v>
      </c>
      <c r="T34" s="705" t="s">
        <v>14</v>
      </c>
      <c r="U34" s="706" t="e">
        <f t="shared" si="11"/>
        <v>#N/A</v>
      </c>
      <c r="V34" s="705" t="s">
        <v>14</v>
      </c>
      <c r="W34" s="706" t="e">
        <f t="shared" si="12"/>
        <v>#N/A</v>
      </c>
      <c r="X34" s="1354"/>
      <c r="Y34" s="368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4"/>
      <c r="M35" s="2708"/>
      <c r="N35" s="2708"/>
      <c r="O35" s="2766"/>
      <c r="P35" s="3685"/>
      <c r="Q35" s="1351" t="str">
        <f t="shared" ref="Q35:Q40" si="14">B35</f>
        <v>宗地形状</v>
      </c>
      <c r="R35" s="705" t="s">
        <v>14</v>
      </c>
      <c r="S35" s="706">
        <f t="shared" si="10"/>
        <v>100</v>
      </c>
      <c r="T35" s="705" t="s">
        <v>14</v>
      </c>
      <c r="U35" s="706">
        <f t="shared" si="11"/>
        <v>100</v>
      </c>
      <c r="V35" s="705" t="s">
        <v>14</v>
      </c>
      <c r="W35" s="706">
        <f t="shared" si="12"/>
        <v>100</v>
      </c>
      <c r="X35" s="1354"/>
      <c r="Y35" s="3685"/>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09"/>
      <c r="M36" s="2710"/>
      <c r="N36" s="2710"/>
      <c r="O36" s="2764"/>
      <c r="P36" s="3685"/>
      <c r="Q36" s="1351" t="str">
        <f t="shared" si="14"/>
        <v>宗地开发程度</v>
      </c>
      <c r="R36" s="701" t="s">
        <v>14</v>
      </c>
      <c r="S36" s="702">
        <f t="shared" si="10"/>
        <v>100</v>
      </c>
      <c r="T36" s="701" t="s">
        <v>14</v>
      </c>
      <c r="U36" s="702">
        <f t="shared" si="11"/>
        <v>100</v>
      </c>
      <c r="V36" s="701" t="s">
        <v>14</v>
      </c>
      <c r="W36" s="702">
        <f t="shared" si="12"/>
        <v>100</v>
      </c>
      <c r="X36" s="703"/>
      <c r="Y36" s="3685"/>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4"/>
      <c r="M37" s="2708"/>
      <c r="N37" s="2708"/>
      <c r="O37" s="2766"/>
      <c r="P37" s="3685" t="s">
        <v>1696</v>
      </c>
      <c r="Q37" s="1351" t="str">
        <f t="shared" si="14"/>
        <v>工程地质条件</v>
      </c>
      <c r="R37" s="705" t="s">
        <v>14</v>
      </c>
      <c r="S37" s="706">
        <f t="shared" si="10"/>
        <v>100</v>
      </c>
      <c r="T37" s="705" t="s">
        <v>14</v>
      </c>
      <c r="U37" s="706">
        <f t="shared" si="11"/>
        <v>100</v>
      </c>
      <c r="V37" s="705" t="s">
        <v>14</v>
      </c>
      <c r="W37" s="706">
        <f t="shared" si="12"/>
        <v>100</v>
      </c>
      <c r="X37" s="1354"/>
      <c r="Y37" s="3685"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685"/>
      <c r="Q38" s="1351">
        <f t="shared" si="14"/>
        <v>111</v>
      </c>
      <c r="R38" s="705" t="s">
        <v>14</v>
      </c>
      <c r="S38" s="706">
        <f t="shared" si="10"/>
        <v>100</v>
      </c>
      <c r="T38" s="705" t="s">
        <v>14</v>
      </c>
      <c r="U38" s="706">
        <f t="shared" si="11"/>
        <v>100</v>
      </c>
      <c r="V38" s="705" t="s">
        <v>14</v>
      </c>
      <c r="W38" s="706">
        <f t="shared" si="12"/>
        <v>100</v>
      </c>
      <c r="X38" s="1354"/>
      <c r="Y38" s="3685"/>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685"/>
      <c r="Q39" s="1351">
        <f t="shared" si="14"/>
        <v>111</v>
      </c>
      <c r="R39" s="705" t="s">
        <v>14</v>
      </c>
      <c r="S39" s="706">
        <f t="shared" si="10"/>
        <v>100</v>
      </c>
      <c r="T39" s="705" t="s">
        <v>14</v>
      </c>
      <c r="U39" s="706">
        <f t="shared" si="11"/>
        <v>100</v>
      </c>
      <c r="V39" s="705" t="s">
        <v>14</v>
      </c>
      <c r="W39" s="706">
        <f t="shared" si="12"/>
        <v>100</v>
      </c>
      <c r="X39" s="1354"/>
      <c r="Y39" s="3685"/>
      <c r="Z39" s="1355">
        <f t="shared" si="13"/>
        <v>111</v>
      </c>
      <c r="AA39" s="1352">
        <f t="shared" si="3"/>
        <v>1</v>
      </c>
      <c r="AB39" s="1352">
        <f t="shared" si="4"/>
        <v>1</v>
      </c>
      <c r="AC39" s="1352">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685"/>
      <c r="Q40" s="1351">
        <f t="shared" si="14"/>
        <v>111</v>
      </c>
      <c r="R40" s="708" t="s">
        <v>14</v>
      </c>
      <c r="S40" s="709">
        <f t="shared" si="10"/>
        <v>100</v>
      </c>
      <c r="T40" s="708" t="s">
        <v>14</v>
      </c>
      <c r="U40" s="709">
        <f t="shared" si="11"/>
        <v>100</v>
      </c>
      <c r="V40" s="708" t="s">
        <v>14</v>
      </c>
      <c r="W40" s="709">
        <f t="shared" si="12"/>
        <v>100</v>
      </c>
      <c r="X40" s="710"/>
      <c r="Y40" s="3685"/>
      <c r="Z40" s="711">
        <f t="shared" si="13"/>
        <v>111</v>
      </c>
      <c r="AA40" s="1352">
        <f t="shared" si="3"/>
        <v>1</v>
      </c>
      <c r="AB40" s="1352">
        <f t="shared" si="4"/>
        <v>1</v>
      </c>
      <c r="AC40" s="1352">
        <f t="shared" si="5"/>
        <v>1</v>
      </c>
    </row>
    <row r="41" spans="1:31" ht="15">
      <c r="A41" s="430" t="s">
        <v>1844</v>
      </c>
      <c r="B41" s="1979" t="s">
        <v>1922</v>
      </c>
      <c r="C41" s="630" t="s">
        <v>0</v>
      </c>
      <c r="D41" s="432"/>
      <c r="E41" s="433"/>
      <c r="F41" s="434"/>
      <c r="G41" s="435"/>
      <c r="H41" s="436"/>
      <c r="I41" s="433"/>
      <c r="J41" s="436"/>
      <c r="K41" s="714"/>
      <c r="L41" s="2716"/>
      <c r="M41" s="2708"/>
      <c r="N41" s="2708"/>
      <c r="O41" s="2717"/>
      <c r="P41" s="3681" t="str">
        <f>A41</f>
        <v>成交单价</v>
      </c>
      <c r="Q41" s="3681"/>
      <c r="R41" s="3686">
        <f>E41</f>
        <v>0</v>
      </c>
      <c r="S41" s="3686"/>
      <c r="T41" s="3686">
        <f>G41</f>
        <v>0</v>
      </c>
      <c r="U41" s="3686"/>
      <c r="V41" s="3686">
        <f>I41</f>
        <v>0</v>
      </c>
      <c r="W41" s="3686"/>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16"/>
      <c r="M42" s="2708"/>
      <c r="N42" s="2708"/>
      <c r="O42" s="2717"/>
      <c r="P42" s="3681" t="str">
        <f>A42</f>
        <v>比较价值（元/平方米）</v>
      </c>
      <c r="Q42" s="3681"/>
      <c r="R42" s="3674" t="e">
        <f>ROUND(PRODUCT(R41,AA7:AA40),0)</f>
        <v>#DIV/0!</v>
      </c>
      <c r="S42" s="3674"/>
      <c r="T42" s="3674" t="e">
        <f>ROUND(PRODUCT(T41,AB7:AB40),0)</f>
        <v>#DIV/0!</v>
      </c>
      <c r="U42" s="3674"/>
      <c r="V42" s="3674" t="e">
        <f>ROUND(PRODUCT(V41,AC7:AC40),0)</f>
        <v>#DIV/0!</v>
      </c>
      <c r="W42" s="367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6"/>
      <c r="M43" s="2708"/>
      <c r="N43" s="2708"/>
      <c r="O43" s="2717"/>
      <c r="P43" s="3675" t="str">
        <f>A43</f>
        <v>估价对象XX用房的比较价值（楼面单价，元/平方米）</v>
      </c>
      <c r="Q43" s="3676"/>
      <c r="R43" s="3677" t="e">
        <f>ROUND(IF(D42="简单平均",AVERAGE(R42:W42),R42*F42+T42*H42+V42*J42),0)</f>
        <v>#DIV/0!</v>
      </c>
      <c r="S43" s="3677"/>
      <c r="T43" s="3677"/>
      <c r="U43" s="3677"/>
      <c r="V43" s="3677"/>
      <c r="W43" s="3677"/>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1881</v>
      </c>
      <c r="B50" s="633" t="s">
        <v>1882</v>
      </c>
      <c r="C50" s="1980" t="s">
        <v>1883</v>
      </c>
      <c r="D50" s="1981" t="s">
        <v>1884</v>
      </c>
      <c r="E50" s="634" t="s">
        <v>1885</v>
      </c>
      <c r="F50" s="635" t="s">
        <v>1886</v>
      </c>
      <c r="G50" s="3678" t="s">
        <v>1887</v>
      </c>
      <c r="H50" s="3679"/>
      <c r="I50" s="1355" t="s">
        <v>1923</v>
      </c>
      <c r="J50" s="1355">
        <f>项目基本情况!F35</f>
        <v>0</v>
      </c>
      <c r="K50" s="1983"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1890</v>
      </c>
      <c r="B51" s="637" t="e">
        <f>C43</f>
        <v>#DIV/0!</v>
      </c>
      <c r="C51" s="638">
        <v>1</v>
      </c>
      <c r="D51" s="944">
        <v>1</v>
      </c>
      <c r="E51" s="638">
        <f>'数据-汇总表'!E8+'数据-汇总表'!E9</f>
        <v>62017.94</v>
      </c>
      <c r="F51" s="639" t="e">
        <f t="shared" ref="F51:F60" si="15">ROUND(B51*E51/10000,0)</f>
        <v>#DIV/0!</v>
      </c>
      <c r="G51" s="3680"/>
      <c r="H51" s="3681"/>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1891</v>
      </c>
      <c r="B52" s="218" t="e">
        <f>ROUND($C$43*C52*D52,0)</f>
        <v>#DIV/0!</v>
      </c>
      <c r="C52" s="171">
        <f t="shared" ref="C52:C60" si="16">IF($C$50="北京市系数",I52,J52)</f>
        <v>0.6</v>
      </c>
      <c r="D52" s="945">
        <v>0.25</v>
      </c>
      <c r="E52" s="642"/>
      <c r="F52" s="639" t="e">
        <f t="shared" si="15"/>
        <v>#DIV/0!</v>
      </c>
      <c r="G52" s="2998" t="s">
        <v>1892</v>
      </c>
      <c r="H52" s="887" t="str">
        <f>项目基本情况!B37</f>
        <v>七级</v>
      </c>
      <c r="I52" s="773">
        <f>SUMIF(修正!A57:A68,H52,修正!B57:B68)</f>
        <v>0.6</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1893</v>
      </c>
      <c r="B53" s="218" t="e">
        <f t="shared" ref="B53:B60" si="17">ROUND($C$43*C53*D53,0)</f>
        <v>#DIV/0!</v>
      </c>
      <c r="C53" s="171">
        <f t="shared" si="16"/>
        <v>0.3</v>
      </c>
      <c r="D53" s="945">
        <v>0.25</v>
      </c>
      <c r="E53" s="642"/>
      <c r="F53" s="639" t="e">
        <f t="shared" si="15"/>
        <v>#DIV/0!</v>
      </c>
      <c r="G53" s="2999"/>
      <c r="H53" s="887" t="str">
        <f>项目基本情况!B37</f>
        <v>七级</v>
      </c>
      <c r="I53" s="773">
        <f>SUMIF(修正!A57:A68,H53,修正!C57:C68)</f>
        <v>0.3</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1894</v>
      </c>
      <c r="B54" s="218" t="e">
        <f t="shared" si="17"/>
        <v>#DIV/0!</v>
      </c>
      <c r="C54" s="171">
        <f t="shared" si="16"/>
        <v>0.25</v>
      </c>
      <c r="D54" s="945">
        <v>0.25</v>
      </c>
      <c r="E54" s="642"/>
      <c r="F54" s="639" t="e">
        <f t="shared" si="15"/>
        <v>#DIV/0!</v>
      </c>
      <c r="G54" s="2999"/>
      <c r="H54" s="887" t="str">
        <f>项目基本情况!B37</f>
        <v>七级</v>
      </c>
      <c r="I54" s="773">
        <f>SUMIF(修正!A57:A68,H54,修正!D57:D68)</f>
        <v>0.25</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1895</v>
      </c>
      <c r="B56" s="218" t="e">
        <f t="shared" si="17"/>
        <v>#DIV/0!</v>
      </c>
      <c r="C56" s="171">
        <f t="shared" si="16"/>
        <v>0.25</v>
      </c>
      <c r="D56" s="945">
        <v>0.25</v>
      </c>
      <c r="E56" s="217">
        <f>'数据-汇总表'!E11</f>
        <v>0</v>
      </c>
      <c r="F56" s="639" t="e">
        <f t="shared" si="15"/>
        <v>#DIV/0!</v>
      </c>
      <c r="G56" s="1984" t="s">
        <v>1896</v>
      </c>
      <c r="H56" s="887" t="str">
        <f>项目基本情况!C37</f>
        <v>七级</v>
      </c>
      <c r="I56" s="773">
        <f>SUMIF(修正!A57:A68,H56,修正!E57:E68)</f>
        <v>0.25</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1899</v>
      </c>
      <c r="B58" s="218" t="e">
        <f t="shared" si="17"/>
        <v>#DIV/0!</v>
      </c>
      <c r="C58" s="171">
        <f t="shared" si="16"/>
        <v>0.15</v>
      </c>
      <c r="D58" s="945">
        <v>0.25</v>
      </c>
      <c r="E58" s="217">
        <f>'数据-汇总表'!E13</f>
        <v>8259.5399999999991</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1901</v>
      </c>
      <c r="B59" s="218" t="e">
        <f t="shared" si="17"/>
        <v>#DIV/0!</v>
      </c>
      <c r="C59" s="171">
        <f t="shared" si="16"/>
        <v>0.15</v>
      </c>
      <c r="D59" s="945">
        <v>0.25</v>
      </c>
      <c r="E59" s="217">
        <f>'数据-汇总表'!E14</f>
        <v>0</v>
      </c>
      <c r="F59" s="639" t="e">
        <f t="shared" si="15"/>
        <v>#DIV/0!</v>
      </c>
      <c r="G59" s="1984" t="s">
        <v>1892</v>
      </c>
      <c r="H59" s="887" t="str">
        <f>项目基本情况!B37</f>
        <v>七级</v>
      </c>
      <c r="I59" s="773">
        <f>SUMIF(修正!A57:A68,H59,修正!G57:G68)</f>
        <v>0.15</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1902</v>
      </c>
      <c r="B60" s="218" t="e">
        <f t="shared" si="17"/>
        <v>#DIV/0!</v>
      </c>
      <c r="C60" s="171">
        <f t="shared" si="16"/>
        <v>0.15</v>
      </c>
      <c r="D60" s="945">
        <v>0.25</v>
      </c>
      <c r="E60" s="217">
        <f>'数据-汇总表'!E15</f>
        <v>0</v>
      </c>
      <c r="F60" s="639" t="e">
        <f t="shared" si="15"/>
        <v>#DIV/0!</v>
      </c>
      <c r="G60" s="1985" t="s">
        <v>1896</v>
      </c>
      <c r="H60" s="897" t="str">
        <f>项目基本情况!C37</f>
        <v>七级</v>
      </c>
      <c r="I60" s="773">
        <f>SUMIF(修正!A57:A68,H60,修正!G57:G68)</f>
        <v>0.15</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1903</v>
      </c>
      <c r="B61" s="644" t="s">
        <v>22</v>
      </c>
      <c r="C61" s="644" t="s">
        <v>23</v>
      </c>
      <c r="D61" s="644" t="s">
        <v>392</v>
      </c>
      <c r="E61" s="644">
        <f>IF(B41="楼面地价",SUM(E51:E60),'数据-汇总表'!D3)</f>
        <v>15955.89</v>
      </c>
      <c r="F61" s="645" t="e">
        <f>IF(B41="楼面地价",SUM(F51:F60),ROUND(C43*E61/10000,0))</f>
        <v>#DIV/0!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17"/>
      <c r="Q63" s="2717"/>
      <c r="R63" s="2717"/>
      <c r="S63" s="2717"/>
      <c r="T63" s="2717"/>
      <c r="U63" s="2717"/>
      <c r="V63" s="2717"/>
      <c r="W63" s="2717"/>
      <c r="X63" s="2717"/>
      <c r="Y63" s="2717"/>
      <c r="Z63" s="2717"/>
      <c r="AA63" s="2717"/>
      <c r="AB63" s="2717"/>
      <c r="AC63" s="2717"/>
      <c r="AD63" s="2717"/>
      <c r="AE63" s="2717"/>
    </row>
    <row r="64" spans="1:31" ht="21.75" thickBot="1">
      <c r="A64" s="694" t="s">
        <v>1798</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5">
      <c r="A65" s="1986"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4" t="s">
        <v>1716</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5">
      <c r="A68" s="470" t="s">
        <v>1681</v>
      </c>
      <c r="B68" s="459"/>
      <c r="C68" s="471" t="s">
        <v>1776</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c r="A70" s="476" t="s">
        <v>1719</v>
      </c>
      <c r="B70" s="477" t="s">
        <v>1685</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1688</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1690</v>
      </c>
      <c r="B83" s="477" t="s">
        <v>1829</v>
      </c>
      <c r="C83" s="522" t="s">
        <v>1721</v>
      </c>
      <c r="D83" s="522" t="s">
        <v>1722</v>
      </c>
      <c r="E83" s="522" t="s">
        <v>1723</v>
      </c>
      <c r="F83" s="522" t="s">
        <v>1724</v>
      </c>
      <c r="G83" s="522" t="s">
        <v>1725</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1726</v>
      </c>
      <c r="C85" s="527" t="s">
        <v>1721</v>
      </c>
      <c r="D85" s="527" t="s">
        <v>1722</v>
      </c>
      <c r="E85" s="527" t="s">
        <v>1723</v>
      </c>
      <c r="F85" s="527" t="s">
        <v>1724</v>
      </c>
      <c r="G85" s="527" t="s">
        <v>1725</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1815</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1873</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1914</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1916</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1917</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4" t="s">
        <v>2084</v>
      </c>
      <c r="D1" s="3775"/>
      <c r="E1" s="3775"/>
      <c r="F1" s="3775"/>
      <c r="G1" s="3775"/>
      <c r="H1" s="3775"/>
      <c r="I1" s="3775"/>
      <c r="J1" s="3775"/>
      <c r="K1" s="3775"/>
      <c r="L1" s="3775"/>
      <c r="M1" s="3775"/>
      <c r="N1" s="3775"/>
      <c r="O1" s="3775"/>
      <c r="P1" s="3775"/>
      <c r="Q1" s="3775"/>
      <c r="R1" s="3775"/>
      <c r="S1" s="377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0"/>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1" t="s">
        <v>27</v>
      </c>
      <c r="D22" s="3772"/>
      <c r="E22" s="3772"/>
      <c r="F22" s="3772"/>
      <c r="G22" s="3772"/>
      <c r="H22" s="3772"/>
      <c r="I22" s="3772"/>
      <c r="J22" s="3772"/>
      <c r="K22" s="3772"/>
      <c r="L22" s="3772"/>
      <c r="M22" s="3772"/>
      <c r="N22" s="3772"/>
      <c r="O22" s="3772"/>
      <c r="P22" s="3772"/>
      <c r="Q22" s="377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估价结果一览表（市场价值不需“结果表-1”）</v>
      </c>
      <c r="B3" s="3475"/>
      <c r="C3" s="3475"/>
      <c r="D3" s="3475"/>
      <c r="E3" s="3475"/>
    </row>
    <row r="4" spans="1:5" ht="19.5" thickBot="1">
      <c r="A4" s="1492"/>
      <c r="B4" s="3473" t="s">
        <v>917</v>
      </c>
      <c r="C4" s="3473"/>
      <c r="D4" s="3473"/>
      <c r="E4" s="1492"/>
    </row>
    <row r="5" spans="1:5" ht="16.5" thickTop="1">
      <c r="A5" s="1490"/>
      <c r="B5" s="3471" t="s">
        <v>909</v>
      </c>
      <c r="C5" s="1493" t="s">
        <v>910</v>
      </c>
      <c r="D5" s="850">
        <f ca="1">结果表!H101</f>
        <v>155050</v>
      </c>
      <c r="E5" s="1490"/>
    </row>
    <row r="6" spans="1:5" ht="15.75">
      <c r="A6" s="1490"/>
      <c r="B6" s="3471"/>
      <c r="C6" s="1493" t="s">
        <v>911</v>
      </c>
      <c r="D6" s="850" t="str">
        <f ca="1">NUMBERSTRING(INT(D5*10000),2)&amp;"元整"</f>
        <v>壹拾伍亿伍仟零伍拾万元整</v>
      </c>
      <c r="E6" s="1490"/>
    </row>
    <row r="7" spans="1:5" ht="15.75">
      <c r="A7" s="1490"/>
      <c r="B7" s="3476"/>
      <c r="C7" s="1494" t="s">
        <v>912</v>
      </c>
      <c r="D7" s="851">
        <f ca="1">结果表!H102</f>
        <v>20559</v>
      </c>
      <c r="E7" s="1490"/>
    </row>
    <row r="8" spans="1:5" ht="15.75">
      <c r="A8" s="1490"/>
      <c r="B8" s="3477" t="str">
        <f>结果表!E103</f>
        <v>2.估价师知悉的法定优先受偿款</v>
      </c>
      <c r="C8" s="1495" t="s">
        <v>913</v>
      </c>
      <c r="D8" s="851">
        <f>结果表!H103</f>
        <v>0</v>
      </c>
      <c r="E8" s="1490"/>
    </row>
    <row r="9" spans="1:5" ht="15.75">
      <c r="A9" s="1490"/>
      <c r="B9" s="347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0" t="str">
        <f>结果表!E107</f>
        <v>3.房地产抵押价值</v>
      </c>
      <c r="C13" s="1498" t="s">
        <v>910</v>
      </c>
      <c r="D13" s="853">
        <f ca="1">结果表!H107</f>
        <v>155050</v>
      </c>
      <c r="E13" s="1490"/>
    </row>
    <row r="14" spans="1:5" ht="15.75">
      <c r="A14" s="1490"/>
      <c r="B14" s="3471"/>
      <c r="C14" s="1493" t="s">
        <v>911</v>
      </c>
      <c r="D14" s="850" t="str">
        <f ca="1">NUMBERSTRING(INT(D13*10000),2)&amp;"元整"</f>
        <v>壹拾伍亿伍仟零伍拾万元整</v>
      </c>
      <c r="E14" s="1490"/>
    </row>
    <row r="15" spans="1:5" ht="15">
      <c r="A15" s="1490"/>
      <c r="B15" s="3476"/>
      <c r="C15" s="1494" t="s">
        <v>921</v>
      </c>
      <c r="D15" s="859">
        <f ca="1">结果表!H108</f>
        <v>20559</v>
      </c>
      <c r="E15" s="1490"/>
    </row>
    <row r="16" spans="1:5" ht="15">
      <c r="A16" s="1490"/>
      <c r="B16" s="3477" t="str">
        <f>结果表!E109</f>
        <v>——</v>
      </c>
      <c r="C16" s="1498" t="s">
        <v>922</v>
      </c>
      <c r="D16" s="1499" t="str">
        <f>结果表!H109</f>
        <v>——</v>
      </c>
      <c r="E16" s="1490"/>
    </row>
    <row r="17" spans="1:5" ht="15.75">
      <c r="A17" s="1490"/>
      <c r="B17" s="3478"/>
      <c r="C17" s="1493" t="s">
        <v>923</v>
      </c>
      <c r="D17" s="850" t="e">
        <f>NUMBERSTRING(INT(D16*10000),2)&amp;"元整"</f>
        <v>#VALUE!</v>
      </c>
      <c r="E17" s="1490"/>
    </row>
    <row r="18" spans="1:5" ht="15">
      <c r="A18" s="1490"/>
      <c r="B18" s="3479"/>
      <c r="C18" s="1494" t="s">
        <v>912</v>
      </c>
      <c r="D18" s="859" t="str">
        <f>结果表!H110</f>
        <v>——</v>
      </c>
      <c r="E18" s="1490"/>
    </row>
    <row r="19" spans="1:5" ht="15.75">
      <c r="A19" s="1490"/>
      <c r="B19" s="3470" t="str">
        <f>结果表!E111</f>
        <v>——</v>
      </c>
      <c r="C19" s="1498" t="s">
        <v>910</v>
      </c>
      <c r="D19" s="851" t="str">
        <f>结果表!H111</f>
        <v>——</v>
      </c>
      <c r="E19" s="1490"/>
    </row>
    <row r="20" spans="1:5" ht="15.75">
      <c r="A20" s="1490"/>
      <c r="B20" s="3471"/>
      <c r="C20" s="1493" t="s">
        <v>923</v>
      </c>
      <c r="D20" s="850" t="e">
        <f>NUMBERSTRING(INT(D19*10000),2)&amp;"元整"</f>
        <v>#VALUE!</v>
      </c>
      <c r="E20" s="1490"/>
    </row>
    <row r="21" spans="1:5" ht="15.75" thickBot="1">
      <c r="A21" s="1490"/>
      <c r="B21" s="347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4"/>
      <c r="C1" s="2144"/>
      <c r="D1" s="2144"/>
      <c r="E1" s="2144"/>
      <c r="F1" s="2785"/>
      <c r="G1" s="2785"/>
      <c r="H1" s="2785"/>
      <c r="I1" s="2785"/>
      <c r="J1" s="2785"/>
      <c r="K1" s="2785"/>
      <c r="L1" s="2785"/>
      <c r="M1" s="2785"/>
      <c r="N1" s="2785"/>
      <c r="O1" s="2785"/>
      <c r="P1" s="2785"/>
    </row>
    <row r="2" spans="1:16" ht="15.75">
      <c r="A2" s="2142" t="s">
        <v>2073</v>
      </c>
      <c r="B2" s="2594">
        <f ca="1">SUMIF(B6:B13,"&lt;&gt;#ref!",B6:B13)</f>
        <v>48869</v>
      </c>
      <c r="C2" s="2142" t="s">
        <v>2074</v>
      </c>
      <c r="D2" s="2142" t="s">
        <v>2075</v>
      </c>
      <c r="E2" s="2604">
        <f ca="1">SUMIF(E6:E13,"&lt;&gt;#ref!",E6:E13)</f>
        <v>62079.76</v>
      </c>
      <c r="F2" s="2785"/>
      <c r="G2" s="2785"/>
      <c r="H2" s="2785"/>
      <c r="I2" s="2785"/>
      <c r="J2" s="2785"/>
      <c r="K2" s="2785"/>
      <c r="L2" s="2785"/>
      <c r="M2" s="2785"/>
      <c r="N2" s="2785"/>
      <c r="O2" s="2785"/>
      <c r="P2" s="2785"/>
    </row>
    <row r="3" spans="1:16" ht="15.75">
      <c r="A3" s="2142" t="s">
        <v>2076</v>
      </c>
      <c r="B3" s="2594">
        <f ca="1">ROUND(B2*10000/E2,0)</f>
        <v>7872</v>
      </c>
      <c r="C3" s="2142"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43"/>
      <c r="D5" s="2785"/>
      <c r="E5" s="2603" t="s">
        <v>2079</v>
      </c>
      <c r="F5" s="2785"/>
      <c r="G5" s="2785"/>
      <c r="H5" s="2785"/>
      <c r="I5" s="2785"/>
      <c r="J5" s="2785"/>
      <c r="K5" s="2785"/>
      <c r="L5" s="2785"/>
      <c r="M5" s="2785"/>
      <c r="N5" s="2785"/>
      <c r="O5" s="2785"/>
      <c r="P5" s="2785"/>
    </row>
    <row r="6" spans="1:16" ht="15.75">
      <c r="A6" s="2601" t="s">
        <v>2080</v>
      </c>
      <c r="B6" s="2594">
        <f ca="1">SUMIF(INDIRECT("'"&amp;A6&amp;"'"&amp;"!A:A"),"总价",INDIRECT("'"&amp;A6&amp;"'"&amp;"!B:B"))</f>
        <v>48869</v>
      </c>
      <c r="C6" s="2142" t="s">
        <v>2074</v>
      </c>
      <c r="D6" s="2785"/>
      <c r="E6" s="2604">
        <f ca="1">SUMIF(INDIRECT("'"&amp;A6&amp;"'"&amp;"!C:C"),"建筑面积",INDIRECT("'"&amp;A6&amp;"'"&amp;"!D:D"))</f>
        <v>62079.76</v>
      </c>
      <c r="F6" s="2785"/>
      <c r="G6" s="2785"/>
      <c r="H6" s="2785"/>
      <c r="I6" s="2785"/>
      <c r="J6" s="2785"/>
      <c r="K6" s="2785"/>
      <c r="L6" s="2785"/>
      <c r="M6" s="2785"/>
      <c r="N6" s="2785"/>
      <c r="O6" s="2785"/>
      <c r="P6" s="2785"/>
    </row>
    <row r="7" spans="1:16" ht="15.75">
      <c r="A7" s="2601"/>
      <c r="B7" s="2594" t="e">
        <f ca="1">SUMIF(INDIRECT("'"&amp;A7&amp;"'"&amp;"!A:A"),"总价",INDIRECT("'"&amp;A7&amp;"'"&amp;"!B:B"))</f>
        <v>#REF!</v>
      </c>
      <c r="C7" s="2142"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42"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42"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42"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42"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42"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42"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2589</v>
      </c>
      <c r="B1" s="3064" t="s">
        <v>2590</v>
      </c>
      <c r="C1" s="3064" t="s">
        <v>2591</v>
      </c>
      <c r="D1" s="3064" t="s">
        <v>2592</v>
      </c>
      <c r="E1" s="3064" t="s">
        <v>2593</v>
      </c>
      <c r="F1" s="3064" t="s">
        <v>2594</v>
      </c>
      <c r="G1" s="3064" t="s">
        <v>2595</v>
      </c>
      <c r="H1" s="3064" t="s">
        <v>2596</v>
      </c>
      <c r="I1" s="3064" t="s">
        <v>2597</v>
      </c>
      <c r="J1" s="3064" t="s">
        <v>2598</v>
      </c>
      <c r="K1" s="3064" t="s">
        <v>2599</v>
      </c>
      <c r="L1" s="3064" t="s">
        <v>2600</v>
      </c>
      <c r="M1" s="3065" t="s">
        <v>2601</v>
      </c>
    </row>
    <row r="2" spans="1:13" ht="19.5" customHeight="1">
      <c r="A2" s="3067" t="s">
        <v>2602</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2603</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2604</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2605</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2606</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2607</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2608</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2609</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2610</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2611</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2612</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2613</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2614</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2615</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2616</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2617</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2618</v>
      </c>
      <c r="B18" s="3089"/>
      <c r="C18" s="3090"/>
      <c r="D18" s="3090"/>
      <c r="E18" s="3089"/>
      <c r="F18" s="3090"/>
      <c r="G18" s="3090"/>
    </row>
    <row r="19" spans="1:13" ht="19.5" customHeight="1" thickBot="1">
      <c r="A19" s="3087" t="s">
        <v>2619</v>
      </c>
      <c r="B19" s="3092" t="s">
        <v>2620</v>
      </c>
      <c r="C19" s="3092" t="s">
        <v>2621</v>
      </c>
      <c r="D19" s="3093"/>
      <c r="E19" s="3087" t="s">
        <v>2622</v>
      </c>
      <c r="F19" s="3094"/>
      <c r="G19" s="3094"/>
    </row>
    <row r="20" spans="1:13" ht="19.5" customHeight="1">
      <c r="A20" s="3786" t="s">
        <v>2602</v>
      </c>
      <c r="B20" s="3781" t="s">
        <v>2623</v>
      </c>
      <c r="C20" s="3095" t="s">
        <v>2434</v>
      </c>
      <c r="D20" s="3096"/>
      <c r="E20" s="3097">
        <v>1</v>
      </c>
      <c r="F20" s="3098" t="s">
        <v>2435</v>
      </c>
      <c r="G20" s="3098"/>
    </row>
    <row r="21" spans="1:13" ht="19.5" customHeight="1">
      <c r="A21" s="3787"/>
      <c r="B21" s="3780"/>
      <c r="C21" s="3099" t="s">
        <v>2436</v>
      </c>
      <c r="D21" s="3100"/>
      <c r="E21" s="3101">
        <v>1</v>
      </c>
      <c r="F21" s="3098" t="s">
        <v>2437</v>
      </c>
      <c r="G21" s="3098"/>
    </row>
    <row r="22" spans="1:13" ht="19.5" customHeight="1">
      <c r="A22" s="3787"/>
      <c r="B22" s="3780"/>
      <c r="C22" s="3099" t="s">
        <v>2438</v>
      </c>
      <c r="D22" s="3100"/>
      <c r="E22" s="3101">
        <v>0.9</v>
      </c>
      <c r="F22" s="3098" t="s">
        <v>2439</v>
      </c>
      <c r="G22" s="3098"/>
    </row>
    <row r="23" spans="1:13" ht="19.5" customHeight="1">
      <c r="A23" s="3787"/>
      <c r="B23" s="3780"/>
      <c r="C23" s="3099" t="s">
        <v>2440</v>
      </c>
      <c r="D23" s="3100"/>
      <c r="E23" s="3101">
        <v>0.9</v>
      </c>
      <c r="F23" s="3098" t="s">
        <v>2441</v>
      </c>
      <c r="G23" s="3098"/>
    </row>
    <row r="24" spans="1:13" ht="19.5" customHeight="1">
      <c r="A24" s="3787"/>
      <c r="B24" s="3780"/>
      <c r="C24" s="3099" t="s">
        <v>2442</v>
      </c>
      <c r="D24" s="3100"/>
      <c r="E24" s="3101">
        <v>0.8</v>
      </c>
      <c r="F24" s="3098" t="s">
        <v>2443</v>
      </c>
      <c r="G24" s="3098"/>
    </row>
    <row r="25" spans="1:13" ht="19.5" customHeight="1" thickBot="1">
      <c r="A25" s="3788"/>
      <c r="B25" s="3782"/>
      <c r="C25" s="3102" t="s">
        <v>2444</v>
      </c>
      <c r="D25" s="3103"/>
      <c r="E25" s="3104">
        <v>0.8</v>
      </c>
      <c r="F25" s="3098" t="s">
        <v>2445</v>
      </c>
      <c r="G25" s="3098"/>
    </row>
    <row r="26" spans="1:13" ht="19.5" customHeight="1" thickBot="1">
      <c r="A26" s="3105" t="s">
        <v>2624</v>
      </c>
      <c r="B26" s="3106" t="s">
        <v>2623</v>
      </c>
      <c r="C26" s="3107" t="s">
        <v>2625</v>
      </c>
      <c r="D26" s="3108"/>
      <c r="E26" s="3109">
        <v>1</v>
      </c>
      <c r="F26" s="3098" t="s">
        <v>2446</v>
      </c>
      <c r="G26" s="3098"/>
    </row>
    <row r="27" spans="1:13" ht="19.5" customHeight="1">
      <c r="A27" s="3783" t="s">
        <v>2626</v>
      </c>
      <c r="B27" s="3781" t="s">
        <v>2607</v>
      </c>
      <c r="C27" s="3095" t="s">
        <v>2447</v>
      </c>
      <c r="D27" s="3096"/>
      <c r="E27" s="3097">
        <v>1</v>
      </c>
      <c r="F27" s="3098" t="s">
        <v>2448</v>
      </c>
      <c r="G27" s="3098"/>
    </row>
    <row r="28" spans="1:13" ht="19.5" customHeight="1">
      <c r="A28" s="3784"/>
      <c r="B28" s="3780"/>
      <c r="C28" s="3099" t="s">
        <v>2449</v>
      </c>
      <c r="D28" s="3100"/>
      <c r="E28" s="3101">
        <v>1</v>
      </c>
      <c r="F28" s="3098" t="s">
        <v>2450</v>
      </c>
      <c r="G28" s="3098"/>
    </row>
    <row r="29" spans="1:13" ht="19.5" customHeight="1">
      <c r="A29" s="3784"/>
      <c r="B29" s="3780"/>
      <c r="C29" s="3099" t="s">
        <v>2451</v>
      </c>
      <c r="D29" s="3100"/>
      <c r="E29" s="3101">
        <v>0.8</v>
      </c>
      <c r="F29" s="3098" t="s">
        <v>2452</v>
      </c>
      <c r="G29" s="3098"/>
    </row>
    <row r="30" spans="1:13" ht="19.5" customHeight="1">
      <c r="A30" s="3784"/>
      <c r="B30" s="3780"/>
      <c r="C30" s="3099" t="s">
        <v>2453</v>
      </c>
      <c r="D30" s="3100"/>
      <c r="E30" s="3101">
        <v>0.8</v>
      </c>
      <c r="F30" s="3098" t="s">
        <v>2454</v>
      </c>
      <c r="G30" s="3098"/>
    </row>
    <row r="31" spans="1:13" ht="19.5" customHeight="1">
      <c r="A31" s="3784"/>
      <c r="B31" s="3780"/>
      <c r="C31" s="3099" t="s">
        <v>2455</v>
      </c>
      <c r="D31" s="3100"/>
      <c r="E31" s="3101">
        <v>0.8</v>
      </c>
      <c r="F31" s="3098" t="s">
        <v>2456</v>
      </c>
      <c r="G31" s="3098"/>
    </row>
    <row r="32" spans="1:13" ht="19.5" customHeight="1">
      <c r="A32" s="3784"/>
      <c r="B32" s="3780"/>
      <c r="C32" s="3099" t="s">
        <v>2457</v>
      </c>
      <c r="D32" s="3100"/>
      <c r="E32" s="3101">
        <v>0.7</v>
      </c>
      <c r="F32" s="3098" t="s">
        <v>2458</v>
      </c>
      <c r="G32" s="3098"/>
    </row>
    <row r="33" spans="1:7" ht="19.5" customHeight="1">
      <c r="A33" s="3784"/>
      <c r="B33" s="3780"/>
      <c r="C33" s="3099" t="s">
        <v>2459</v>
      </c>
      <c r="D33" s="3100"/>
      <c r="E33" s="3101">
        <v>0.8</v>
      </c>
      <c r="F33" s="3098" t="s">
        <v>2460</v>
      </c>
      <c r="G33" s="3098"/>
    </row>
    <row r="34" spans="1:7" ht="19.5" customHeight="1">
      <c r="A34" s="3784"/>
      <c r="B34" s="3780"/>
      <c r="C34" s="3099" t="s">
        <v>2461</v>
      </c>
      <c r="D34" s="3100"/>
      <c r="E34" s="3101">
        <v>0.6</v>
      </c>
      <c r="F34" s="3098" t="s">
        <v>2462</v>
      </c>
      <c r="G34" s="3098"/>
    </row>
    <row r="35" spans="1:7" ht="19.5" customHeight="1">
      <c r="A35" s="3784"/>
      <c r="B35" s="3780"/>
      <c r="C35" s="3099" t="s">
        <v>2463</v>
      </c>
      <c r="D35" s="3100"/>
      <c r="E35" s="3101">
        <v>0.2</v>
      </c>
      <c r="F35" s="3098" t="s">
        <v>2464</v>
      </c>
      <c r="G35" s="3098"/>
    </row>
    <row r="36" spans="1:7" ht="19.5" customHeight="1">
      <c r="A36" s="3784"/>
      <c r="B36" s="3780"/>
      <c r="C36" s="3099" t="s">
        <v>2465</v>
      </c>
      <c r="D36" s="3100"/>
      <c r="E36" s="3101">
        <v>0.2</v>
      </c>
      <c r="F36" s="3098" t="s">
        <v>2466</v>
      </c>
      <c r="G36" s="3098"/>
    </row>
    <row r="37" spans="1:7" ht="19.5" customHeight="1">
      <c r="A37" s="3784"/>
      <c r="B37" s="3778" t="s">
        <v>2627</v>
      </c>
      <c r="C37" s="3099" t="s">
        <v>2467</v>
      </c>
      <c r="D37" s="3100"/>
      <c r="E37" s="3101">
        <v>0.6</v>
      </c>
      <c r="F37" s="3098" t="s">
        <v>2468</v>
      </c>
      <c r="G37" s="3098"/>
    </row>
    <row r="38" spans="1:7" ht="19.5" customHeight="1">
      <c r="A38" s="3784"/>
      <c r="B38" s="3780"/>
      <c r="C38" s="3099" t="s">
        <v>2469</v>
      </c>
      <c r="D38" s="3100"/>
      <c r="E38" s="3101">
        <v>0.6</v>
      </c>
      <c r="F38" s="3098" t="s">
        <v>2470</v>
      </c>
      <c r="G38" s="3098"/>
    </row>
    <row r="39" spans="1:7" ht="19.5" customHeight="1" thickBot="1">
      <c r="A39" s="3785"/>
      <c r="B39" s="3782"/>
      <c r="C39" s="3102" t="s">
        <v>2471</v>
      </c>
      <c r="D39" s="3103"/>
      <c r="E39" s="3104">
        <v>0.6</v>
      </c>
      <c r="F39" s="3098" t="s">
        <v>2472</v>
      </c>
      <c r="G39" s="3098"/>
    </row>
    <row r="40" spans="1:7" ht="19.5" customHeight="1" thickBot="1">
      <c r="A40" s="3105" t="s">
        <v>2604</v>
      </c>
      <c r="B40" s="3106" t="s">
        <v>2604</v>
      </c>
      <c r="C40" s="3107" t="s">
        <v>2628</v>
      </c>
      <c r="D40" s="3108"/>
      <c r="E40" s="3109">
        <v>1</v>
      </c>
      <c r="F40" s="3098" t="s">
        <v>2473</v>
      </c>
      <c r="G40" s="3098"/>
    </row>
    <row r="41" spans="1:7" ht="19.5" customHeight="1">
      <c r="A41" s="3786" t="s">
        <v>2605</v>
      </c>
      <c r="B41" s="3781" t="s">
        <v>2629</v>
      </c>
      <c r="C41" s="3095" t="s">
        <v>2474</v>
      </c>
      <c r="D41" s="3096"/>
      <c r="E41" s="3097">
        <v>1</v>
      </c>
      <c r="F41" s="3098" t="s">
        <v>2475</v>
      </c>
      <c r="G41" s="3098"/>
    </row>
    <row r="42" spans="1:7" ht="19.5" customHeight="1">
      <c r="A42" s="3787"/>
      <c r="B42" s="3780"/>
      <c r="C42" s="3099" t="s">
        <v>2476</v>
      </c>
      <c r="D42" s="3100"/>
      <c r="E42" s="3101">
        <v>1</v>
      </c>
      <c r="F42" s="3098" t="s">
        <v>2477</v>
      </c>
      <c r="G42" s="3098"/>
    </row>
    <row r="43" spans="1:7" ht="19.5" customHeight="1">
      <c r="A43" s="3787"/>
      <c r="B43" s="3779"/>
      <c r="C43" s="3099" t="s">
        <v>2478</v>
      </c>
      <c r="D43" s="3100"/>
      <c r="E43" s="3101">
        <v>1.5</v>
      </c>
      <c r="F43" s="3098" t="s">
        <v>2479</v>
      </c>
      <c r="G43" s="3098"/>
    </row>
    <row r="44" spans="1:7" ht="19.5" customHeight="1">
      <c r="A44" s="3787"/>
      <c r="B44" s="3110" t="s">
        <v>2630</v>
      </c>
      <c r="C44" s="3099" t="s">
        <v>2631</v>
      </c>
      <c r="D44" s="3100"/>
      <c r="E44" s="3101">
        <v>2</v>
      </c>
      <c r="F44" s="3098" t="s">
        <v>2480</v>
      </c>
      <c r="G44" s="3098"/>
    </row>
    <row r="45" spans="1:7" ht="19.5" customHeight="1">
      <c r="A45" s="3787"/>
      <c r="B45" s="3778" t="s">
        <v>2632</v>
      </c>
      <c r="C45" s="3099" t="s">
        <v>2481</v>
      </c>
      <c r="D45" s="3100"/>
      <c r="E45" s="3101">
        <v>1</v>
      </c>
      <c r="F45" s="3098" t="s">
        <v>2482</v>
      </c>
      <c r="G45" s="3098"/>
    </row>
    <row r="46" spans="1:7" ht="19.5" customHeight="1">
      <c r="A46" s="3787"/>
      <c r="B46" s="3780"/>
      <c r="C46" s="3099" t="s">
        <v>2483</v>
      </c>
      <c r="D46" s="3100"/>
      <c r="E46" s="3101">
        <v>1</v>
      </c>
      <c r="F46" s="3098" t="s">
        <v>2484</v>
      </c>
      <c r="G46" s="3098"/>
    </row>
    <row r="47" spans="1:7" ht="19.5" customHeight="1">
      <c r="A47" s="3787"/>
      <c r="B47" s="3780"/>
      <c r="C47" s="3099" t="s">
        <v>2485</v>
      </c>
      <c r="D47" s="3100"/>
      <c r="E47" s="3101">
        <v>1</v>
      </c>
      <c r="F47" s="3098" t="s">
        <v>2486</v>
      </c>
      <c r="G47" s="3098"/>
    </row>
    <row r="48" spans="1:7" ht="19.5" customHeight="1">
      <c r="A48" s="3787"/>
      <c r="B48" s="3780"/>
      <c r="C48" s="3099" t="s">
        <v>2487</v>
      </c>
      <c r="D48" s="3100"/>
      <c r="E48" s="3101">
        <v>1</v>
      </c>
      <c r="F48" s="3098" t="s">
        <v>2488</v>
      </c>
      <c r="G48" s="3098"/>
    </row>
    <row r="49" spans="1:7" ht="19.5" customHeight="1">
      <c r="A49" s="3787"/>
      <c r="B49" s="3780"/>
      <c r="C49" s="3099" t="s">
        <v>2489</v>
      </c>
      <c r="D49" s="3100"/>
      <c r="E49" s="3101">
        <v>1</v>
      </c>
      <c r="F49" s="3098" t="s">
        <v>2490</v>
      </c>
      <c r="G49" s="3098"/>
    </row>
    <row r="50" spans="1:7" ht="19.5" customHeight="1">
      <c r="A50" s="3787"/>
      <c r="B50" s="3780"/>
      <c r="C50" s="3099" t="s">
        <v>2491</v>
      </c>
      <c r="D50" s="3100"/>
      <c r="E50" s="3101">
        <v>1</v>
      </c>
      <c r="F50" s="3098" t="s">
        <v>2492</v>
      </c>
      <c r="G50" s="3098"/>
    </row>
    <row r="51" spans="1:7" ht="19.5" customHeight="1" thickBot="1">
      <c r="A51" s="3788"/>
      <c r="B51" s="3782"/>
      <c r="C51" s="3102" t="s">
        <v>2493</v>
      </c>
      <c r="D51" s="3103"/>
      <c r="E51" s="3104">
        <v>1</v>
      </c>
      <c r="F51" s="3098" t="s">
        <v>2494</v>
      </c>
      <c r="G51" s="3098"/>
    </row>
    <row r="52" spans="1:7" ht="19.5" customHeight="1">
      <c r="A52" s="3111"/>
      <c r="B52" s="3111"/>
      <c r="C52" s="3111"/>
      <c r="D52" s="3111"/>
      <c r="E52" s="3111"/>
      <c r="F52" s="3111"/>
      <c r="G52" s="3111"/>
    </row>
    <row r="54" spans="1:7" ht="19.5" customHeight="1">
      <c r="A54" s="3112"/>
      <c r="B54" s="3084" t="s">
        <v>2633</v>
      </c>
      <c r="C54" s="3084" t="s">
        <v>2633</v>
      </c>
      <c r="D54" s="3084" t="s">
        <v>2633</v>
      </c>
      <c r="E54" s="3087" t="s">
        <v>2633</v>
      </c>
      <c r="F54" s="3087" t="s">
        <v>2634</v>
      </c>
      <c r="G54" s="3087" t="s">
        <v>2635</v>
      </c>
    </row>
    <row r="55" spans="1:7" ht="19.5" customHeight="1">
      <c r="A55" s="3113"/>
      <c r="B55" s="3087" t="s">
        <v>2602</v>
      </c>
      <c r="C55" s="3087" t="s">
        <v>2602</v>
      </c>
      <c r="D55" s="3087" t="s">
        <v>2602</v>
      </c>
      <c r="E55" s="3084" t="s">
        <v>2603</v>
      </c>
      <c r="F55" s="3084" t="s">
        <v>2605</v>
      </c>
      <c r="G55" s="3084" t="s">
        <v>2636</v>
      </c>
    </row>
    <row r="56" spans="1:7" ht="19.5" customHeight="1">
      <c r="A56" s="3114"/>
      <c r="B56" s="3084">
        <v>1</v>
      </c>
      <c r="C56" s="3084">
        <v>2</v>
      </c>
      <c r="D56" s="3084">
        <v>3</v>
      </c>
      <c r="E56" s="3115" t="s">
        <v>2637</v>
      </c>
      <c r="F56" s="3115" t="s">
        <v>2637</v>
      </c>
      <c r="G56" s="3115" t="s">
        <v>2637</v>
      </c>
    </row>
    <row r="57" spans="1:7" ht="19.5" customHeight="1">
      <c r="A57" s="3116" t="s">
        <v>2590</v>
      </c>
      <c r="B57" s="3084">
        <v>0.7</v>
      </c>
      <c r="C57" s="3084">
        <v>0.4</v>
      </c>
      <c r="D57" s="3084">
        <v>0.3</v>
      </c>
      <c r="E57" s="3115">
        <v>0.3</v>
      </c>
      <c r="F57" s="3084">
        <v>0.3</v>
      </c>
      <c r="G57" s="3084">
        <v>0.2</v>
      </c>
    </row>
    <row r="58" spans="1:7" ht="19.5" customHeight="1">
      <c r="A58" s="3116" t="s">
        <v>2591</v>
      </c>
      <c r="B58" s="3084">
        <v>0.7</v>
      </c>
      <c r="C58" s="3084">
        <v>0.4</v>
      </c>
      <c r="D58" s="3084">
        <v>0.3</v>
      </c>
      <c r="E58" s="3084">
        <v>0.3</v>
      </c>
      <c r="F58" s="3084">
        <v>0.3</v>
      </c>
      <c r="G58" s="3084">
        <v>0.2</v>
      </c>
    </row>
    <row r="59" spans="1:7" ht="19.5" customHeight="1">
      <c r="A59" s="3116" t="s">
        <v>2592</v>
      </c>
      <c r="B59" s="3084">
        <v>0.6</v>
      </c>
      <c r="C59" s="3084">
        <v>0.3</v>
      </c>
      <c r="D59" s="3084">
        <v>0.25</v>
      </c>
      <c r="E59" s="3084">
        <v>0.25</v>
      </c>
      <c r="F59" s="3084">
        <v>0.25</v>
      </c>
      <c r="G59" s="3084">
        <v>0.15</v>
      </c>
    </row>
    <row r="60" spans="1:7" ht="19.5" customHeight="1">
      <c r="A60" s="3116" t="s">
        <v>2593</v>
      </c>
      <c r="B60" s="3084">
        <v>0.6</v>
      </c>
      <c r="C60" s="3084">
        <v>0.3</v>
      </c>
      <c r="D60" s="3084">
        <v>0.25</v>
      </c>
      <c r="E60" s="3084">
        <v>0.25</v>
      </c>
      <c r="F60" s="3084">
        <v>0.25</v>
      </c>
      <c r="G60" s="3084">
        <v>0.15</v>
      </c>
    </row>
    <row r="61" spans="1:7" ht="19.5" customHeight="1">
      <c r="A61" s="3116" t="s">
        <v>2594</v>
      </c>
      <c r="B61" s="3084">
        <v>0.6</v>
      </c>
      <c r="C61" s="3084">
        <v>0.3</v>
      </c>
      <c r="D61" s="3084">
        <v>0.25</v>
      </c>
      <c r="E61" s="3084">
        <v>0.25</v>
      </c>
      <c r="F61" s="3084">
        <v>0.25</v>
      </c>
      <c r="G61" s="3084">
        <v>0.15</v>
      </c>
    </row>
    <row r="62" spans="1:7" ht="19.5" customHeight="1">
      <c r="A62" s="3116" t="s">
        <v>2595</v>
      </c>
      <c r="B62" s="3084">
        <v>0.6</v>
      </c>
      <c r="C62" s="3084">
        <v>0.3</v>
      </c>
      <c r="D62" s="3084">
        <v>0.25</v>
      </c>
      <c r="E62" s="3084">
        <v>0.25</v>
      </c>
      <c r="F62" s="3084">
        <v>0.25</v>
      </c>
      <c r="G62" s="3084">
        <v>0.15</v>
      </c>
    </row>
    <row r="63" spans="1:7" ht="19.5" customHeight="1">
      <c r="A63" s="3116" t="s">
        <v>2596</v>
      </c>
      <c r="B63" s="3084">
        <v>0.6</v>
      </c>
      <c r="C63" s="3084">
        <v>0.3</v>
      </c>
      <c r="D63" s="3084">
        <v>0.25</v>
      </c>
      <c r="E63" s="3084">
        <v>0.25</v>
      </c>
      <c r="F63" s="3084">
        <v>0.25</v>
      </c>
      <c r="G63" s="3084">
        <v>0.15</v>
      </c>
    </row>
    <row r="64" spans="1:7" ht="19.5" customHeight="1">
      <c r="A64" s="3116" t="s">
        <v>2597</v>
      </c>
      <c r="B64" s="3084">
        <v>0.5</v>
      </c>
      <c r="C64" s="3084">
        <v>0.2</v>
      </c>
      <c r="D64" s="3084">
        <v>0.2</v>
      </c>
      <c r="E64" s="3084">
        <v>0.2</v>
      </c>
      <c r="F64" s="3084">
        <v>0.2</v>
      </c>
      <c r="G64" s="3084">
        <v>0.1</v>
      </c>
    </row>
    <row r="65" spans="1:7" ht="19.5" customHeight="1">
      <c r="A65" s="3116" t="s">
        <v>2598</v>
      </c>
      <c r="B65" s="3084">
        <v>0.5</v>
      </c>
      <c r="C65" s="3084">
        <v>0.2</v>
      </c>
      <c r="D65" s="3084">
        <v>0.2</v>
      </c>
      <c r="E65" s="3084">
        <v>0.2</v>
      </c>
      <c r="F65" s="3084">
        <v>0.2</v>
      </c>
      <c r="G65" s="3084">
        <v>0.1</v>
      </c>
    </row>
    <row r="66" spans="1:7" ht="19.5" customHeight="1">
      <c r="A66" s="3116" t="s">
        <v>2599</v>
      </c>
      <c r="B66" s="3084">
        <v>0.5</v>
      </c>
      <c r="C66" s="3084">
        <v>0.2</v>
      </c>
      <c r="D66" s="3084">
        <v>0.2</v>
      </c>
      <c r="E66" s="3084">
        <v>0.2</v>
      </c>
      <c r="F66" s="3084">
        <v>0.2</v>
      </c>
      <c r="G66" s="3084">
        <v>0.1</v>
      </c>
    </row>
    <row r="67" spans="1:7" ht="19.5" customHeight="1">
      <c r="A67" s="3116" t="s">
        <v>2600</v>
      </c>
      <c r="B67" s="3084">
        <v>0.5</v>
      </c>
      <c r="C67" s="3084">
        <v>0.2</v>
      </c>
      <c r="D67" s="3084">
        <v>0.2</v>
      </c>
      <c r="E67" s="3084">
        <v>0.2</v>
      </c>
      <c r="F67" s="3084">
        <v>0.2</v>
      </c>
      <c r="G67" s="3084">
        <v>0.1</v>
      </c>
    </row>
    <row r="68" spans="1:7" ht="19.5" customHeight="1">
      <c r="A68" s="3116" t="s">
        <v>2601</v>
      </c>
      <c r="B68" s="3084">
        <v>0.5</v>
      </c>
      <c r="C68" s="3084">
        <v>0.2</v>
      </c>
      <c r="D68" s="3084">
        <v>0.2</v>
      </c>
      <c r="E68" s="3084">
        <v>0.2</v>
      </c>
      <c r="F68" s="3084">
        <v>0.2</v>
      </c>
      <c r="G68" s="3084">
        <v>0.1</v>
      </c>
    </row>
    <row r="70" spans="1:7" ht="19.5" customHeight="1">
      <c r="A70" s="3117"/>
      <c r="B70" s="3118"/>
      <c r="C70" s="3118"/>
      <c r="D70" s="3118" t="s">
        <v>2638</v>
      </c>
      <c r="E70" s="3118"/>
      <c r="F70" s="3118"/>
    </row>
    <row r="71" spans="1:7" ht="19.5" customHeight="1">
      <c r="A71" s="3110" t="s">
        <v>2639</v>
      </c>
      <c r="B71" s="3110" t="s">
        <v>2640</v>
      </c>
      <c r="C71" s="3110" t="s">
        <v>2641</v>
      </c>
      <c r="D71" s="3110" t="s">
        <v>2642</v>
      </c>
      <c r="E71" s="3110" t="s">
        <v>2643</v>
      </c>
      <c r="F71" s="3110" t="s">
        <v>2644</v>
      </c>
    </row>
    <row r="72" spans="1:7" ht="13.5">
      <c r="A72" s="3110"/>
      <c r="B72" s="3110"/>
      <c r="C72" s="3110" t="s">
        <v>2645</v>
      </c>
      <c r="D72" s="3110"/>
      <c r="E72" s="3110" t="s">
        <v>2616</v>
      </c>
      <c r="F72" s="3110" t="s">
        <v>2616</v>
      </c>
    </row>
    <row r="73" spans="1:7" ht="13.5">
      <c r="A73" s="3110">
        <v>1</v>
      </c>
      <c r="B73" s="3778" t="s">
        <v>2646</v>
      </c>
      <c r="C73" s="3084" t="s">
        <v>2647</v>
      </c>
      <c r="D73" s="3084" t="s">
        <v>2648</v>
      </c>
      <c r="E73" s="3110">
        <v>0.2</v>
      </c>
      <c r="F73" s="3110">
        <v>25</v>
      </c>
    </row>
    <row r="74" spans="1:7" ht="24">
      <c r="A74" s="3110">
        <v>2</v>
      </c>
      <c r="B74" s="3780"/>
      <c r="C74" s="3084" t="s">
        <v>2649</v>
      </c>
      <c r="D74" s="3084" t="s">
        <v>2650</v>
      </c>
      <c r="E74" s="3110">
        <v>0.2</v>
      </c>
      <c r="F74" s="3110">
        <v>25</v>
      </c>
    </row>
    <row r="75" spans="1:7" ht="24">
      <c r="A75" s="3110">
        <v>3</v>
      </c>
      <c r="B75" s="3780"/>
      <c r="C75" s="3084" t="s">
        <v>2651</v>
      </c>
      <c r="D75" s="3084" t="s">
        <v>2652</v>
      </c>
      <c r="E75" s="3110">
        <v>0.2</v>
      </c>
      <c r="F75" s="3110">
        <v>25</v>
      </c>
    </row>
    <row r="76" spans="1:7" ht="13.5">
      <c r="A76" s="3110">
        <v>4</v>
      </c>
      <c r="B76" s="3780"/>
      <c r="C76" s="3084" t="s">
        <v>2653</v>
      </c>
      <c r="D76" s="3084" t="s">
        <v>2654</v>
      </c>
      <c r="E76" s="3110">
        <v>0.15</v>
      </c>
      <c r="F76" s="3110">
        <v>20</v>
      </c>
    </row>
    <row r="77" spans="1:7" ht="24">
      <c r="A77" s="3110">
        <v>5</v>
      </c>
      <c r="B77" s="3780"/>
      <c r="C77" s="3084" t="s">
        <v>2655</v>
      </c>
      <c r="D77" s="3084" t="s">
        <v>2656</v>
      </c>
      <c r="E77" s="3110">
        <v>0.15</v>
      </c>
      <c r="F77" s="3110">
        <v>20</v>
      </c>
    </row>
    <row r="78" spans="1:7" ht="24">
      <c r="A78" s="3110">
        <v>6</v>
      </c>
      <c r="B78" s="3780"/>
      <c r="C78" s="3084" t="s">
        <v>2657</v>
      </c>
      <c r="D78" s="3084" t="s">
        <v>2658</v>
      </c>
      <c r="E78" s="3110">
        <v>0.15</v>
      </c>
      <c r="F78" s="3110">
        <v>20</v>
      </c>
    </row>
    <row r="79" spans="1:7" ht="24">
      <c r="A79" s="3110">
        <v>7</v>
      </c>
      <c r="B79" s="3780"/>
      <c r="C79" s="3084" t="s">
        <v>2659</v>
      </c>
      <c r="D79" s="3084" t="s">
        <v>2660</v>
      </c>
      <c r="E79" s="3110">
        <v>0.15</v>
      </c>
      <c r="F79" s="3110">
        <v>20</v>
      </c>
    </row>
    <row r="80" spans="1:7" ht="24">
      <c r="A80" s="3110">
        <v>8</v>
      </c>
      <c r="B80" s="3780"/>
      <c r="C80" s="3084" t="s">
        <v>2661</v>
      </c>
      <c r="D80" s="3084" t="s">
        <v>2662</v>
      </c>
      <c r="E80" s="3110">
        <v>0.1</v>
      </c>
      <c r="F80" s="3110">
        <v>15</v>
      </c>
    </row>
    <row r="81" spans="1:6" ht="24">
      <c r="A81" s="3110">
        <v>9</v>
      </c>
      <c r="B81" s="3780"/>
      <c r="C81" s="3084" t="s">
        <v>2663</v>
      </c>
      <c r="D81" s="3084" t="s">
        <v>2664</v>
      </c>
      <c r="E81" s="3110">
        <v>0.1</v>
      </c>
      <c r="F81" s="3110">
        <v>15</v>
      </c>
    </row>
    <row r="82" spans="1:6" ht="24">
      <c r="A82" s="3110">
        <v>10</v>
      </c>
      <c r="B82" s="3780"/>
      <c r="C82" s="3084" t="s">
        <v>2665</v>
      </c>
      <c r="D82" s="3084" t="s">
        <v>2666</v>
      </c>
      <c r="E82" s="3110">
        <v>0.1</v>
      </c>
      <c r="F82" s="3110">
        <v>15</v>
      </c>
    </row>
    <row r="83" spans="1:6" ht="24">
      <c r="A83" s="3110">
        <v>11</v>
      </c>
      <c r="B83" s="3780"/>
      <c r="C83" s="3084" t="s">
        <v>2667</v>
      </c>
      <c r="D83" s="3084" t="s">
        <v>2668</v>
      </c>
      <c r="E83" s="3110">
        <v>0.1</v>
      </c>
      <c r="F83" s="3110">
        <v>15</v>
      </c>
    </row>
    <row r="84" spans="1:6" ht="24">
      <c r="A84" s="3110">
        <v>12</v>
      </c>
      <c r="B84" s="3780"/>
      <c r="C84" s="3084" t="s">
        <v>2669</v>
      </c>
      <c r="D84" s="3084" t="s">
        <v>2670</v>
      </c>
      <c r="E84" s="3110">
        <v>0.1</v>
      </c>
      <c r="F84" s="3110">
        <v>15</v>
      </c>
    </row>
    <row r="85" spans="1:6" ht="13.5">
      <c r="A85" s="3110">
        <v>13</v>
      </c>
      <c r="B85" s="3780"/>
      <c r="C85" s="3084" t="s">
        <v>2671</v>
      </c>
      <c r="D85" s="3084" t="s">
        <v>2672</v>
      </c>
      <c r="E85" s="3110">
        <v>0.1</v>
      </c>
      <c r="F85" s="3110">
        <v>15</v>
      </c>
    </row>
    <row r="86" spans="1:6" ht="13.5">
      <c r="A86" s="3110">
        <v>14</v>
      </c>
      <c r="B86" s="3780"/>
      <c r="C86" s="3084" t="s">
        <v>2673</v>
      </c>
      <c r="D86" s="3084" t="s">
        <v>2674</v>
      </c>
      <c r="E86" s="3110">
        <v>0.1</v>
      </c>
      <c r="F86" s="3110">
        <v>15</v>
      </c>
    </row>
    <row r="87" spans="1:6" ht="13.5">
      <c r="A87" s="3110">
        <v>15</v>
      </c>
      <c r="B87" s="3780"/>
      <c r="C87" s="3084" t="s">
        <v>2675</v>
      </c>
      <c r="D87" s="3084" t="s">
        <v>2676</v>
      </c>
      <c r="E87" s="3110">
        <v>0.1</v>
      </c>
      <c r="F87" s="3110">
        <v>15</v>
      </c>
    </row>
    <row r="88" spans="1:6" ht="24">
      <c r="A88" s="3110">
        <v>16</v>
      </c>
      <c r="B88" s="3780"/>
      <c r="C88" s="3084" t="s">
        <v>2677</v>
      </c>
      <c r="D88" s="3084" t="s">
        <v>2678</v>
      </c>
      <c r="E88" s="3110">
        <v>0.1</v>
      </c>
      <c r="F88" s="3110">
        <v>15</v>
      </c>
    </row>
    <row r="89" spans="1:6" ht="24">
      <c r="A89" s="3110">
        <v>17</v>
      </c>
      <c r="B89" s="3779"/>
      <c r="C89" s="3084" t="s">
        <v>2679</v>
      </c>
      <c r="D89" s="3084" t="s">
        <v>2680</v>
      </c>
      <c r="E89" s="3110">
        <v>0.1</v>
      </c>
      <c r="F89" s="3110">
        <v>15</v>
      </c>
    </row>
    <row r="90" spans="1:6" ht="13.5">
      <c r="A90" s="3110">
        <v>18</v>
      </c>
      <c r="B90" s="3778" t="s">
        <v>2681</v>
      </c>
      <c r="C90" s="3084" t="s">
        <v>2682</v>
      </c>
      <c r="D90" s="3084" t="s">
        <v>2683</v>
      </c>
      <c r="E90" s="3110">
        <v>0.2</v>
      </c>
      <c r="F90" s="3110">
        <v>25</v>
      </c>
    </row>
    <row r="91" spans="1:6" ht="24">
      <c r="A91" s="3110">
        <v>19</v>
      </c>
      <c r="B91" s="3780"/>
      <c r="C91" s="3084" t="s">
        <v>2684</v>
      </c>
      <c r="D91" s="3084" t="s">
        <v>2685</v>
      </c>
      <c r="E91" s="3110">
        <v>0.2</v>
      </c>
      <c r="F91" s="3110">
        <v>25</v>
      </c>
    </row>
    <row r="92" spans="1:6" ht="13.5">
      <c r="A92" s="3110">
        <v>20</v>
      </c>
      <c r="B92" s="3780"/>
      <c r="C92" s="3084" t="s">
        <v>2686</v>
      </c>
      <c r="D92" s="3084" t="s">
        <v>2687</v>
      </c>
      <c r="E92" s="3110">
        <v>0.15</v>
      </c>
      <c r="F92" s="3110">
        <v>20</v>
      </c>
    </row>
    <row r="93" spans="1:6" ht="13.5">
      <c r="A93" s="3110">
        <v>21</v>
      </c>
      <c r="B93" s="3780"/>
      <c r="C93" s="3084" t="s">
        <v>2688</v>
      </c>
      <c r="D93" s="3084" t="s">
        <v>2689</v>
      </c>
      <c r="E93" s="3110">
        <v>0.15</v>
      </c>
      <c r="F93" s="3110">
        <v>20</v>
      </c>
    </row>
    <row r="94" spans="1:6" ht="13.5">
      <c r="A94" s="3110">
        <v>22</v>
      </c>
      <c r="B94" s="3780"/>
      <c r="C94" s="3084" t="s">
        <v>2690</v>
      </c>
      <c r="D94" s="3084" t="s">
        <v>2691</v>
      </c>
      <c r="E94" s="3110">
        <v>0.15</v>
      </c>
      <c r="F94" s="3110">
        <v>20</v>
      </c>
    </row>
    <row r="95" spans="1:6" ht="36">
      <c r="A95" s="3110">
        <v>23</v>
      </c>
      <c r="B95" s="3780"/>
      <c r="C95" s="3084" t="s">
        <v>2692</v>
      </c>
      <c r="D95" s="3084" t="s">
        <v>2693</v>
      </c>
      <c r="E95" s="3110">
        <v>0.15</v>
      </c>
      <c r="F95" s="3110">
        <v>20</v>
      </c>
    </row>
    <row r="96" spans="1:6" ht="13.5">
      <c r="A96" s="3110">
        <v>24</v>
      </c>
      <c r="B96" s="3780"/>
      <c r="C96" s="3084" t="s">
        <v>2694</v>
      </c>
      <c r="D96" s="3084" t="s">
        <v>2695</v>
      </c>
      <c r="E96" s="3110">
        <v>0.1</v>
      </c>
      <c r="F96" s="3110">
        <v>15</v>
      </c>
    </row>
    <row r="97" spans="1:6" ht="13.5">
      <c r="A97" s="3110">
        <v>25</v>
      </c>
      <c r="B97" s="3780"/>
      <c r="C97" s="3084" t="s">
        <v>2696</v>
      </c>
      <c r="D97" s="3084" t="s">
        <v>2697</v>
      </c>
      <c r="E97" s="3110">
        <v>0.1</v>
      </c>
      <c r="F97" s="3110">
        <v>15</v>
      </c>
    </row>
    <row r="98" spans="1:6" ht="24">
      <c r="A98" s="3110">
        <v>26</v>
      </c>
      <c r="B98" s="3780"/>
      <c r="C98" s="3084" t="s">
        <v>2698</v>
      </c>
      <c r="D98" s="3084" t="s">
        <v>2699</v>
      </c>
      <c r="E98" s="3110">
        <v>0.1</v>
      </c>
      <c r="F98" s="3110">
        <v>15</v>
      </c>
    </row>
    <row r="99" spans="1:6" ht="24">
      <c r="A99" s="3110">
        <v>27</v>
      </c>
      <c r="B99" s="3780"/>
      <c r="C99" s="3084" t="s">
        <v>2700</v>
      </c>
      <c r="D99" s="3084" t="s">
        <v>2701</v>
      </c>
      <c r="E99" s="3110">
        <v>0.1</v>
      </c>
      <c r="F99" s="3110">
        <v>15</v>
      </c>
    </row>
    <row r="100" spans="1:6" ht="13.5">
      <c r="A100" s="3110">
        <v>28</v>
      </c>
      <c r="B100" s="3780"/>
      <c r="C100" s="3084" t="s">
        <v>2702</v>
      </c>
      <c r="D100" s="3084" t="s">
        <v>2703</v>
      </c>
      <c r="E100" s="3110">
        <v>0.1</v>
      </c>
      <c r="F100" s="3110">
        <v>15</v>
      </c>
    </row>
    <row r="101" spans="1:6" ht="13.5">
      <c r="A101" s="3110">
        <v>29</v>
      </c>
      <c r="B101" s="3780"/>
      <c r="C101" s="3084" t="s">
        <v>2704</v>
      </c>
      <c r="D101" s="3084" t="s">
        <v>2705</v>
      </c>
      <c r="E101" s="3110">
        <v>0.1</v>
      </c>
      <c r="F101" s="3110">
        <v>15</v>
      </c>
    </row>
    <row r="102" spans="1:6" ht="13.5">
      <c r="A102" s="3110">
        <v>30</v>
      </c>
      <c r="B102" s="3780"/>
      <c r="C102" s="3084" t="s">
        <v>2706</v>
      </c>
      <c r="D102" s="3084" t="s">
        <v>2707</v>
      </c>
      <c r="E102" s="3110">
        <v>0.1</v>
      </c>
      <c r="F102" s="3110">
        <v>15</v>
      </c>
    </row>
    <row r="103" spans="1:6" ht="24">
      <c r="A103" s="3110">
        <v>31</v>
      </c>
      <c r="B103" s="3780"/>
      <c r="C103" s="3084" t="s">
        <v>2708</v>
      </c>
      <c r="D103" s="3084" t="s">
        <v>2709</v>
      </c>
      <c r="E103" s="3110">
        <v>0.1</v>
      </c>
      <c r="F103" s="3110">
        <v>15</v>
      </c>
    </row>
    <row r="104" spans="1:6" ht="24">
      <c r="A104" s="3110">
        <v>32</v>
      </c>
      <c r="B104" s="3780"/>
      <c r="C104" s="3084" t="s">
        <v>2710</v>
      </c>
      <c r="D104" s="3084" t="s">
        <v>2711</v>
      </c>
      <c r="E104" s="3110">
        <v>0.1</v>
      </c>
      <c r="F104" s="3110">
        <v>15</v>
      </c>
    </row>
    <row r="105" spans="1:6" ht="24">
      <c r="A105" s="3110">
        <v>33</v>
      </c>
      <c r="B105" s="3780"/>
      <c r="C105" s="3084" t="s">
        <v>2712</v>
      </c>
      <c r="D105" s="3084" t="s">
        <v>2713</v>
      </c>
      <c r="E105" s="3110">
        <v>0.1</v>
      </c>
      <c r="F105" s="3110">
        <v>15</v>
      </c>
    </row>
    <row r="106" spans="1:6" ht="24">
      <c r="A106" s="3110">
        <v>34</v>
      </c>
      <c r="B106" s="3779"/>
      <c r="C106" s="3084" t="s">
        <v>2714</v>
      </c>
      <c r="D106" s="3084" t="s">
        <v>2715</v>
      </c>
      <c r="E106" s="3110">
        <v>0.1</v>
      </c>
      <c r="F106" s="3110">
        <v>15</v>
      </c>
    </row>
    <row r="107" spans="1:6" ht="24">
      <c r="A107" s="3110">
        <v>35</v>
      </c>
      <c r="B107" s="3778" t="s">
        <v>2716</v>
      </c>
      <c r="C107" s="3110" t="s">
        <v>2717</v>
      </c>
      <c r="D107" s="3084" t="s">
        <v>2718</v>
      </c>
      <c r="E107" s="3110">
        <v>0.15</v>
      </c>
      <c r="F107" s="3110">
        <v>20</v>
      </c>
    </row>
    <row r="108" spans="1:6" ht="13.5">
      <c r="A108" s="3110">
        <v>36</v>
      </c>
      <c r="B108" s="3780"/>
      <c r="C108" s="3110" t="s">
        <v>2719</v>
      </c>
      <c r="D108" s="3084" t="s">
        <v>2720</v>
      </c>
      <c r="E108" s="3110">
        <v>0.15</v>
      </c>
      <c r="F108" s="3110">
        <v>20</v>
      </c>
    </row>
    <row r="109" spans="1:6" ht="13.5">
      <c r="A109" s="3110">
        <v>37</v>
      </c>
      <c r="B109" s="3780"/>
      <c r="C109" s="3110" t="s">
        <v>2721</v>
      </c>
      <c r="D109" s="3084" t="s">
        <v>2722</v>
      </c>
      <c r="E109" s="3110">
        <v>0.15</v>
      </c>
      <c r="F109" s="3110">
        <v>20</v>
      </c>
    </row>
    <row r="110" spans="1:6" ht="13.5">
      <c r="A110" s="3110">
        <v>38</v>
      </c>
      <c r="B110" s="3780"/>
      <c r="C110" s="3110" t="s">
        <v>2723</v>
      </c>
      <c r="D110" s="3084" t="s">
        <v>2724</v>
      </c>
      <c r="E110" s="3110">
        <v>0.1</v>
      </c>
      <c r="F110" s="3110">
        <v>15</v>
      </c>
    </row>
    <row r="111" spans="1:6" ht="24">
      <c r="A111" s="3110">
        <v>39</v>
      </c>
      <c r="B111" s="3780"/>
      <c r="C111" s="3110" t="s">
        <v>2725</v>
      </c>
      <c r="D111" s="3084" t="s">
        <v>2726</v>
      </c>
      <c r="E111" s="3110">
        <v>0.1</v>
      </c>
      <c r="F111" s="3110">
        <v>15</v>
      </c>
    </row>
    <row r="112" spans="1:6" ht="24">
      <c r="A112" s="3110">
        <v>40</v>
      </c>
      <c r="B112" s="3779"/>
      <c r="C112" s="3110" t="s">
        <v>2727</v>
      </c>
      <c r="D112" s="3084" t="s">
        <v>2728</v>
      </c>
      <c r="E112" s="3110">
        <v>0.1</v>
      </c>
      <c r="F112" s="3110">
        <v>15</v>
      </c>
    </row>
    <row r="113" spans="1:6" ht="13.5">
      <c r="A113" s="3110">
        <v>41</v>
      </c>
      <c r="B113" s="3777" t="s">
        <v>2729</v>
      </c>
      <c r="C113" s="3110" t="s">
        <v>2730</v>
      </c>
      <c r="D113" s="3084" t="s">
        <v>2731</v>
      </c>
      <c r="E113" s="3110">
        <v>0.1</v>
      </c>
      <c r="F113" s="3110">
        <v>15</v>
      </c>
    </row>
    <row r="114" spans="1:6" ht="13.5">
      <c r="A114" s="3110">
        <v>42</v>
      </c>
      <c r="B114" s="3777"/>
      <c r="C114" s="3110" t="s">
        <v>2732</v>
      </c>
      <c r="D114" s="3084" t="s">
        <v>2733</v>
      </c>
      <c r="E114" s="3110">
        <v>0.1</v>
      </c>
      <c r="F114" s="3110">
        <v>15</v>
      </c>
    </row>
    <row r="115" spans="1:6" ht="24">
      <c r="A115" s="3110">
        <v>43</v>
      </c>
      <c r="B115" s="3777"/>
      <c r="C115" s="3110" t="s">
        <v>2734</v>
      </c>
      <c r="D115" s="3084" t="s">
        <v>2735</v>
      </c>
      <c r="E115" s="3110">
        <v>0.1</v>
      </c>
      <c r="F115" s="3110">
        <v>15</v>
      </c>
    </row>
    <row r="116" spans="1:6" ht="13.5">
      <c r="A116" s="3110">
        <v>44</v>
      </c>
      <c r="B116" s="3778" t="s">
        <v>2736</v>
      </c>
      <c r="C116" s="3110" t="s">
        <v>2737</v>
      </c>
      <c r="D116" s="3084" t="s">
        <v>2738</v>
      </c>
      <c r="E116" s="3110">
        <v>0.1</v>
      </c>
      <c r="F116" s="3110">
        <v>15</v>
      </c>
    </row>
    <row r="117" spans="1:6" ht="24">
      <c r="A117" s="3110">
        <v>45</v>
      </c>
      <c r="B117" s="3779"/>
      <c r="C117" s="3084" t="s">
        <v>2739</v>
      </c>
      <c r="D117" s="3084" t="s">
        <v>2740</v>
      </c>
      <c r="E117" s="3110">
        <v>0.1</v>
      </c>
      <c r="F117" s="3110">
        <v>15</v>
      </c>
    </row>
    <row r="118" spans="1:6" ht="24">
      <c r="A118" s="3110">
        <v>46</v>
      </c>
      <c r="B118" s="3778" t="s">
        <v>2741</v>
      </c>
      <c r="C118" s="3110" t="s">
        <v>2742</v>
      </c>
      <c r="D118" s="3084" t="s">
        <v>2743</v>
      </c>
      <c r="E118" s="3110">
        <v>0.1</v>
      </c>
      <c r="F118" s="3110">
        <v>15</v>
      </c>
    </row>
    <row r="119" spans="1:6" ht="24">
      <c r="A119" s="3110">
        <v>47</v>
      </c>
      <c r="B119" s="3779"/>
      <c r="C119" s="3110" t="s">
        <v>2744</v>
      </c>
      <c r="D119" s="3084" t="s">
        <v>2745</v>
      </c>
      <c r="E119" s="3110">
        <v>0.1</v>
      </c>
      <c r="F119" s="3110">
        <v>15</v>
      </c>
    </row>
    <row r="120" spans="1:6" ht="13.5">
      <c r="A120" s="3110">
        <v>48</v>
      </c>
      <c r="B120" s="3778" t="s">
        <v>2746</v>
      </c>
      <c r="C120" s="3110" t="s">
        <v>2747</v>
      </c>
      <c r="D120" s="3084" t="s">
        <v>2748</v>
      </c>
      <c r="E120" s="3110">
        <v>0.1</v>
      </c>
      <c r="F120" s="3110">
        <v>15</v>
      </c>
    </row>
    <row r="121" spans="1:6" ht="13.5">
      <c r="A121" s="3110">
        <v>49</v>
      </c>
      <c r="B121" s="3779"/>
      <c r="C121" s="3110" t="s">
        <v>2749</v>
      </c>
      <c r="D121" s="3084" t="s">
        <v>2750</v>
      </c>
      <c r="E121" s="3110">
        <v>0.1</v>
      </c>
      <c r="F121" s="3110">
        <v>15</v>
      </c>
    </row>
    <row r="122" spans="1:6" ht="24">
      <c r="A122" s="3110">
        <v>50</v>
      </c>
      <c r="B122" s="3777" t="s">
        <v>2751</v>
      </c>
      <c r="C122" s="3110" t="s">
        <v>2752</v>
      </c>
      <c r="D122" s="3084" t="s">
        <v>2753</v>
      </c>
      <c r="E122" s="3110">
        <v>0.1</v>
      </c>
      <c r="F122" s="3110">
        <v>15</v>
      </c>
    </row>
    <row r="123" spans="1:6" ht="24">
      <c r="A123" s="3110">
        <v>51</v>
      </c>
      <c r="B123" s="3777"/>
      <c r="C123" s="3110" t="s">
        <v>2754</v>
      </c>
      <c r="D123" s="3084" t="s">
        <v>2755</v>
      </c>
      <c r="E123" s="3110">
        <v>0.1</v>
      </c>
      <c r="F123" s="3110">
        <v>15</v>
      </c>
    </row>
    <row r="124" spans="1:6" ht="24">
      <c r="A124" s="3110">
        <v>52</v>
      </c>
      <c r="B124" s="3777" t="s">
        <v>2756</v>
      </c>
      <c r="C124" s="3110" t="s">
        <v>2757</v>
      </c>
      <c r="D124" s="3084" t="s">
        <v>2758</v>
      </c>
      <c r="E124" s="3110">
        <v>0.1</v>
      </c>
      <c r="F124" s="3110">
        <v>15</v>
      </c>
    </row>
    <row r="125" spans="1:6" ht="24">
      <c r="A125" s="3110">
        <v>53</v>
      </c>
      <c r="B125" s="3777"/>
      <c r="C125" s="3110" t="s">
        <v>2759</v>
      </c>
      <c r="D125" s="3084" t="s">
        <v>2760</v>
      </c>
      <c r="E125" s="3110">
        <v>0.1</v>
      </c>
      <c r="F125" s="3110">
        <v>15</v>
      </c>
    </row>
    <row r="126" spans="1:6" ht="13.5">
      <c r="A126" s="3110">
        <v>54</v>
      </c>
      <c r="B126" s="3110" t="s">
        <v>2761</v>
      </c>
      <c r="C126" s="3110" t="s">
        <v>2762</v>
      </c>
      <c r="D126" s="3084" t="s">
        <v>2763</v>
      </c>
      <c r="E126" s="3110">
        <v>0.1</v>
      </c>
      <c r="F126" s="3110">
        <v>15</v>
      </c>
    </row>
    <row r="127" spans="1:6" ht="13.5">
      <c r="A127" s="3110">
        <v>55</v>
      </c>
      <c r="B127" s="3777" t="s">
        <v>2764</v>
      </c>
      <c r="C127" s="3110" t="s">
        <v>2765</v>
      </c>
      <c r="D127" s="3084" t="s">
        <v>2766</v>
      </c>
      <c r="E127" s="3110">
        <v>0.1</v>
      </c>
      <c r="F127" s="3110">
        <v>15</v>
      </c>
    </row>
    <row r="128" spans="1:6" ht="13.5">
      <c r="A128" s="3110">
        <v>56</v>
      </c>
      <c r="B128" s="3777"/>
      <c r="C128" s="3110" t="s">
        <v>2767</v>
      </c>
      <c r="D128" s="3084" t="s">
        <v>2768</v>
      </c>
      <c r="E128" s="3110">
        <v>0.1</v>
      </c>
      <c r="F128" s="3110">
        <v>15</v>
      </c>
    </row>
    <row r="129" spans="1:6" ht="24">
      <c r="A129" s="3110">
        <v>57</v>
      </c>
      <c r="B129" s="3777"/>
      <c r="C129" s="3110" t="s">
        <v>2769</v>
      </c>
      <c r="D129" s="3084" t="s">
        <v>2770</v>
      </c>
      <c r="E129" s="3110">
        <v>0.1</v>
      </c>
      <c r="F129" s="3110">
        <v>15</v>
      </c>
    </row>
    <row r="130" spans="1:6" ht="24">
      <c r="A130" s="3110">
        <v>58</v>
      </c>
      <c r="B130" s="3777" t="s">
        <v>2771</v>
      </c>
      <c r="C130" s="3110" t="s">
        <v>2772</v>
      </c>
      <c r="D130" s="3084" t="s">
        <v>2773</v>
      </c>
      <c r="E130" s="3110">
        <v>0.1</v>
      </c>
      <c r="F130" s="3110">
        <v>15</v>
      </c>
    </row>
    <row r="131" spans="1:6" ht="13.5">
      <c r="A131" s="3110">
        <v>59</v>
      </c>
      <c r="B131" s="3777"/>
      <c r="C131" s="3110" t="s">
        <v>2774</v>
      </c>
      <c r="D131" s="3084" t="s">
        <v>2775</v>
      </c>
      <c r="E131" s="3110">
        <v>0.1</v>
      </c>
      <c r="F131" s="3110">
        <v>15</v>
      </c>
    </row>
    <row r="132" spans="1:6" ht="13.5">
      <c r="A132" s="3110">
        <v>60</v>
      </c>
      <c r="B132" s="3778" t="s">
        <v>2776</v>
      </c>
      <c r="C132" s="3110" t="s">
        <v>2777</v>
      </c>
      <c r="D132" s="3084" t="s">
        <v>2778</v>
      </c>
      <c r="E132" s="3110">
        <v>0.1</v>
      </c>
      <c r="F132" s="3110">
        <v>15</v>
      </c>
    </row>
    <row r="133" spans="1:6" ht="13.5">
      <c r="A133" s="3110">
        <v>61</v>
      </c>
      <c r="B133" s="3779"/>
      <c r="C133" s="3110" t="s">
        <v>2779</v>
      </c>
      <c r="D133" s="3084" t="s">
        <v>2780</v>
      </c>
      <c r="E133" s="3110">
        <v>0.1</v>
      </c>
      <c r="F133" s="3110">
        <v>15</v>
      </c>
    </row>
    <row r="134" spans="1:6" ht="24">
      <c r="A134" s="3110">
        <v>62</v>
      </c>
      <c r="B134" s="3110" t="s">
        <v>2781</v>
      </c>
      <c r="C134" s="3110" t="s">
        <v>2782</v>
      </c>
      <c r="D134" s="3084" t="s">
        <v>2783</v>
      </c>
      <c r="E134" s="3110">
        <v>0.1</v>
      </c>
      <c r="F134" s="3110">
        <v>15</v>
      </c>
    </row>
    <row r="135" spans="1:6" ht="13.5">
      <c r="A135" s="3110">
        <v>63</v>
      </c>
      <c r="B135" s="3777" t="s">
        <v>2784</v>
      </c>
      <c r="C135" s="3110" t="s">
        <v>2785</v>
      </c>
      <c r="D135" s="3084" t="s">
        <v>2786</v>
      </c>
      <c r="E135" s="3110">
        <v>0.1</v>
      </c>
      <c r="F135" s="3110">
        <v>15</v>
      </c>
    </row>
    <row r="136" spans="1:6" ht="13.5">
      <c r="A136" s="3110">
        <v>64</v>
      </c>
      <c r="B136" s="3777"/>
      <c r="C136" s="3110" t="s">
        <v>2787</v>
      </c>
      <c r="D136" s="3084" t="s">
        <v>2788</v>
      </c>
      <c r="E136" s="3110">
        <v>0.1</v>
      </c>
      <c r="F136" s="3110">
        <v>15</v>
      </c>
    </row>
    <row r="137" spans="1:6" ht="13.5">
      <c r="A137" s="3110">
        <v>65</v>
      </c>
      <c r="B137" s="3110" t="s">
        <v>2789</v>
      </c>
      <c r="C137" s="3110" t="s">
        <v>2790</v>
      </c>
      <c r="D137" s="3084" t="s">
        <v>2791</v>
      </c>
      <c r="E137" s="3110">
        <v>0.1</v>
      </c>
      <c r="F137" s="3110">
        <v>15</v>
      </c>
    </row>
    <row r="138" spans="1:6" ht="13.5">
      <c r="A138" s="3110"/>
      <c r="B138" s="3110"/>
      <c r="C138" s="3110"/>
      <c r="D138" s="3110"/>
      <c r="E138" s="3110" t="s">
        <v>2792</v>
      </c>
      <c r="F138" s="3110"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2793</v>
      </c>
      <c r="B1" s="3119"/>
      <c r="C1" s="3119"/>
      <c r="D1" s="3119"/>
      <c r="E1" s="3119"/>
      <c r="F1" s="3119"/>
      <c r="G1" s="3119"/>
      <c r="H1" s="3119"/>
      <c r="I1" s="3119"/>
      <c r="J1" s="3119"/>
      <c r="K1" s="3119"/>
      <c r="L1" s="3119"/>
      <c r="M1" s="3119"/>
      <c r="N1" s="749"/>
    </row>
    <row r="2" spans="1:20">
      <c r="A2" s="3120" t="s">
        <v>2794</v>
      </c>
      <c r="B2" s="3121" t="s">
        <v>2590</v>
      </c>
      <c r="C2" s="3121" t="s">
        <v>2591</v>
      </c>
      <c r="D2" s="3121" t="s">
        <v>2592</v>
      </c>
      <c r="E2" s="3121" t="s">
        <v>2593</v>
      </c>
      <c r="F2" s="3121" t="s">
        <v>2594</v>
      </c>
      <c r="G2" s="3121" t="s">
        <v>2595</v>
      </c>
      <c r="H2" s="3122" t="s">
        <v>2596</v>
      </c>
      <c r="I2" s="3122" t="s">
        <v>2597</v>
      </c>
      <c r="J2" s="3123" t="s">
        <v>2598</v>
      </c>
      <c r="K2" s="3123" t="s">
        <v>2599</v>
      </c>
      <c r="L2" s="3123" t="s">
        <v>2600</v>
      </c>
      <c r="M2" s="3124" t="s">
        <v>2601</v>
      </c>
      <c r="Q2" s="3134" t="s">
        <v>2799</v>
      </c>
      <c r="R2" s="3134" t="s">
        <v>2800</v>
      </c>
      <c r="S2" s="3134" t="s">
        <v>2801</v>
      </c>
      <c r="T2" s="3134" t="s">
        <v>2802</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2795</v>
      </c>
      <c r="B93" s="3119"/>
      <c r="C93" s="3119"/>
      <c r="D93" s="3119"/>
      <c r="E93" s="3119"/>
      <c r="F93" s="3119"/>
      <c r="G93" s="3119"/>
      <c r="H93" s="3119"/>
      <c r="I93" s="3119"/>
      <c r="J93" s="3119"/>
      <c r="K93" s="3119"/>
      <c r="L93" s="3119"/>
      <c r="M93" s="3119"/>
    </row>
    <row r="94" spans="1:20">
      <c r="A94" s="3120" t="s">
        <v>2794</v>
      </c>
      <c r="B94" s="3121" t="s">
        <v>2590</v>
      </c>
      <c r="C94" s="3121" t="s">
        <v>2591</v>
      </c>
      <c r="D94" s="3121" t="s">
        <v>2592</v>
      </c>
      <c r="E94" s="3121" t="s">
        <v>2593</v>
      </c>
      <c r="F94" s="3121" t="s">
        <v>2594</v>
      </c>
      <c r="G94" s="3121" t="s">
        <v>2595</v>
      </c>
      <c r="H94" s="3122" t="s">
        <v>2596</v>
      </c>
      <c r="I94" s="3122" t="s">
        <v>2597</v>
      </c>
      <c r="J94" s="3123" t="s">
        <v>2598</v>
      </c>
      <c r="K94" s="3123" t="s">
        <v>2599</v>
      </c>
      <c r="L94" s="3123" t="s">
        <v>2600</v>
      </c>
      <c r="M94" s="3124" t="s">
        <v>2601</v>
      </c>
      <c r="N94" s="750">
        <f>SUMPRODUCT((A95:A184=ROUNDDOWN(基准地价修正!G3,1))*(B94:M94=基准地价修正!G2)*(B95:M184))</f>
        <v>0.92520000000000002</v>
      </c>
      <c r="Q94" s="3134" t="s">
        <v>2799</v>
      </c>
      <c r="R94" s="3134" t="s">
        <v>2800</v>
      </c>
      <c r="S94" s="3134" t="s">
        <v>2801</v>
      </c>
      <c r="T94" s="3134" t="s">
        <v>2802</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2796</v>
      </c>
      <c r="B185" s="3119"/>
      <c r="C185" s="3119"/>
      <c r="D185" s="3119"/>
      <c r="E185" s="3119"/>
      <c r="F185" s="3119"/>
      <c r="G185" s="3119"/>
      <c r="H185" s="3119"/>
      <c r="I185" s="3119"/>
      <c r="J185" s="3119"/>
      <c r="K185" s="3119"/>
      <c r="L185" s="3119"/>
      <c r="M185" s="3119"/>
    </row>
    <row r="186" spans="1:20">
      <c r="A186" s="3120" t="s">
        <v>2794</v>
      </c>
      <c r="B186" s="3121" t="s">
        <v>2590</v>
      </c>
      <c r="C186" s="3121" t="s">
        <v>2591</v>
      </c>
      <c r="D186" s="3121" t="s">
        <v>2592</v>
      </c>
      <c r="E186" s="3121" t="s">
        <v>2593</v>
      </c>
      <c r="F186" s="3121" t="s">
        <v>2594</v>
      </c>
      <c r="G186" s="3121" t="s">
        <v>2595</v>
      </c>
      <c r="H186" s="3122" t="s">
        <v>2596</v>
      </c>
      <c r="I186" s="3122" t="s">
        <v>2597</v>
      </c>
      <c r="J186" s="3123" t="s">
        <v>2598</v>
      </c>
      <c r="K186" s="3123" t="s">
        <v>2599</v>
      </c>
      <c r="L186" s="3123" t="s">
        <v>2600</v>
      </c>
      <c r="M186" s="3124" t="s">
        <v>2601</v>
      </c>
      <c r="Q186" s="3134" t="s">
        <v>2799</v>
      </c>
      <c r="R186" s="3134" t="s">
        <v>2800</v>
      </c>
      <c r="S186" s="3134" t="s">
        <v>2801</v>
      </c>
      <c r="T186" s="3134" t="s">
        <v>2802</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2797</v>
      </c>
      <c r="B277" s="3119"/>
      <c r="C277" s="3119"/>
      <c r="D277" s="3119"/>
      <c r="E277" s="3119"/>
      <c r="F277" s="3119"/>
      <c r="G277" s="3119"/>
      <c r="H277" s="3119"/>
      <c r="I277" s="3119"/>
      <c r="J277" s="3119"/>
      <c r="K277" s="3119"/>
      <c r="L277" s="3119"/>
      <c r="M277" s="3119"/>
    </row>
    <row r="278" spans="1:21">
      <c r="A278" s="3120" t="s">
        <v>2794</v>
      </c>
      <c r="B278" s="3121" t="s">
        <v>2590</v>
      </c>
      <c r="C278" s="3121" t="s">
        <v>2591</v>
      </c>
      <c r="D278" s="3121" t="s">
        <v>2592</v>
      </c>
      <c r="E278" s="3121" t="s">
        <v>2593</v>
      </c>
      <c r="F278" s="3121" t="s">
        <v>2594</v>
      </c>
      <c r="G278" s="3121" t="s">
        <v>2595</v>
      </c>
      <c r="H278" s="3122" t="s">
        <v>2596</v>
      </c>
      <c r="I278" s="3122" t="s">
        <v>2597</v>
      </c>
      <c r="J278" s="3123" t="s">
        <v>2598</v>
      </c>
      <c r="K278" s="3123" t="s">
        <v>2599</v>
      </c>
      <c r="L278" s="3123" t="s">
        <v>2600</v>
      </c>
      <c r="M278" s="3124" t="s">
        <v>2601</v>
      </c>
      <c r="Q278" s="3134" t="s">
        <v>2799</v>
      </c>
      <c r="R278" s="3134" t="s">
        <v>2800</v>
      </c>
      <c r="S278" s="3134" t="s">
        <v>2803</v>
      </c>
      <c r="T278" s="3134" t="s">
        <v>2804</v>
      </c>
      <c r="U278" s="3134" t="s">
        <v>2802</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2798</v>
      </c>
      <c r="B369" s="3132"/>
      <c r="C369" s="3132"/>
      <c r="D369" s="3132"/>
      <c r="E369" s="3132"/>
      <c r="F369" s="3132"/>
      <c r="G369" s="3132"/>
      <c r="H369" s="3132"/>
      <c r="I369" s="3132"/>
      <c r="J369" s="3132"/>
      <c r="K369" s="3132"/>
      <c r="L369" s="3132"/>
      <c r="M369" s="3132"/>
    </row>
    <row r="370" spans="1:20">
      <c r="A370" s="3120" t="s">
        <v>2794</v>
      </c>
      <c r="B370" s="3121" t="s">
        <v>2590</v>
      </c>
      <c r="C370" s="3121" t="s">
        <v>2591</v>
      </c>
      <c r="D370" s="3121" t="s">
        <v>2592</v>
      </c>
      <c r="E370" s="3121" t="s">
        <v>2593</v>
      </c>
      <c r="F370" s="3121" t="s">
        <v>2594</v>
      </c>
      <c r="G370" s="3121" t="s">
        <v>2595</v>
      </c>
      <c r="H370" s="3122" t="s">
        <v>2596</v>
      </c>
      <c r="I370" s="3122" t="s">
        <v>2597</v>
      </c>
      <c r="J370" s="3123" t="s">
        <v>2598</v>
      </c>
      <c r="K370" s="3123" t="s">
        <v>2599</v>
      </c>
      <c r="L370" s="3123" t="s">
        <v>2600</v>
      </c>
      <c r="M370" s="3124" t="s">
        <v>2601</v>
      </c>
      <c r="N370" s="750">
        <f>SUMPRODUCT((A371:A460=ROUNDDOWN(基准地价修正!G3,1))*(B370:M370=基准地价修正!G2)*(B371:M460))</f>
        <v>0.88009999999999999</v>
      </c>
      <c r="Q370" s="3134" t="s">
        <v>2799</v>
      </c>
      <c r="R370" s="3134" t="s">
        <v>2800</v>
      </c>
      <c r="S370" s="3134" t="s">
        <v>2801</v>
      </c>
      <c r="T370" s="3134" t="s">
        <v>2802</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78717</v>
      </c>
      <c r="C2" s="2" t="s">
        <v>106</v>
      </c>
      <c r="D2" s="199"/>
      <c r="E2" s="199"/>
      <c r="F2" s="199"/>
      <c r="G2" s="199"/>
    </row>
    <row r="3" spans="1:7" s="200" customFormat="1" ht="18" customHeight="1" thickBot="1">
      <c r="A3" s="203" t="s">
        <v>58</v>
      </c>
      <c r="B3" s="204">
        <f ca="1">ROUND(B2*10000/'数据-汇总表'!E3,0)</f>
        <v>10438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1508</v>
      </c>
      <c r="D10" s="845">
        <f>'数据-汇总表'!E6</f>
        <v>75416.17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1508</v>
      </c>
      <c r="D19" s="849">
        <f>'数据-汇总表'!E3</f>
        <v>75416.17</v>
      </c>
      <c r="E19" s="211">
        <f>'数据-取费表'!B31</f>
        <v>200</v>
      </c>
      <c r="F19" s="231"/>
      <c r="G19" s="1" t="s">
        <v>436</v>
      </c>
    </row>
    <row r="20" spans="1:7" s="214" customFormat="1" ht="13.5" customHeight="1">
      <c r="A20" s="777" t="s">
        <v>419</v>
      </c>
      <c r="B20" s="210" t="s">
        <v>77</v>
      </c>
      <c r="C20" s="232">
        <f>ROUND((C5+C19)*F20,0)</f>
        <v>442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1568</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106</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3158</v>
      </c>
      <c r="D27" s="235">
        <f>C29</f>
        <v>2.8E-3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3158</v>
      </c>
      <c r="D28" s="235"/>
      <c r="E28" s="236"/>
      <c r="F28" s="246"/>
      <c r="G28" s="247"/>
    </row>
    <row r="29" spans="1:7" s="214" customFormat="1" ht="13.5" customHeight="1">
      <c r="A29" s="780" t="s">
        <v>347</v>
      </c>
      <c r="B29" s="248" t="s">
        <v>425</v>
      </c>
      <c r="C29" s="238">
        <f>ROUND(C21*F27*'数据-取费表'!B21/'数据-取费表'!B20,4)</f>
        <v>2.8E-3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29557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37882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34808</v>
      </c>
      <c r="D34" s="217"/>
      <c r="E34" s="220"/>
      <c r="F34" s="257">
        <f>IF('数据-取费表'!B24=0,1,'数据-取费表'!N16)</f>
        <v>1</v>
      </c>
      <c r="G34" s="219" t="s">
        <v>89</v>
      </c>
    </row>
    <row r="35" spans="1:7" ht="13.5" customHeight="1">
      <c r="A35" s="780" t="s">
        <v>351</v>
      </c>
      <c r="B35" s="215" t="s">
        <v>33</v>
      </c>
      <c r="C35" s="220">
        <f>ROUND(C34*F35,0)</f>
        <v>1044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1508</v>
      </c>
      <c r="D37" s="217">
        <f>'数据-汇总表'!E3</f>
        <v>75416.17</v>
      </c>
      <c r="E37" s="249">
        <f>'数据-取费表'!B35</f>
        <v>200</v>
      </c>
      <c r="F37" s="259"/>
      <c r="G37" s="261" t="s">
        <v>92</v>
      </c>
    </row>
    <row r="38" spans="1:7" ht="13.5" customHeight="1">
      <c r="A38" s="780" t="s">
        <v>354</v>
      </c>
      <c r="B38" s="215" t="s">
        <v>36</v>
      </c>
      <c r="C38" s="220">
        <f>ROUND(C34*F38,0)</f>
        <v>522</v>
      </c>
      <c r="D38" s="220"/>
      <c r="E38" s="220"/>
      <c r="F38" s="259">
        <f>'数据-取费表'!B36</f>
        <v>1.4999999999999999E-2</v>
      </c>
      <c r="G38" s="219" t="s">
        <v>90</v>
      </c>
    </row>
    <row r="39" spans="1:7" s="214" customFormat="1" ht="13.5" customHeight="1">
      <c r="A39" s="777" t="s">
        <v>338</v>
      </c>
      <c r="B39" s="210" t="s">
        <v>77</v>
      </c>
      <c r="C39" s="232">
        <f>ROUND(C33*F20,0)</f>
        <v>758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1333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1307</v>
      </c>
      <c r="D42" s="238"/>
      <c r="E42" s="238"/>
      <c r="F42" s="239"/>
      <c r="G42" s="3652" t="s">
        <v>94</v>
      </c>
    </row>
    <row r="43" spans="1:7" ht="13.5" customHeight="1">
      <c r="A43" s="780" t="s">
        <v>347</v>
      </c>
      <c r="B43" s="215" t="s">
        <v>426</v>
      </c>
      <c r="C43" s="238">
        <f ca="1">ROUND(IF('数据-取费表'!B22&lt;=1,C39*F22*'数据-取费表'!B21/2,C39*(POWER((1+F22),'数据-取费表'!B21/2)-1)),0)</f>
        <v>26</v>
      </c>
      <c r="D43" s="238"/>
      <c r="E43" s="238"/>
      <c r="F43" s="239"/>
      <c r="G43" s="3653"/>
    </row>
    <row r="44" spans="1:7" ht="13.5" customHeight="1">
      <c r="A44" s="780"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7" t="s">
        <v>341</v>
      </c>
      <c r="B45" s="244" t="s">
        <v>85</v>
      </c>
      <c r="C45" s="245">
        <f>C46</f>
        <v>5410</v>
      </c>
      <c r="D45" s="235">
        <f>C47</f>
        <v>2.8E-3</v>
      </c>
      <c r="E45" s="236" t="s">
        <v>102</v>
      </c>
      <c r="F45" s="246"/>
      <c r="G45" s="247" t="s">
        <v>434</v>
      </c>
    </row>
    <row r="46" spans="1:7" s="214" customFormat="1" ht="13.5" customHeight="1">
      <c r="A46" s="780" t="s">
        <v>349</v>
      </c>
      <c r="B46" s="248" t="s">
        <v>427</v>
      </c>
      <c r="C46" s="249">
        <f>ROUND((C33+C39)*F27,0)</f>
        <v>5410</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49160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49160</v>
      </c>
      <c r="D51" s="232"/>
      <c r="E51" s="232"/>
      <c r="F51" s="264"/>
      <c r="G51" s="234" t="s">
        <v>37</v>
      </c>
    </row>
    <row r="52" spans="1:7" s="208" customFormat="1" ht="16.5" thickBot="1">
      <c r="A52" s="265" t="s">
        <v>38</v>
      </c>
      <c r="B52" s="266"/>
      <c r="C52" s="267">
        <f ca="1">C31+C51</f>
        <v>78717</v>
      </c>
      <c r="D52" s="266"/>
      <c r="E52" s="266"/>
      <c r="F52" s="266"/>
      <c r="G52" s="268"/>
    </row>
    <row r="55" spans="1:7" ht="15">
      <c r="B55" s="270" t="s">
        <v>39</v>
      </c>
      <c r="C55" s="271"/>
    </row>
    <row r="56" spans="1:7">
      <c r="B56" s="273" t="s">
        <v>40</v>
      </c>
      <c r="C56" s="274">
        <f ca="1">ROUND(C51/C52,3)</f>
        <v>0.625</v>
      </c>
    </row>
    <row r="57" spans="1:7">
      <c r="B57" s="273" t="s">
        <v>41</v>
      </c>
      <c r="C57" s="275">
        <f ca="1">1-C56</f>
        <v>0.375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791" t="s">
        <v>2836</v>
      </c>
      <c r="B1" s="3791"/>
      <c r="C1" s="3791"/>
      <c r="D1" s="3791"/>
      <c r="E1" s="3791"/>
      <c r="F1" s="3791"/>
      <c r="G1" s="3792"/>
      <c r="I1" s="3215" t="s">
        <v>2837</v>
      </c>
      <c r="J1" s="3216" t="s">
        <v>2838</v>
      </c>
      <c r="K1" s="3216" t="s">
        <v>2839</v>
      </c>
      <c r="L1" s="3216" t="s">
        <v>2840</v>
      </c>
      <c r="M1" s="3216" t="s">
        <v>2841</v>
      </c>
      <c r="N1" s="3216" t="s">
        <v>2842</v>
      </c>
      <c r="O1" s="3216" t="s">
        <v>2843</v>
      </c>
      <c r="P1" s="3216" t="s">
        <v>2844</v>
      </c>
      <c r="Q1" s="3216" t="s">
        <v>2845</v>
      </c>
      <c r="R1" s="3216" t="s">
        <v>2846</v>
      </c>
      <c r="S1" s="3216" t="s">
        <v>2847</v>
      </c>
      <c r="T1" s="3217" t="s">
        <v>2848</v>
      </c>
    </row>
    <row r="2" spans="1:20" ht="12" thickBot="1">
      <c r="A2" s="3219" t="s">
        <v>2849</v>
      </c>
      <c r="B2" s="3219"/>
      <c r="C2" s="3219"/>
      <c r="D2" s="3219"/>
      <c r="E2" s="3219"/>
      <c r="F2" s="3219"/>
      <c r="G2" s="3220" t="s">
        <v>2850</v>
      </c>
      <c r="I2" s="3221" t="s">
        <v>2851</v>
      </c>
      <c r="J2" s="3221" t="s">
        <v>2852</v>
      </c>
      <c r="K2" s="3221" t="s">
        <v>2853</v>
      </c>
      <c r="L2" s="3221" t="s">
        <v>2854</v>
      </c>
      <c r="M2" s="3221" t="s">
        <v>2855</v>
      </c>
      <c r="N2" s="3221" t="s">
        <v>2856</v>
      </c>
      <c r="O2" s="3221" t="s">
        <v>2857</v>
      </c>
      <c r="P2" s="3221" t="s">
        <v>2858</v>
      </c>
      <c r="Q2" s="3221" t="s">
        <v>2859</v>
      </c>
      <c r="R2" s="3221" t="s">
        <v>2860</v>
      </c>
      <c r="S2" s="3221" t="s">
        <v>2861</v>
      </c>
      <c r="T2" s="3221" t="s">
        <v>2862</v>
      </c>
    </row>
    <row r="3" spans="1:20" s="3227" customFormat="1">
      <c r="A3" s="3789" t="s">
        <v>2863</v>
      </c>
      <c r="B3" s="3222"/>
      <c r="C3" s="3223" t="s">
        <v>2806</v>
      </c>
      <c r="D3" s="3223" t="s">
        <v>2864</v>
      </c>
      <c r="E3" s="3223" t="s">
        <v>2808</v>
      </c>
      <c r="F3" s="3223" t="s">
        <v>2865</v>
      </c>
      <c r="G3" s="3223" t="s">
        <v>2626</v>
      </c>
      <c r="H3" s="3224"/>
      <c r="I3" s="3225" t="s">
        <v>2866</v>
      </c>
      <c r="J3" s="3226" t="s">
        <v>128</v>
      </c>
      <c r="K3" s="3226" t="s">
        <v>129</v>
      </c>
      <c r="L3" s="3225" t="s">
        <v>130</v>
      </c>
      <c r="M3" s="3225" t="s">
        <v>131</v>
      </c>
      <c r="N3" s="3225" t="s">
        <v>132</v>
      </c>
      <c r="O3" s="3225" t="s">
        <v>133</v>
      </c>
      <c r="P3" s="3225" t="s">
        <v>134</v>
      </c>
      <c r="Q3" s="3225" t="s">
        <v>135</v>
      </c>
      <c r="R3" s="3225" t="s">
        <v>136</v>
      </c>
      <c r="S3" s="3225" t="s">
        <v>2867</v>
      </c>
      <c r="T3" s="3225" t="s">
        <v>2868</v>
      </c>
    </row>
    <row r="4" spans="1:20" s="3227" customFormat="1" ht="12" thickBot="1">
      <c r="A4" s="3790"/>
      <c r="B4" s="3228" t="s">
        <v>2869</v>
      </c>
      <c r="C4" s="3228" t="s">
        <v>2870</v>
      </c>
      <c r="D4" s="3228" t="s">
        <v>2870</v>
      </c>
      <c r="E4" s="3228" t="s">
        <v>2870</v>
      </c>
      <c r="F4" s="3229" t="s">
        <v>2870</v>
      </c>
      <c r="G4" s="3229" t="s">
        <v>2870</v>
      </c>
      <c r="H4" s="3224"/>
      <c r="I4" s="3226" t="s">
        <v>137</v>
      </c>
      <c r="J4" s="3226" t="s">
        <v>111</v>
      </c>
      <c r="K4" s="3226" t="s">
        <v>138</v>
      </c>
      <c r="L4" s="3225" t="s">
        <v>139</v>
      </c>
      <c r="M4" s="3225" t="s">
        <v>140</v>
      </c>
      <c r="N4" s="3225" t="s">
        <v>141</v>
      </c>
      <c r="O4" s="3225" t="s">
        <v>142</v>
      </c>
      <c r="P4" s="3225" t="s">
        <v>143</v>
      </c>
      <c r="Q4" s="3225" t="s">
        <v>2871</v>
      </c>
      <c r="R4" s="3225" t="s">
        <v>2872</v>
      </c>
      <c r="S4" s="3225" t="s">
        <v>2873</v>
      </c>
      <c r="T4" s="3225" t="s">
        <v>2874</v>
      </c>
    </row>
    <row r="5" spans="1:20">
      <c r="A5" s="3230" t="s">
        <v>2837</v>
      </c>
      <c r="B5" s="3221" t="s">
        <v>2851</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2875</v>
      </c>
      <c r="R5" s="3225" t="s">
        <v>2876</v>
      </c>
      <c r="S5" s="3225" t="s">
        <v>153</v>
      </c>
      <c r="T5" s="3225" t="s">
        <v>2877</v>
      </c>
    </row>
    <row r="6" spans="1:20" ht="12" thickBot="1">
      <c r="A6" s="3225" t="s">
        <v>144</v>
      </c>
      <c r="B6" s="3225" t="s">
        <v>2866</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2878</v>
      </c>
      <c r="Q6" s="3225" t="s">
        <v>2879</v>
      </c>
      <c r="R6" s="3225" t="s">
        <v>161</v>
      </c>
      <c r="S6" s="3225" t="s">
        <v>2880</v>
      </c>
      <c r="T6" s="3225" t="s">
        <v>2881</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2882</v>
      </c>
      <c r="Q7" s="3225" t="s">
        <v>2883</v>
      </c>
      <c r="R7" s="3225" t="s">
        <v>2884</v>
      </c>
      <c r="S7" s="3225" t="s">
        <v>2885</v>
      </c>
      <c r="T7" s="3225" t="s">
        <v>2886</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2887</v>
      </c>
      <c r="Q8" s="3225" t="s">
        <v>174</v>
      </c>
      <c r="R8" s="3225" t="s">
        <v>2888</v>
      </c>
      <c r="S8" s="3225" t="s">
        <v>2889</v>
      </c>
      <c r="T8" s="3232" t="s">
        <v>2890</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2891</v>
      </c>
      <c r="Q9" s="3225" t="s">
        <v>182</v>
      </c>
      <c r="R9" s="3225" t="s">
        <v>183</v>
      </c>
      <c r="S9" s="3225" t="s">
        <v>200</v>
      </c>
    </row>
    <row r="10" spans="1:20">
      <c r="A10" s="3230" t="s">
        <v>184</v>
      </c>
      <c r="B10" s="3221" t="s">
        <v>2852</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2892</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2893</v>
      </c>
      <c r="P11" s="3225" t="s">
        <v>191</v>
      </c>
      <c r="Q11" s="3225" t="s">
        <v>199</v>
      </c>
      <c r="R11" s="3225" t="s">
        <v>2894</v>
      </c>
      <c r="S11" s="3225" t="s">
        <v>2895</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2896</v>
      </c>
      <c r="P12" s="3225" t="s">
        <v>2897</v>
      </c>
      <c r="Q12" s="3225" t="s">
        <v>2898</v>
      </c>
      <c r="R12" s="3225" t="s">
        <v>2899</v>
      </c>
      <c r="S12" s="3225" t="s">
        <v>2900</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2901</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2902</v>
      </c>
      <c r="K14" s="3226" t="s">
        <v>215</v>
      </c>
      <c r="L14" s="3225" t="s">
        <v>216</v>
      </c>
      <c r="M14" s="3225" t="s">
        <v>217</v>
      </c>
      <c r="N14" s="3225" t="s">
        <v>218</v>
      </c>
      <c r="O14" s="3225" t="s">
        <v>240</v>
      </c>
      <c r="P14" s="3225" t="s">
        <v>213</v>
      </c>
      <c r="Q14" s="3225" t="s">
        <v>2903</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2904</v>
      </c>
      <c r="P15" s="3225" t="s">
        <v>2905</v>
      </c>
      <c r="Q15" s="3225" t="s">
        <v>242</v>
      </c>
      <c r="R15" s="3225" t="s">
        <v>2906</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2907</v>
      </c>
      <c r="P16" s="3225" t="s">
        <v>227</v>
      </c>
      <c r="Q16" s="3225" t="s">
        <v>250</v>
      </c>
      <c r="R16" s="3225" t="s">
        <v>207</v>
      </c>
      <c r="S16" s="3225" t="s">
        <v>2908</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2909</v>
      </c>
      <c r="P17" s="3225" t="s">
        <v>2910</v>
      </c>
      <c r="Q17" s="3225" t="s">
        <v>256</v>
      </c>
      <c r="R17" s="3225" t="s">
        <v>2911</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2912</v>
      </c>
      <c r="P18" s="3225" t="s">
        <v>241</v>
      </c>
      <c r="Q18" s="3225" t="s">
        <v>2913</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2914</v>
      </c>
      <c r="P19" s="3225" t="s">
        <v>249</v>
      </c>
      <c r="Q19" s="3225" t="s">
        <v>2915</v>
      </c>
      <c r="R19" s="3225" t="s">
        <v>265</v>
      </c>
      <c r="S19" s="3225" t="s">
        <v>2916</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2917</v>
      </c>
      <c r="P20" s="3225" t="s">
        <v>2918</v>
      </c>
      <c r="Q20" s="3225" t="s">
        <v>290</v>
      </c>
      <c r="R20" s="3225" t="s">
        <v>2919</v>
      </c>
      <c r="S20" s="3225" t="s">
        <v>277</v>
      </c>
    </row>
    <row r="21" spans="1:19" ht="14.25" customHeight="1" thickBot="1">
      <c r="A21" s="3225" t="s">
        <v>184</v>
      </c>
      <c r="B21" s="3226" t="s">
        <v>208</v>
      </c>
      <c r="C21" s="3225">
        <v>32370</v>
      </c>
      <c r="D21" s="3225">
        <v>26730</v>
      </c>
      <c r="E21" s="3225">
        <v>26640</v>
      </c>
      <c r="F21" s="3225"/>
      <c r="G21" s="3225">
        <v>19440</v>
      </c>
      <c r="J21" s="3232" t="s">
        <v>2920</v>
      </c>
      <c r="K21" s="3226" t="s">
        <v>267</v>
      </c>
      <c r="L21" s="3225" t="s">
        <v>268</v>
      </c>
      <c r="M21" s="3225" t="s">
        <v>269</v>
      </c>
      <c r="N21" s="3225" t="s">
        <v>270</v>
      </c>
      <c r="O21" s="3225" t="s">
        <v>264</v>
      </c>
      <c r="P21" s="3225" t="s">
        <v>283</v>
      </c>
      <c r="Q21" s="3225" t="s">
        <v>293</v>
      </c>
      <c r="R21" s="3225" t="s">
        <v>2921</v>
      </c>
      <c r="S21" s="3232" t="s">
        <v>2922</v>
      </c>
    </row>
    <row r="22" spans="1:19" ht="14.25" customHeight="1">
      <c r="A22" s="3225" t="s">
        <v>184</v>
      </c>
      <c r="B22" s="3226" t="s">
        <v>2902</v>
      </c>
      <c r="C22" s="3225">
        <v>29830</v>
      </c>
      <c r="D22" s="3225">
        <v>27600</v>
      </c>
      <c r="E22" s="3225">
        <v>28150</v>
      </c>
      <c r="F22" s="3225"/>
      <c r="G22" s="3225">
        <v>20080</v>
      </c>
      <c r="K22" s="3226" t="s">
        <v>2923</v>
      </c>
      <c r="L22" s="3225" t="s">
        <v>272</v>
      </c>
      <c r="M22" s="3225" t="s">
        <v>273</v>
      </c>
      <c r="N22" s="3225" t="s">
        <v>274</v>
      </c>
      <c r="O22" s="3225" t="s">
        <v>2924</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2925</v>
      </c>
      <c r="L23" s="3225" t="s">
        <v>278</v>
      </c>
      <c r="M23" s="3225" t="s">
        <v>279</v>
      </c>
      <c r="N23" s="3225" t="s">
        <v>2926</v>
      </c>
      <c r="O23" s="3225" t="s">
        <v>2927</v>
      </c>
      <c r="P23" s="3225" t="s">
        <v>289</v>
      </c>
      <c r="Q23" s="3225" t="s">
        <v>298</v>
      </c>
      <c r="R23" s="3225" t="s">
        <v>2928</v>
      </c>
    </row>
    <row r="24" spans="1:19" ht="14.25" customHeight="1">
      <c r="A24" s="3225" t="s">
        <v>184</v>
      </c>
      <c r="B24" s="3226" t="s">
        <v>230</v>
      </c>
      <c r="C24" s="3225">
        <v>27930</v>
      </c>
      <c r="D24" s="3225">
        <v>32260</v>
      </c>
      <c r="E24" s="3225">
        <v>32120</v>
      </c>
      <c r="F24" s="3225"/>
      <c r="G24" s="3225">
        <v>23470</v>
      </c>
      <c r="K24" s="3226" t="s">
        <v>2929</v>
      </c>
      <c r="L24" s="3225" t="s">
        <v>281</v>
      </c>
      <c r="M24" s="3225" t="s">
        <v>282</v>
      </c>
      <c r="N24" s="3225" t="s">
        <v>2930</v>
      </c>
      <c r="O24" s="3225" t="s">
        <v>285</v>
      </c>
      <c r="P24" s="3225" t="s">
        <v>2931</v>
      </c>
      <c r="Q24" s="3234" t="s">
        <v>2932</v>
      </c>
      <c r="R24" s="3225" t="s">
        <v>2933</v>
      </c>
    </row>
    <row r="25" spans="1:19" ht="14.25" customHeight="1">
      <c r="A25" s="3225" t="s">
        <v>184</v>
      </c>
      <c r="B25" s="3226" t="s">
        <v>235</v>
      </c>
      <c r="C25" s="3225">
        <v>32230</v>
      </c>
      <c r="D25" s="3225">
        <v>29640</v>
      </c>
      <c r="E25" s="3225">
        <v>29510</v>
      </c>
      <c r="F25" s="3225"/>
      <c r="G25" s="3225">
        <v>21560</v>
      </c>
      <c r="K25" s="3226" t="s">
        <v>2934</v>
      </c>
      <c r="L25" s="3225" t="s">
        <v>2935</v>
      </c>
      <c r="M25" s="3225" t="s">
        <v>284</v>
      </c>
      <c r="N25" s="3225" t="s">
        <v>292</v>
      </c>
      <c r="O25" s="3225" t="s">
        <v>288</v>
      </c>
      <c r="P25" s="3225" t="s">
        <v>275</v>
      </c>
      <c r="Q25" s="3234" t="s">
        <v>271</v>
      </c>
      <c r="R25" s="3225" t="s">
        <v>2936</v>
      </c>
    </row>
    <row r="26" spans="1:19" ht="14.25" customHeight="1" thickBot="1">
      <c r="A26" s="3225" t="s">
        <v>184</v>
      </c>
      <c r="B26" s="3226" t="s">
        <v>244</v>
      </c>
      <c r="C26" s="3225">
        <v>31690</v>
      </c>
      <c r="D26" s="3225">
        <v>27650</v>
      </c>
      <c r="E26" s="3225">
        <v>28200</v>
      </c>
      <c r="F26" s="3225"/>
      <c r="G26" s="3225">
        <v>20110</v>
      </c>
      <c r="K26" s="3231" t="s">
        <v>2937</v>
      </c>
      <c r="L26" s="3225" t="s">
        <v>2938</v>
      </c>
      <c r="M26" s="3225" t="s">
        <v>287</v>
      </c>
      <c r="N26" s="3225" t="s">
        <v>294</v>
      </c>
      <c r="O26" s="3225" t="s">
        <v>2939</v>
      </c>
      <c r="P26" s="3225" t="s">
        <v>2940</v>
      </c>
      <c r="Q26" s="3234" t="s">
        <v>276</v>
      </c>
      <c r="R26" s="3225" t="s">
        <v>2941</v>
      </c>
    </row>
    <row r="27" spans="1:19" ht="14.25" customHeight="1">
      <c r="A27" s="3225" t="s">
        <v>184</v>
      </c>
      <c r="B27" s="3226" t="s">
        <v>251</v>
      </c>
      <c r="C27" s="3225">
        <v>29610</v>
      </c>
      <c r="D27" s="3225">
        <v>27770</v>
      </c>
      <c r="E27" s="3225">
        <v>28300</v>
      </c>
      <c r="F27" s="3225"/>
      <c r="G27" s="3225">
        <v>20210</v>
      </c>
      <c r="L27" s="3225" t="s">
        <v>2942</v>
      </c>
      <c r="M27" s="3225" t="s">
        <v>291</v>
      </c>
      <c r="N27" s="3225" t="s">
        <v>297</v>
      </c>
      <c r="O27" s="3225" t="s">
        <v>2943</v>
      </c>
      <c r="P27" s="3225" t="s">
        <v>2944</v>
      </c>
      <c r="Q27" s="3225" t="s">
        <v>2945</v>
      </c>
      <c r="R27" s="3225" t="s">
        <v>2946</v>
      </c>
    </row>
    <row r="28" spans="1:19" ht="14.25" customHeight="1">
      <c r="A28" s="3225" t="s">
        <v>184</v>
      </c>
      <c r="B28" s="3226" t="s">
        <v>259</v>
      </c>
      <c r="C28" s="3225"/>
      <c r="D28" s="3225">
        <v>31520</v>
      </c>
      <c r="E28" s="3225">
        <v>31410</v>
      </c>
      <c r="F28" s="3225"/>
      <c r="G28" s="3225">
        <v>22940</v>
      </c>
      <c r="L28" s="3225" t="s">
        <v>2947</v>
      </c>
      <c r="M28" s="3225" t="s">
        <v>2948</v>
      </c>
      <c r="N28" s="3225" t="s">
        <v>2949</v>
      </c>
      <c r="O28" s="3225" t="s">
        <v>2950</v>
      </c>
      <c r="P28" s="3225" t="s">
        <v>2951</v>
      </c>
      <c r="Q28" s="3225" t="s">
        <v>2952</v>
      </c>
      <c r="R28" s="3225" t="s">
        <v>2953</v>
      </c>
    </row>
    <row r="29" spans="1:19" ht="14.25" customHeight="1" thickBot="1">
      <c r="A29" s="3233" t="s">
        <v>184</v>
      </c>
      <c r="B29" s="3235" t="s">
        <v>2920</v>
      </c>
      <c r="C29" s="3236"/>
      <c r="D29" s="3236">
        <v>29460</v>
      </c>
      <c r="E29" s="3236">
        <v>28640</v>
      </c>
      <c r="F29" s="3236"/>
      <c r="G29" s="3236">
        <v>21430</v>
      </c>
      <c r="L29" s="3225" t="s">
        <v>2954</v>
      </c>
      <c r="M29" s="3225" t="s">
        <v>2955</v>
      </c>
      <c r="N29" s="3225" t="s">
        <v>2956</v>
      </c>
      <c r="O29" s="3225" t="s">
        <v>2957</v>
      </c>
      <c r="P29" s="3225" t="s">
        <v>2958</v>
      </c>
      <c r="Q29" s="3225" t="s">
        <v>2959</v>
      </c>
      <c r="R29" s="3225" t="s">
        <v>280</v>
      </c>
    </row>
    <row r="30" spans="1:19" ht="14.25" customHeight="1">
      <c r="A30" s="3230" t="s">
        <v>296</v>
      </c>
      <c r="B30" s="3221" t="s">
        <v>2853</v>
      </c>
      <c r="C30" s="3221">
        <v>26890</v>
      </c>
      <c r="D30" s="3221">
        <v>26770</v>
      </c>
      <c r="E30" s="3221">
        <v>25700</v>
      </c>
      <c r="F30" s="3221">
        <v>8180</v>
      </c>
      <c r="G30" s="3237">
        <v>18740</v>
      </c>
      <c r="L30" s="3225" t="s">
        <v>2960</v>
      </c>
      <c r="M30" s="3225" t="s">
        <v>2961</v>
      </c>
      <c r="N30" s="3225" t="s">
        <v>2962</v>
      </c>
      <c r="O30" s="3225" t="s">
        <v>2963</v>
      </c>
      <c r="P30" s="3225" t="s">
        <v>2964</v>
      </c>
      <c r="Q30" s="3225" t="s">
        <v>2965</v>
      </c>
      <c r="R30" s="3225" t="s">
        <v>2966</v>
      </c>
    </row>
    <row r="31" spans="1:19" ht="14.25" customHeight="1">
      <c r="A31" s="3225" t="s">
        <v>296</v>
      </c>
      <c r="B31" s="3226" t="s">
        <v>129</v>
      </c>
      <c r="C31" s="3225">
        <v>24550</v>
      </c>
      <c r="D31" s="3225">
        <v>23990</v>
      </c>
      <c r="E31" s="3225">
        <v>22930</v>
      </c>
      <c r="F31" s="3225">
        <v>7470</v>
      </c>
      <c r="G31" s="3238">
        <v>16790</v>
      </c>
      <c r="L31" s="3225" t="s">
        <v>2967</v>
      </c>
      <c r="M31" s="3225" t="s">
        <v>2968</v>
      </c>
      <c r="N31" s="3225" t="s">
        <v>2969</v>
      </c>
      <c r="O31" s="3225" t="s">
        <v>2970</v>
      </c>
      <c r="P31" s="3225" t="s">
        <v>2971</v>
      </c>
      <c r="Q31" s="3225" t="s">
        <v>2972</v>
      </c>
      <c r="R31" s="3225" t="s">
        <v>2973</v>
      </c>
    </row>
    <row r="32" spans="1:19" ht="14.25" customHeight="1" thickBot="1">
      <c r="A32" s="3225" t="s">
        <v>296</v>
      </c>
      <c r="B32" s="3226" t="s">
        <v>138</v>
      </c>
      <c r="C32" s="3225">
        <v>27210</v>
      </c>
      <c r="D32" s="3225">
        <v>23240</v>
      </c>
      <c r="E32" s="3225">
        <v>23260</v>
      </c>
      <c r="F32" s="3225">
        <v>7130</v>
      </c>
      <c r="G32" s="3238">
        <v>16270</v>
      </c>
      <c r="L32" s="3225" t="s">
        <v>2974</v>
      </c>
      <c r="M32" s="3225" t="s">
        <v>2975</v>
      </c>
      <c r="N32" s="3225" t="s">
        <v>300</v>
      </c>
      <c r="O32" s="3225" t="s">
        <v>2976</v>
      </c>
      <c r="P32" s="3225" t="s">
        <v>299</v>
      </c>
      <c r="Q32" s="3225" t="s">
        <v>2977</v>
      </c>
      <c r="R32" s="3232" t="s">
        <v>2978</v>
      </c>
    </row>
    <row r="33" spans="1:17" ht="14.25" customHeight="1" thickBot="1">
      <c r="A33" s="3225" t="s">
        <v>296</v>
      </c>
      <c r="B33" s="3226" t="s">
        <v>147</v>
      </c>
      <c r="C33" s="3225">
        <v>27300</v>
      </c>
      <c r="D33" s="3225">
        <v>22980</v>
      </c>
      <c r="E33" s="3225">
        <v>24260</v>
      </c>
      <c r="F33" s="3225">
        <v>5860</v>
      </c>
      <c r="G33" s="3238">
        <v>16090</v>
      </c>
      <c r="L33" s="3232" t="s">
        <v>2979</v>
      </c>
      <c r="M33" s="3225" t="s">
        <v>2980</v>
      </c>
      <c r="N33" s="3225" t="s">
        <v>301</v>
      </c>
      <c r="O33" s="3225" t="s">
        <v>2981</v>
      </c>
      <c r="P33" s="3225" t="s">
        <v>2982</v>
      </c>
      <c r="Q33" s="3225" t="s">
        <v>2983</v>
      </c>
    </row>
    <row r="34" spans="1:17" ht="14.25" customHeight="1">
      <c r="A34" s="3225" t="s">
        <v>296</v>
      </c>
      <c r="B34" s="3226" t="s">
        <v>156</v>
      </c>
      <c r="C34" s="3225">
        <v>23090</v>
      </c>
      <c r="D34" s="3225">
        <v>23390</v>
      </c>
      <c r="E34" s="3225">
        <v>23510</v>
      </c>
      <c r="F34" s="3225">
        <v>6700</v>
      </c>
      <c r="G34" s="3238">
        <v>16370</v>
      </c>
      <c r="M34" s="3225" t="s">
        <v>2984</v>
      </c>
      <c r="N34" s="3225" t="s">
        <v>302</v>
      </c>
      <c r="O34" s="3225" t="s">
        <v>2985</v>
      </c>
      <c r="P34" s="3225" t="s">
        <v>2986</v>
      </c>
      <c r="Q34" s="3225" t="s">
        <v>2987</v>
      </c>
    </row>
    <row r="35" spans="1:17" ht="14.25" customHeight="1">
      <c r="A35" s="3225" t="s">
        <v>296</v>
      </c>
      <c r="B35" s="3226" t="s">
        <v>163</v>
      </c>
      <c r="C35" s="3225">
        <v>27270</v>
      </c>
      <c r="D35" s="3225">
        <v>24270</v>
      </c>
      <c r="E35" s="3225">
        <v>24950</v>
      </c>
      <c r="F35" s="3225">
        <v>6600</v>
      </c>
      <c r="G35" s="3238">
        <v>16990</v>
      </c>
      <c r="M35" s="3225" t="s">
        <v>2988</v>
      </c>
      <c r="N35" s="3225" t="s">
        <v>2989</v>
      </c>
      <c r="O35" s="3225" t="s">
        <v>2990</v>
      </c>
      <c r="P35" s="3225" t="s">
        <v>2991</v>
      </c>
      <c r="Q35" s="3225" t="s">
        <v>2992</v>
      </c>
    </row>
    <row r="36" spans="1:17" ht="14.25" customHeight="1">
      <c r="A36" s="3225" t="s">
        <v>296</v>
      </c>
      <c r="B36" s="3226" t="s">
        <v>169</v>
      </c>
      <c r="C36" s="3225">
        <v>23490</v>
      </c>
      <c r="D36" s="3225">
        <v>23020</v>
      </c>
      <c r="E36" s="3225">
        <v>25230</v>
      </c>
      <c r="F36" s="3225">
        <v>6780</v>
      </c>
      <c r="G36" s="3238">
        <v>16120</v>
      </c>
      <c r="M36" s="3225" t="s">
        <v>2993</v>
      </c>
      <c r="N36" s="3225" t="s">
        <v>2994</v>
      </c>
      <c r="O36" s="3225" t="s">
        <v>2995</v>
      </c>
      <c r="P36" s="3225" t="s">
        <v>2996</v>
      </c>
      <c r="Q36" s="3225" t="s">
        <v>2997</v>
      </c>
    </row>
    <row r="37" spans="1:17" ht="14.25" customHeight="1">
      <c r="A37" s="3225" t="s">
        <v>296</v>
      </c>
      <c r="B37" s="3226" t="s">
        <v>176</v>
      </c>
      <c r="C37" s="3225">
        <v>24380</v>
      </c>
      <c r="D37" s="3225">
        <v>22240</v>
      </c>
      <c r="E37" s="3225">
        <v>25980</v>
      </c>
      <c r="F37" s="3225">
        <v>8160</v>
      </c>
      <c r="G37" s="3238">
        <v>15570</v>
      </c>
      <c r="M37" s="3225" t="s">
        <v>2998</v>
      </c>
      <c r="N37" s="3225" t="s">
        <v>2999</v>
      </c>
      <c r="O37" s="3225" t="s">
        <v>3000</v>
      </c>
      <c r="P37" s="3225" t="s">
        <v>3001</v>
      </c>
      <c r="Q37" s="3225" t="s">
        <v>3002</v>
      </c>
    </row>
    <row r="38" spans="1:17" ht="14.25" customHeight="1">
      <c r="A38" s="3225" t="s">
        <v>296</v>
      </c>
      <c r="B38" s="3226" t="s">
        <v>186</v>
      </c>
      <c r="C38" s="3225">
        <v>23120</v>
      </c>
      <c r="D38" s="3225">
        <v>24630</v>
      </c>
      <c r="E38" s="3225">
        <v>25030</v>
      </c>
      <c r="F38" s="3225">
        <v>7710</v>
      </c>
      <c r="G38" s="3238">
        <v>17240</v>
      </c>
      <c r="M38" s="3225" t="s">
        <v>3003</v>
      </c>
      <c r="N38" s="3225" t="s">
        <v>3004</v>
      </c>
      <c r="O38" s="3225" t="s">
        <v>3005</v>
      </c>
      <c r="P38" s="3225" t="s">
        <v>3006</v>
      </c>
      <c r="Q38" s="3225" t="s">
        <v>3007</v>
      </c>
    </row>
    <row r="39" spans="1:17" ht="14.25" customHeight="1">
      <c r="A39" s="3225" t="s">
        <v>296</v>
      </c>
      <c r="B39" s="3226" t="s">
        <v>195</v>
      </c>
      <c r="C39" s="3225">
        <v>22330</v>
      </c>
      <c r="D39" s="3225">
        <v>21140</v>
      </c>
      <c r="E39" s="3225">
        <v>23970</v>
      </c>
      <c r="F39" s="3225">
        <v>7940</v>
      </c>
      <c r="G39" s="3238">
        <v>14790</v>
      </c>
      <c r="M39" s="3225" t="s">
        <v>3008</v>
      </c>
      <c r="N39" s="3225" t="s">
        <v>3009</v>
      </c>
      <c r="O39" s="3225" t="s">
        <v>3010</v>
      </c>
      <c r="P39" s="3225" t="s">
        <v>3011</v>
      </c>
      <c r="Q39" s="3225" t="s">
        <v>3012</v>
      </c>
    </row>
    <row r="40" spans="1:17" ht="14.25" customHeight="1">
      <c r="A40" s="3225" t="s">
        <v>296</v>
      </c>
      <c r="B40" s="3226" t="s">
        <v>202</v>
      </c>
      <c r="C40" s="3225">
        <v>24740</v>
      </c>
      <c r="D40" s="3225">
        <v>24690</v>
      </c>
      <c r="E40" s="3225">
        <v>22610</v>
      </c>
      <c r="F40" s="3225"/>
      <c r="G40" s="3238">
        <v>17280</v>
      </c>
      <c r="M40" s="3225" t="s">
        <v>3013</v>
      </c>
      <c r="N40" s="3225" t="s">
        <v>3014</v>
      </c>
      <c r="O40" s="3225" t="s">
        <v>3015</v>
      </c>
      <c r="P40" s="3225" t="s">
        <v>3016</v>
      </c>
      <c r="Q40" s="3225" t="s">
        <v>3017</v>
      </c>
    </row>
    <row r="41" spans="1:17" ht="14.25" customHeight="1" thickBot="1">
      <c r="A41" s="3225" t="s">
        <v>296</v>
      </c>
      <c r="B41" s="3226" t="s">
        <v>209</v>
      </c>
      <c r="C41" s="3225">
        <v>21220</v>
      </c>
      <c r="D41" s="3225">
        <v>21120</v>
      </c>
      <c r="E41" s="3225">
        <v>22590</v>
      </c>
      <c r="F41" s="3225"/>
      <c r="G41" s="3238">
        <v>14780</v>
      </c>
      <c r="M41" s="3232" t="s">
        <v>3018</v>
      </c>
      <c r="N41" s="3225" t="s">
        <v>3019</v>
      </c>
      <c r="O41" s="3225" t="s">
        <v>3020</v>
      </c>
      <c r="P41" s="3225" t="s">
        <v>3021</v>
      </c>
      <c r="Q41" s="3225" t="s">
        <v>3022</v>
      </c>
    </row>
    <row r="42" spans="1:17" ht="14.25" customHeight="1">
      <c r="A42" s="3225" t="s">
        <v>296</v>
      </c>
      <c r="B42" s="3226" t="s">
        <v>215</v>
      </c>
      <c r="C42" s="3225">
        <v>24800</v>
      </c>
      <c r="D42" s="3225">
        <v>22280</v>
      </c>
      <c r="E42" s="3225">
        <v>24350</v>
      </c>
      <c r="F42" s="3225"/>
      <c r="G42" s="3238">
        <v>15590</v>
      </c>
      <c r="N42" s="3225" t="s">
        <v>3023</v>
      </c>
      <c r="O42" s="3225" t="s">
        <v>3024</v>
      </c>
      <c r="P42" s="3225" t="s">
        <v>3025</v>
      </c>
      <c r="Q42" s="3225" t="s">
        <v>3026</v>
      </c>
    </row>
    <row r="43" spans="1:17" ht="14.25" customHeight="1">
      <c r="A43" s="3225" t="s">
        <v>3027</v>
      </c>
      <c r="B43" s="3226" t="s">
        <v>223</v>
      </c>
      <c r="C43" s="3225">
        <v>21210</v>
      </c>
      <c r="D43" s="3225">
        <v>21160</v>
      </c>
      <c r="E43" s="3225">
        <v>22650</v>
      </c>
      <c r="F43" s="3225"/>
      <c r="G43" s="3238">
        <v>14800</v>
      </c>
      <c r="N43" s="3225" t="s">
        <v>3028</v>
      </c>
      <c r="O43" s="3225" t="s">
        <v>3029</v>
      </c>
      <c r="P43" s="3225" t="s">
        <v>3030</v>
      </c>
      <c r="Q43" s="3225" t="s">
        <v>3031</v>
      </c>
    </row>
    <row r="44" spans="1:17" ht="14.25" customHeight="1" thickBot="1">
      <c r="A44" s="3225" t="s">
        <v>296</v>
      </c>
      <c r="B44" s="3226" t="s">
        <v>231</v>
      </c>
      <c r="C44" s="3225">
        <v>22370</v>
      </c>
      <c r="D44" s="3225">
        <v>23140</v>
      </c>
      <c r="E44" s="3225">
        <v>25090</v>
      </c>
      <c r="F44" s="3225"/>
      <c r="G44" s="3238">
        <v>16190</v>
      </c>
      <c r="N44" s="3225" t="s">
        <v>3032</v>
      </c>
      <c r="O44" s="3225" t="s">
        <v>3033</v>
      </c>
      <c r="P44" s="3232" t="s">
        <v>3034</v>
      </c>
      <c r="Q44" s="3225" t="s">
        <v>3035</v>
      </c>
    </row>
    <row r="45" spans="1:17" ht="14.25" customHeight="1" thickBot="1">
      <c r="A45" s="3225" t="s">
        <v>296</v>
      </c>
      <c r="B45" s="3226" t="s">
        <v>236</v>
      </c>
      <c r="C45" s="3225">
        <v>21240</v>
      </c>
      <c r="D45" s="3225">
        <v>27050</v>
      </c>
      <c r="E45" s="3225">
        <v>28000</v>
      </c>
      <c r="F45" s="3225"/>
      <c r="G45" s="3238">
        <v>18940</v>
      </c>
      <c r="N45" s="3225" t="s">
        <v>3036</v>
      </c>
      <c r="O45" s="3232" t="s">
        <v>3037</v>
      </c>
      <c r="Q45" s="3225" t="s">
        <v>3038</v>
      </c>
    </row>
    <row r="46" spans="1:17" ht="14.25" customHeight="1">
      <c r="A46" s="3225" t="s">
        <v>296</v>
      </c>
      <c r="B46" s="3226" t="s">
        <v>245</v>
      </c>
      <c r="C46" s="3225">
        <v>23240</v>
      </c>
      <c r="D46" s="3225">
        <v>23000</v>
      </c>
      <c r="E46" s="3225">
        <v>24980</v>
      </c>
      <c r="F46" s="3225"/>
      <c r="G46" s="3238">
        <v>16100</v>
      </c>
      <c r="N46" s="3225" t="s">
        <v>3039</v>
      </c>
      <c r="Q46" s="3225" t="s">
        <v>3040</v>
      </c>
    </row>
    <row r="47" spans="1:17" ht="14.25" customHeight="1">
      <c r="A47" s="3225" t="s">
        <v>296</v>
      </c>
      <c r="B47" s="3226" t="s">
        <v>252</v>
      </c>
      <c r="C47" s="3225">
        <v>27150</v>
      </c>
      <c r="D47" s="3225">
        <v>23310</v>
      </c>
      <c r="E47" s="3225">
        <v>25150</v>
      </c>
      <c r="F47" s="3225"/>
      <c r="G47" s="3238">
        <v>16310</v>
      </c>
      <c r="N47" s="3225" t="s">
        <v>3041</v>
      </c>
      <c r="Q47" s="3225" t="s">
        <v>3042</v>
      </c>
    </row>
    <row r="48" spans="1:17" ht="14.25" customHeight="1">
      <c r="A48" s="3225" t="s">
        <v>296</v>
      </c>
      <c r="B48" s="3226" t="s">
        <v>260</v>
      </c>
      <c r="C48" s="3225">
        <v>23100</v>
      </c>
      <c r="D48" s="3225">
        <v>21110</v>
      </c>
      <c r="E48" s="3225">
        <v>23080</v>
      </c>
      <c r="F48" s="3225"/>
      <c r="G48" s="3238">
        <v>14780</v>
      </c>
      <c r="N48" s="3225" t="s">
        <v>3043</v>
      </c>
      <c r="Q48" s="3225" t="s">
        <v>3044</v>
      </c>
    </row>
    <row r="49" spans="1:17" ht="14.25" customHeight="1">
      <c r="A49" s="3225" t="s">
        <v>296</v>
      </c>
      <c r="B49" s="3226" t="s">
        <v>267</v>
      </c>
      <c r="C49" s="3225">
        <v>23400</v>
      </c>
      <c r="D49" s="3225">
        <v>22920</v>
      </c>
      <c r="E49" s="3225">
        <v>24900</v>
      </c>
      <c r="F49" s="3225"/>
      <c r="G49" s="3238">
        <v>16040</v>
      </c>
      <c r="N49" s="3225" t="s">
        <v>3045</v>
      </c>
      <c r="Q49" s="3225" t="s">
        <v>3046</v>
      </c>
    </row>
    <row r="50" spans="1:17" ht="14.25" customHeight="1">
      <c r="A50" s="3225" t="s">
        <v>296</v>
      </c>
      <c r="B50" s="3226" t="s">
        <v>2923</v>
      </c>
      <c r="C50" s="3225">
        <v>21200</v>
      </c>
      <c r="D50" s="3225">
        <v>26540</v>
      </c>
      <c r="E50" s="3225">
        <v>23200</v>
      </c>
      <c r="F50" s="3225"/>
      <c r="G50" s="3238">
        <v>18580</v>
      </c>
      <c r="N50" s="3225" t="s">
        <v>3047</v>
      </c>
      <c r="Q50" s="3226" t="s">
        <v>3048</v>
      </c>
    </row>
    <row r="51" spans="1:17" ht="14.25" customHeight="1" thickBot="1">
      <c r="A51" s="3225" t="s">
        <v>296</v>
      </c>
      <c r="B51" s="3226" t="s">
        <v>2925</v>
      </c>
      <c r="C51" s="3225">
        <v>23000</v>
      </c>
      <c r="D51" s="3225">
        <v>23460</v>
      </c>
      <c r="E51" s="3225">
        <v>25290</v>
      </c>
      <c r="F51" s="3225"/>
      <c r="G51" s="3238">
        <v>16420</v>
      </c>
      <c r="N51" s="3225" t="s">
        <v>3049</v>
      </c>
      <c r="Q51" s="3232" t="s">
        <v>3050</v>
      </c>
    </row>
    <row r="52" spans="1:17" ht="14.25" customHeight="1">
      <c r="A52" s="3225" t="s">
        <v>296</v>
      </c>
      <c r="B52" s="3226" t="s">
        <v>2929</v>
      </c>
      <c r="C52" s="3225">
        <v>26660</v>
      </c>
      <c r="D52" s="3225">
        <v>22350</v>
      </c>
      <c r="E52" s="3225">
        <v>22920</v>
      </c>
      <c r="F52" s="3225"/>
      <c r="G52" s="3238">
        <v>15640</v>
      </c>
      <c r="N52" s="3225" t="s">
        <v>3051</v>
      </c>
    </row>
    <row r="53" spans="1:17" ht="14.25" customHeight="1">
      <c r="A53" s="3225" t="s">
        <v>296</v>
      </c>
      <c r="B53" s="3226" t="s">
        <v>2934</v>
      </c>
      <c r="C53" s="3225">
        <v>23580</v>
      </c>
      <c r="D53" s="3225"/>
      <c r="E53" s="3225">
        <v>24280</v>
      </c>
      <c r="F53" s="3225"/>
      <c r="G53" s="3238"/>
      <c r="N53" s="3225" t="s">
        <v>3052</v>
      </c>
    </row>
    <row r="54" spans="1:17" ht="14.25" customHeight="1" thickBot="1">
      <c r="A54" s="3239" t="s">
        <v>296</v>
      </c>
      <c r="B54" s="3231" t="s">
        <v>2937</v>
      </c>
      <c r="C54" s="3232">
        <v>22460</v>
      </c>
      <c r="D54" s="3232"/>
      <c r="E54" s="3232"/>
      <c r="F54" s="3232"/>
      <c r="G54" s="3240"/>
      <c r="N54" s="3225" t="s">
        <v>3053</v>
      </c>
    </row>
    <row r="55" spans="1:17" ht="14.25" customHeight="1">
      <c r="A55" s="3230" t="s">
        <v>110</v>
      </c>
      <c r="B55" s="3221" t="s">
        <v>3054</v>
      </c>
      <c r="C55" s="3225">
        <v>21970</v>
      </c>
      <c r="D55" s="3225">
        <v>20370</v>
      </c>
      <c r="E55" s="3225">
        <v>20180</v>
      </c>
      <c r="F55" s="3225">
        <v>5730</v>
      </c>
      <c r="G55" s="3225">
        <v>13820</v>
      </c>
      <c r="N55" s="3225" t="s">
        <v>3055</v>
      </c>
    </row>
    <row r="56" spans="1:17" ht="14.25" customHeight="1">
      <c r="A56" s="3225" t="s">
        <v>110</v>
      </c>
      <c r="B56" s="3225" t="s">
        <v>130</v>
      </c>
      <c r="C56" s="3225">
        <v>20470</v>
      </c>
      <c r="D56" s="3225">
        <v>20700</v>
      </c>
      <c r="E56" s="3225">
        <v>20380</v>
      </c>
      <c r="F56" s="3225">
        <v>4760</v>
      </c>
      <c r="G56" s="3225">
        <v>14050</v>
      </c>
      <c r="N56" s="3225" t="s">
        <v>3056</v>
      </c>
    </row>
    <row r="57" spans="1:17" ht="14.25" customHeight="1">
      <c r="A57" s="3225" t="s">
        <v>110</v>
      </c>
      <c r="B57" s="3225" t="s">
        <v>139</v>
      </c>
      <c r="C57" s="3225">
        <v>20790</v>
      </c>
      <c r="D57" s="3225">
        <v>21370</v>
      </c>
      <c r="E57" s="3225">
        <v>20890</v>
      </c>
      <c r="F57" s="3225">
        <v>4910</v>
      </c>
      <c r="G57" s="3225">
        <v>14510</v>
      </c>
      <c r="N57" s="3225" t="s">
        <v>3057</v>
      </c>
    </row>
    <row r="58" spans="1:17" ht="14.25" customHeight="1">
      <c r="A58" s="3225" t="s">
        <v>110</v>
      </c>
      <c r="B58" s="3225" t="s">
        <v>148</v>
      </c>
      <c r="C58" s="3225">
        <v>21460</v>
      </c>
      <c r="D58" s="3225">
        <v>20920</v>
      </c>
      <c r="E58" s="3225">
        <v>23410</v>
      </c>
      <c r="F58" s="3225">
        <v>5100</v>
      </c>
      <c r="G58" s="3225">
        <v>14200</v>
      </c>
      <c r="N58" s="3225" t="s">
        <v>3058</v>
      </c>
    </row>
    <row r="59" spans="1:17" ht="14.25" customHeight="1">
      <c r="A59" s="3225" t="s">
        <v>110</v>
      </c>
      <c r="B59" s="3225" t="s">
        <v>157</v>
      </c>
      <c r="C59" s="3225">
        <v>21000</v>
      </c>
      <c r="D59" s="3225">
        <v>21550</v>
      </c>
      <c r="E59" s="3225">
        <v>21150</v>
      </c>
      <c r="F59" s="3225">
        <v>5250</v>
      </c>
      <c r="G59" s="3225">
        <v>14630</v>
      </c>
      <c r="N59" s="3225" t="s">
        <v>3059</v>
      </c>
    </row>
    <row r="60" spans="1:17" ht="14.25" customHeight="1">
      <c r="A60" s="3225" t="s">
        <v>110</v>
      </c>
      <c r="B60" s="3225" t="s">
        <v>164</v>
      </c>
      <c r="C60" s="3225">
        <v>21640</v>
      </c>
      <c r="D60" s="3225">
        <v>21260</v>
      </c>
      <c r="E60" s="3225">
        <v>24040</v>
      </c>
      <c r="F60" s="3225">
        <v>4470</v>
      </c>
      <c r="G60" s="3225">
        <v>14430</v>
      </c>
      <c r="N60" s="3225" t="s">
        <v>3060</v>
      </c>
    </row>
    <row r="61" spans="1:17" ht="14.25" customHeight="1">
      <c r="A61" s="3225" t="s">
        <v>110</v>
      </c>
      <c r="B61" s="3225" t="s">
        <v>170</v>
      </c>
      <c r="C61" s="3225">
        <v>21330</v>
      </c>
      <c r="D61" s="3225">
        <v>18640</v>
      </c>
      <c r="E61" s="3225">
        <v>21190</v>
      </c>
      <c r="F61" s="3225">
        <v>4180</v>
      </c>
      <c r="G61" s="3225">
        <v>12650</v>
      </c>
      <c r="N61" s="3225" t="s">
        <v>3061</v>
      </c>
    </row>
    <row r="62" spans="1:17" ht="14.25" customHeight="1">
      <c r="A62" s="3225" t="s">
        <v>110</v>
      </c>
      <c r="B62" s="3225" t="s">
        <v>177</v>
      </c>
      <c r="C62" s="3225">
        <v>18710</v>
      </c>
      <c r="D62" s="3225">
        <v>19400</v>
      </c>
      <c r="E62" s="3225">
        <v>23750</v>
      </c>
      <c r="F62" s="3225">
        <v>4860</v>
      </c>
      <c r="G62" s="3225">
        <v>13170</v>
      </c>
      <c r="N62" s="3225" t="s">
        <v>3062</v>
      </c>
    </row>
    <row r="63" spans="1:17" ht="14.25" customHeight="1">
      <c r="A63" s="3225" t="s">
        <v>110</v>
      </c>
      <c r="B63" s="3225" t="s">
        <v>187</v>
      </c>
      <c r="C63" s="3225">
        <v>19480</v>
      </c>
      <c r="D63" s="3225">
        <v>16830</v>
      </c>
      <c r="E63" s="3225">
        <v>21590</v>
      </c>
      <c r="F63" s="3225">
        <v>4560</v>
      </c>
      <c r="G63" s="3225">
        <v>11420</v>
      </c>
      <c r="N63" s="3225" t="s">
        <v>3063</v>
      </c>
    </row>
    <row r="64" spans="1:17" ht="14.25" customHeight="1" thickBot="1">
      <c r="A64" s="3225" t="s">
        <v>110</v>
      </c>
      <c r="B64" s="3225" t="s">
        <v>196</v>
      </c>
      <c r="C64" s="3225">
        <v>16920</v>
      </c>
      <c r="D64" s="3225">
        <v>19190</v>
      </c>
      <c r="E64" s="3225">
        <v>22200</v>
      </c>
      <c r="F64" s="3225">
        <v>4390</v>
      </c>
      <c r="G64" s="3225">
        <v>13030</v>
      </c>
      <c r="N64" s="3232" t="s">
        <v>3064</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2935</v>
      </c>
      <c r="C78" s="3225">
        <v>19820</v>
      </c>
      <c r="D78" s="3225">
        <v>19780</v>
      </c>
      <c r="E78" s="3225">
        <v>18560</v>
      </c>
      <c r="F78" s="3225"/>
      <c r="G78" s="3225">
        <v>13430</v>
      </c>
    </row>
    <row r="79" spans="1:7" s="3214" customFormat="1" ht="14.25" customHeight="1">
      <c r="A79" s="3225" t="s">
        <v>110</v>
      </c>
      <c r="B79" s="3225" t="s">
        <v>2938</v>
      </c>
      <c r="C79" s="3225">
        <v>21660</v>
      </c>
      <c r="D79" s="3225">
        <v>18000</v>
      </c>
      <c r="E79" s="3225">
        <v>22570</v>
      </c>
      <c r="F79" s="3225"/>
      <c r="G79" s="3225">
        <v>12220</v>
      </c>
    </row>
    <row r="80" spans="1:7" s="3214" customFormat="1" ht="14.25" customHeight="1">
      <c r="A80" s="3225" t="s">
        <v>110</v>
      </c>
      <c r="B80" s="3225" t="s">
        <v>2942</v>
      </c>
      <c r="C80" s="3225">
        <v>19850</v>
      </c>
      <c r="D80" s="3225"/>
      <c r="E80" s="3225">
        <v>21700</v>
      </c>
      <c r="F80" s="3225"/>
      <c r="G80" s="3225"/>
    </row>
    <row r="81" spans="1:7" s="3214" customFormat="1" ht="14.25" customHeight="1">
      <c r="A81" s="3225" t="s">
        <v>110</v>
      </c>
      <c r="B81" s="3225" t="s">
        <v>2947</v>
      </c>
      <c r="C81" s="3225">
        <v>18080</v>
      </c>
      <c r="D81" s="3225"/>
      <c r="E81" s="3225">
        <v>20900</v>
      </c>
      <c r="F81" s="3225"/>
      <c r="G81" s="3225"/>
    </row>
    <row r="82" spans="1:7" s="3214" customFormat="1" ht="14.25" customHeight="1">
      <c r="A82" s="3225" t="s">
        <v>110</v>
      </c>
      <c r="B82" s="3225" t="s">
        <v>2954</v>
      </c>
      <c r="C82" s="3225"/>
      <c r="D82" s="3225"/>
      <c r="E82" s="3225">
        <v>20840</v>
      </c>
      <c r="F82" s="3225"/>
      <c r="G82" s="3225"/>
    </row>
    <row r="83" spans="1:7" s="3214" customFormat="1" ht="14.25" customHeight="1">
      <c r="A83" s="3225" t="s">
        <v>110</v>
      </c>
      <c r="B83" s="3225" t="s">
        <v>3065</v>
      </c>
      <c r="C83" s="3225"/>
      <c r="D83" s="3225"/>
      <c r="E83" s="3225"/>
      <c r="F83" s="3225">
        <v>4770</v>
      </c>
      <c r="G83" s="3225"/>
    </row>
    <row r="84" spans="1:7" s="3214" customFormat="1" ht="14.25" customHeight="1">
      <c r="A84" s="3225" t="s">
        <v>110</v>
      </c>
      <c r="B84" s="3225" t="s">
        <v>3066</v>
      </c>
      <c r="C84" s="3225"/>
      <c r="D84" s="3225"/>
      <c r="E84" s="3225"/>
      <c r="F84" s="3225">
        <v>4600</v>
      </c>
      <c r="G84" s="3225"/>
    </row>
    <row r="85" spans="1:7" s="3214" customFormat="1" ht="14.25" customHeight="1">
      <c r="A85" s="3225" t="s">
        <v>110</v>
      </c>
      <c r="B85" s="3225" t="s">
        <v>3067</v>
      </c>
      <c r="C85" s="3225"/>
      <c r="D85" s="3225"/>
      <c r="E85" s="3225"/>
      <c r="F85" s="3225">
        <v>4680</v>
      </c>
      <c r="G85" s="3225"/>
    </row>
    <row r="86" spans="1:7" s="3214" customFormat="1" ht="14.25" customHeight="1" thickBot="1">
      <c r="A86" s="3233" t="s">
        <v>110</v>
      </c>
      <c r="B86" s="3235" t="s">
        <v>3068</v>
      </c>
      <c r="C86" s="3236">
        <v>16610</v>
      </c>
      <c r="D86" s="3236">
        <v>16540</v>
      </c>
      <c r="E86" s="3236">
        <v>18850</v>
      </c>
      <c r="F86" s="3236"/>
      <c r="G86" s="3236">
        <v>11220</v>
      </c>
    </row>
    <row r="87" spans="1:7" s="3214" customFormat="1" ht="14.25" customHeight="1">
      <c r="A87" s="3230" t="s">
        <v>303</v>
      </c>
      <c r="B87" s="3221" t="s">
        <v>3069</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2948</v>
      </c>
      <c r="C113" s="3225">
        <v>15520</v>
      </c>
      <c r="D113" s="3225">
        <v>15450</v>
      </c>
      <c r="E113" s="3225"/>
      <c r="F113" s="3225"/>
      <c r="G113" s="3238">
        <v>10210</v>
      </c>
    </row>
    <row r="114" spans="1:7" s="3214" customFormat="1" ht="14.25" customHeight="1">
      <c r="A114" s="3225" t="s">
        <v>303</v>
      </c>
      <c r="B114" s="3225" t="s">
        <v>2955</v>
      </c>
      <c r="C114" s="3225">
        <v>13110</v>
      </c>
      <c r="D114" s="3225">
        <v>13050</v>
      </c>
      <c r="E114" s="3225"/>
      <c r="F114" s="3225"/>
      <c r="G114" s="3238">
        <v>8620</v>
      </c>
    </row>
    <row r="115" spans="1:7" s="3214" customFormat="1" ht="14.25" customHeight="1">
      <c r="A115" s="3225" t="s">
        <v>303</v>
      </c>
      <c r="B115" s="3225" t="s">
        <v>2961</v>
      </c>
      <c r="C115" s="3225">
        <v>12460</v>
      </c>
      <c r="D115" s="3225">
        <v>12390</v>
      </c>
      <c r="E115" s="3225"/>
      <c r="F115" s="3225"/>
      <c r="G115" s="3238">
        <v>8190</v>
      </c>
    </row>
    <row r="116" spans="1:7" s="3214" customFormat="1" ht="14.25" customHeight="1">
      <c r="A116" s="3225" t="s">
        <v>303</v>
      </c>
      <c r="B116" s="3225" t="s">
        <v>2968</v>
      </c>
      <c r="C116" s="3225">
        <v>13580</v>
      </c>
      <c r="D116" s="3225">
        <v>13520</v>
      </c>
      <c r="E116" s="3225"/>
      <c r="F116" s="3225"/>
      <c r="G116" s="3238">
        <v>8930</v>
      </c>
    </row>
    <row r="117" spans="1:7" s="3214" customFormat="1" ht="14.25" customHeight="1">
      <c r="A117" s="3225" t="s">
        <v>303</v>
      </c>
      <c r="B117" s="3225" t="s">
        <v>2975</v>
      </c>
      <c r="C117" s="3225">
        <v>17120</v>
      </c>
      <c r="D117" s="3225">
        <v>17040</v>
      </c>
      <c r="E117" s="3225"/>
      <c r="F117" s="3225"/>
      <c r="G117" s="3238">
        <v>11260</v>
      </c>
    </row>
    <row r="118" spans="1:7" s="3214" customFormat="1" ht="14.25" customHeight="1">
      <c r="A118" s="3225" t="s">
        <v>303</v>
      </c>
      <c r="B118" s="3225" t="s">
        <v>2980</v>
      </c>
      <c r="C118" s="3225">
        <v>14860</v>
      </c>
      <c r="D118" s="3225">
        <v>14790</v>
      </c>
      <c r="E118" s="3225"/>
      <c r="F118" s="3225"/>
      <c r="G118" s="3238">
        <v>9780</v>
      </c>
    </row>
    <row r="119" spans="1:7" s="3214" customFormat="1" ht="14.25" customHeight="1">
      <c r="A119" s="3225" t="s">
        <v>303</v>
      </c>
      <c r="B119" s="3225" t="s">
        <v>2984</v>
      </c>
      <c r="C119" s="3225">
        <v>16470</v>
      </c>
      <c r="D119" s="3225">
        <v>16400</v>
      </c>
      <c r="E119" s="3225"/>
      <c r="F119" s="3225"/>
      <c r="G119" s="3238">
        <v>10840</v>
      </c>
    </row>
    <row r="120" spans="1:7" s="3214" customFormat="1" ht="14.25" customHeight="1">
      <c r="A120" s="3225" t="s">
        <v>303</v>
      </c>
      <c r="B120" s="3225" t="s">
        <v>3070</v>
      </c>
      <c r="C120" s="3225"/>
      <c r="D120" s="3225"/>
      <c r="E120" s="3225"/>
      <c r="F120" s="3225">
        <v>4160</v>
      </c>
      <c r="G120" s="3238"/>
    </row>
    <row r="121" spans="1:7" s="3214" customFormat="1" ht="14.25" customHeight="1">
      <c r="A121" s="3225" t="s">
        <v>303</v>
      </c>
      <c r="B121" s="3225" t="s">
        <v>3071</v>
      </c>
      <c r="C121" s="3225"/>
      <c r="D121" s="3225"/>
      <c r="E121" s="3225"/>
      <c r="F121" s="3225">
        <v>3880</v>
      </c>
      <c r="G121" s="3238"/>
    </row>
    <row r="122" spans="1:7" s="3214" customFormat="1" ht="14.25" customHeight="1">
      <c r="A122" s="3225" t="s">
        <v>303</v>
      </c>
      <c r="B122" s="3225" t="s">
        <v>3072</v>
      </c>
      <c r="C122" s="3225">
        <v>13750</v>
      </c>
      <c r="D122" s="3225">
        <v>13680</v>
      </c>
      <c r="E122" s="3225">
        <v>16460</v>
      </c>
      <c r="F122" s="3225">
        <v>2880</v>
      </c>
      <c r="G122" s="3238">
        <v>9040</v>
      </c>
    </row>
    <row r="123" spans="1:7" s="3214" customFormat="1" ht="14.25" customHeight="1">
      <c r="A123" s="3225" t="s">
        <v>303</v>
      </c>
      <c r="B123" s="3225" t="s">
        <v>3003</v>
      </c>
      <c r="C123" s="3225">
        <v>13590</v>
      </c>
      <c r="D123" s="3225">
        <v>13520</v>
      </c>
      <c r="E123" s="3225">
        <v>16290</v>
      </c>
      <c r="F123" s="3225">
        <v>2790</v>
      </c>
      <c r="G123" s="3238">
        <v>8930</v>
      </c>
    </row>
    <row r="124" spans="1:7" s="3214" customFormat="1" ht="14.25" customHeight="1">
      <c r="A124" s="3225" t="s">
        <v>303</v>
      </c>
      <c r="B124" s="3225" t="s">
        <v>3008</v>
      </c>
      <c r="C124" s="3225">
        <v>13400</v>
      </c>
      <c r="D124" s="3225">
        <v>13320</v>
      </c>
      <c r="E124" s="3225">
        <v>16100</v>
      </c>
      <c r="F124" s="3225">
        <v>2320</v>
      </c>
      <c r="G124" s="3238">
        <v>8800</v>
      </c>
    </row>
    <row r="125" spans="1:7" s="3214" customFormat="1" ht="14.25" customHeight="1">
      <c r="A125" s="3225" t="s">
        <v>303</v>
      </c>
      <c r="B125" s="3225" t="s">
        <v>3013</v>
      </c>
      <c r="C125" s="3225">
        <v>12860</v>
      </c>
      <c r="D125" s="3225">
        <v>12790</v>
      </c>
      <c r="E125" s="3225">
        <v>15370</v>
      </c>
      <c r="F125" s="3225">
        <v>2280</v>
      </c>
      <c r="G125" s="3238">
        <v>8450</v>
      </c>
    </row>
    <row r="126" spans="1:7" s="3214" customFormat="1" ht="14.25" customHeight="1" thickBot="1">
      <c r="A126" s="3239" t="s">
        <v>303</v>
      </c>
      <c r="B126" s="3232" t="s">
        <v>3018</v>
      </c>
      <c r="C126" s="3232">
        <v>12960</v>
      </c>
      <c r="D126" s="3232">
        <v>12890</v>
      </c>
      <c r="E126" s="3232">
        <v>15530</v>
      </c>
      <c r="F126" s="3232">
        <v>2910</v>
      </c>
      <c r="G126" s="3240">
        <v>8520</v>
      </c>
    </row>
    <row r="127" spans="1:7" s="3214" customFormat="1" ht="14.25" customHeight="1">
      <c r="A127" s="3230" t="s">
        <v>29</v>
      </c>
      <c r="B127" s="3221" t="s">
        <v>3073</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3074</v>
      </c>
      <c r="C148" s="3225">
        <v>10370</v>
      </c>
      <c r="D148" s="3225">
        <v>10310</v>
      </c>
      <c r="E148" s="3225">
        <v>12970</v>
      </c>
      <c r="F148" s="3225"/>
      <c r="G148" s="3225">
        <v>6630</v>
      </c>
    </row>
    <row r="149" spans="1:7" s="3214" customFormat="1" ht="14.25" customHeight="1">
      <c r="A149" s="3225" t="s">
        <v>29</v>
      </c>
      <c r="B149" s="3225" t="s">
        <v>3075</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2949</v>
      </c>
      <c r="C153" s="3225">
        <v>10880</v>
      </c>
      <c r="D153" s="3225">
        <v>10820</v>
      </c>
      <c r="E153" s="3225">
        <v>13660</v>
      </c>
      <c r="F153" s="3225">
        <v>2260</v>
      </c>
      <c r="G153" s="3225">
        <v>6970</v>
      </c>
    </row>
    <row r="154" spans="1:7" s="3214" customFormat="1" ht="14.25" customHeight="1">
      <c r="A154" s="3225" t="s">
        <v>29</v>
      </c>
      <c r="B154" s="3225" t="s">
        <v>3076</v>
      </c>
      <c r="C154" s="3225">
        <v>11220</v>
      </c>
      <c r="D154" s="3225">
        <v>11160</v>
      </c>
      <c r="E154" s="3225">
        <v>14130</v>
      </c>
      <c r="F154" s="3225">
        <v>2230</v>
      </c>
      <c r="G154" s="3225">
        <v>7180</v>
      </c>
    </row>
    <row r="155" spans="1:7" s="3214" customFormat="1" ht="14.25" customHeight="1">
      <c r="A155" s="3225" t="s">
        <v>29</v>
      </c>
      <c r="B155" s="3225" t="s">
        <v>2962</v>
      </c>
      <c r="C155" s="3225">
        <v>10430</v>
      </c>
      <c r="D155" s="3225">
        <v>10380</v>
      </c>
      <c r="E155" s="3225">
        <v>13140</v>
      </c>
      <c r="F155" s="3225">
        <v>2080</v>
      </c>
      <c r="G155" s="3225">
        <v>6650</v>
      </c>
    </row>
    <row r="156" spans="1:7" s="3214" customFormat="1" ht="14.25" customHeight="1">
      <c r="A156" s="3225" t="s">
        <v>29</v>
      </c>
      <c r="B156" s="3225" t="s">
        <v>3077</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3078</v>
      </c>
      <c r="C160" s="3225">
        <v>11180</v>
      </c>
      <c r="D160" s="3225">
        <v>11140</v>
      </c>
      <c r="E160" s="3225">
        <v>14050</v>
      </c>
      <c r="F160" s="3225">
        <v>2270</v>
      </c>
      <c r="G160" s="3225">
        <v>7170</v>
      </c>
    </row>
    <row r="161" spans="1:7" s="3214" customFormat="1" ht="14.25" customHeight="1">
      <c r="A161" s="3225" t="s">
        <v>29</v>
      </c>
      <c r="B161" s="3225" t="s">
        <v>2994</v>
      </c>
      <c r="C161" s="3225">
        <v>11160</v>
      </c>
      <c r="D161" s="3225">
        <v>11120</v>
      </c>
      <c r="E161" s="3225">
        <v>14020</v>
      </c>
      <c r="F161" s="3225">
        <v>2150</v>
      </c>
      <c r="G161" s="3225">
        <v>7160</v>
      </c>
    </row>
    <row r="162" spans="1:7" s="3214" customFormat="1" ht="14.25" customHeight="1">
      <c r="A162" s="3225" t="s">
        <v>29</v>
      </c>
      <c r="B162" s="3225" t="s">
        <v>2999</v>
      </c>
      <c r="C162" s="3225">
        <v>9620</v>
      </c>
      <c r="D162" s="3225">
        <v>9570</v>
      </c>
      <c r="E162" s="3225">
        <v>12320</v>
      </c>
      <c r="F162" s="3225">
        <v>2010</v>
      </c>
      <c r="G162" s="3225">
        <v>6160</v>
      </c>
    </row>
    <row r="163" spans="1:7" s="3214" customFormat="1" ht="14.25" customHeight="1">
      <c r="A163" s="3225" t="s">
        <v>29</v>
      </c>
      <c r="B163" s="3225" t="s">
        <v>3004</v>
      </c>
      <c r="C163" s="3225">
        <v>9320</v>
      </c>
      <c r="D163" s="3225">
        <v>9270</v>
      </c>
      <c r="E163" s="3225">
        <v>11790</v>
      </c>
      <c r="F163" s="3225">
        <v>1920</v>
      </c>
      <c r="G163" s="3225">
        <v>5960</v>
      </c>
    </row>
    <row r="164" spans="1:7" s="3214" customFormat="1" ht="14.25" customHeight="1">
      <c r="A164" s="3225" t="s">
        <v>29</v>
      </c>
      <c r="B164" s="3225" t="s">
        <v>3009</v>
      </c>
      <c r="C164" s="3225"/>
      <c r="D164" s="3225"/>
      <c r="E164" s="3225"/>
      <c r="F164" s="3225">
        <v>1980</v>
      </c>
      <c r="G164" s="3225"/>
    </row>
    <row r="165" spans="1:7" s="3214" customFormat="1" ht="14.25" customHeight="1">
      <c r="A165" s="3225" t="s">
        <v>29</v>
      </c>
      <c r="B165" s="3225" t="s">
        <v>3079</v>
      </c>
      <c r="C165" s="3225">
        <v>11060</v>
      </c>
      <c r="D165" s="3225">
        <v>11030</v>
      </c>
      <c r="E165" s="3225">
        <v>13850</v>
      </c>
      <c r="F165" s="3225">
        <v>2170</v>
      </c>
      <c r="G165" s="3225">
        <v>7090</v>
      </c>
    </row>
    <row r="166" spans="1:7" s="3214" customFormat="1" ht="14.25" customHeight="1">
      <c r="A166" s="3225" t="s">
        <v>29</v>
      </c>
      <c r="B166" s="3225" t="s">
        <v>3019</v>
      </c>
      <c r="C166" s="3225">
        <v>11050</v>
      </c>
      <c r="D166" s="3225">
        <v>11010</v>
      </c>
      <c r="E166" s="3225">
        <v>13920</v>
      </c>
      <c r="F166" s="3225">
        <v>2140</v>
      </c>
      <c r="G166" s="3225">
        <v>7080</v>
      </c>
    </row>
    <row r="167" spans="1:7" s="3214" customFormat="1" ht="14.25" customHeight="1">
      <c r="A167" s="3225" t="s">
        <v>29</v>
      </c>
      <c r="B167" s="3225" t="s">
        <v>3023</v>
      </c>
      <c r="C167" s="3225">
        <v>10930</v>
      </c>
      <c r="D167" s="3225">
        <v>10890</v>
      </c>
      <c r="E167" s="3225">
        <v>13790</v>
      </c>
      <c r="F167" s="3225">
        <v>2010</v>
      </c>
      <c r="G167" s="3225">
        <v>7000</v>
      </c>
    </row>
    <row r="168" spans="1:7" s="3214" customFormat="1" ht="14.25" customHeight="1">
      <c r="A168" s="3225" t="s">
        <v>29</v>
      </c>
      <c r="B168" s="3225" t="s">
        <v>3028</v>
      </c>
      <c r="C168" s="3225">
        <v>9420</v>
      </c>
      <c r="D168" s="3225">
        <v>9380</v>
      </c>
      <c r="E168" s="3225">
        <v>11970</v>
      </c>
      <c r="F168" s="3225"/>
      <c r="G168" s="3225">
        <v>6040</v>
      </c>
    </row>
    <row r="169" spans="1:7" s="3214" customFormat="1" ht="14.25" customHeight="1">
      <c r="A169" s="3225" t="s">
        <v>29</v>
      </c>
      <c r="B169" s="3225" t="s">
        <v>3080</v>
      </c>
      <c r="C169" s="3225"/>
      <c r="D169" s="3225"/>
      <c r="E169" s="3225"/>
      <c r="F169" s="3225">
        <v>2880</v>
      </c>
      <c r="G169" s="3225"/>
    </row>
    <row r="170" spans="1:7" s="3214" customFormat="1" ht="14.25" customHeight="1">
      <c r="A170" s="3225" t="s">
        <v>29</v>
      </c>
      <c r="B170" s="3225" t="s">
        <v>3036</v>
      </c>
      <c r="C170" s="3225"/>
      <c r="D170" s="3225"/>
      <c r="E170" s="3225"/>
      <c r="F170" s="3225">
        <v>2880</v>
      </c>
      <c r="G170" s="3225"/>
    </row>
    <row r="171" spans="1:7" s="3214" customFormat="1" ht="14.25" customHeight="1">
      <c r="A171" s="3225" t="s">
        <v>29</v>
      </c>
      <c r="B171" s="3225" t="s">
        <v>3039</v>
      </c>
      <c r="C171" s="3225"/>
      <c r="D171" s="3225"/>
      <c r="E171" s="3225"/>
      <c r="F171" s="3225">
        <v>2880</v>
      </c>
      <c r="G171" s="3225"/>
    </row>
    <row r="172" spans="1:7" s="3214" customFormat="1" ht="14.25" customHeight="1">
      <c r="A172" s="3225" t="s">
        <v>29</v>
      </c>
      <c r="B172" s="3225" t="s">
        <v>3041</v>
      </c>
      <c r="C172" s="3225"/>
      <c r="D172" s="3225"/>
      <c r="E172" s="3225"/>
      <c r="F172" s="3225">
        <v>2880</v>
      </c>
      <c r="G172" s="3225"/>
    </row>
    <row r="173" spans="1:7" s="3214" customFormat="1" ht="14.25" customHeight="1">
      <c r="A173" s="3225" t="s">
        <v>29</v>
      </c>
      <c r="B173" s="3225" t="s">
        <v>3043</v>
      </c>
      <c r="C173" s="3225"/>
      <c r="D173" s="3225"/>
      <c r="E173" s="3225"/>
      <c r="F173" s="3225">
        <v>2150</v>
      </c>
      <c r="G173" s="3225"/>
    </row>
    <row r="174" spans="1:7" s="3214" customFormat="1" ht="14.25" customHeight="1">
      <c r="A174" s="3225" t="s">
        <v>29</v>
      </c>
      <c r="B174" s="3225" t="s">
        <v>3045</v>
      </c>
      <c r="C174" s="3225"/>
      <c r="D174" s="3225"/>
      <c r="E174" s="3225"/>
      <c r="F174" s="3225">
        <v>2030</v>
      </c>
      <c r="G174" s="3225"/>
    </row>
    <row r="175" spans="1:7" s="3214" customFormat="1" ht="14.25" customHeight="1">
      <c r="A175" s="3225" t="s">
        <v>29</v>
      </c>
      <c r="B175" s="3225" t="s">
        <v>3047</v>
      </c>
      <c r="C175" s="3225"/>
      <c r="D175" s="3225"/>
      <c r="E175" s="3225"/>
      <c r="F175" s="3225">
        <v>2780</v>
      </c>
      <c r="G175" s="3225"/>
    </row>
    <row r="176" spans="1:7" s="3214" customFormat="1" ht="14.25" customHeight="1">
      <c r="A176" s="3225" t="s">
        <v>29</v>
      </c>
      <c r="B176" s="3225" t="s">
        <v>3049</v>
      </c>
      <c r="C176" s="3225"/>
      <c r="D176" s="3225"/>
      <c r="E176" s="3225"/>
      <c r="F176" s="3225">
        <v>2780</v>
      </c>
      <c r="G176" s="3225"/>
    </row>
    <row r="177" spans="1:7" s="3214" customFormat="1" ht="14.25" customHeight="1">
      <c r="A177" s="3225" t="s">
        <v>29</v>
      </c>
      <c r="B177" s="3225" t="s">
        <v>3081</v>
      </c>
      <c r="C177" s="3225"/>
      <c r="D177" s="3225"/>
      <c r="E177" s="3225"/>
      <c r="F177" s="3225">
        <v>2780</v>
      </c>
      <c r="G177" s="3225"/>
    </row>
    <row r="178" spans="1:7" s="3214" customFormat="1" ht="14.25" customHeight="1">
      <c r="A178" s="3225" t="s">
        <v>29</v>
      </c>
      <c r="B178" s="3225" t="s">
        <v>3082</v>
      </c>
      <c r="C178" s="3225"/>
      <c r="D178" s="3225"/>
      <c r="E178" s="3225"/>
      <c r="F178" s="3225">
        <v>2060</v>
      </c>
      <c r="G178" s="3225"/>
    </row>
    <row r="179" spans="1:7" s="3214" customFormat="1" ht="14.25" customHeight="1">
      <c r="A179" s="3225" t="s">
        <v>29</v>
      </c>
      <c r="B179" s="3225" t="s">
        <v>3083</v>
      </c>
      <c r="C179" s="3225"/>
      <c r="D179" s="3225"/>
      <c r="E179" s="3225"/>
      <c r="F179" s="3225">
        <v>2120</v>
      </c>
      <c r="G179" s="3225"/>
    </row>
    <row r="180" spans="1:7" s="3214" customFormat="1" ht="14.25" customHeight="1">
      <c r="A180" s="3225" t="s">
        <v>29</v>
      </c>
      <c r="B180" s="3225" t="s">
        <v>3055</v>
      </c>
      <c r="C180" s="3225"/>
      <c r="D180" s="3225"/>
      <c r="E180" s="3225"/>
      <c r="F180" s="3225">
        <v>2340</v>
      </c>
      <c r="G180" s="3225"/>
    </row>
    <row r="181" spans="1:7" s="3214" customFormat="1" ht="14.25" customHeight="1">
      <c r="A181" s="3225" t="s">
        <v>29</v>
      </c>
      <c r="B181" s="3225" t="s">
        <v>3056</v>
      </c>
      <c r="C181" s="3225"/>
      <c r="D181" s="3225"/>
      <c r="E181" s="3225"/>
      <c r="F181" s="3225">
        <v>2340</v>
      </c>
      <c r="G181" s="3225"/>
    </row>
    <row r="182" spans="1:7" s="3214" customFormat="1" ht="14.25" customHeight="1">
      <c r="A182" s="3225" t="s">
        <v>29</v>
      </c>
      <c r="B182" s="3225" t="s">
        <v>3057</v>
      </c>
      <c r="C182" s="3225"/>
      <c r="D182" s="3225"/>
      <c r="E182" s="3225"/>
      <c r="F182" s="3225">
        <v>2340</v>
      </c>
      <c r="G182" s="3225"/>
    </row>
    <row r="183" spans="1:7" s="3214" customFormat="1" ht="14.25" customHeight="1">
      <c r="A183" s="3225" t="s">
        <v>29</v>
      </c>
      <c r="B183" s="3225" t="s">
        <v>3058</v>
      </c>
      <c r="C183" s="3225"/>
      <c r="D183" s="3225"/>
      <c r="E183" s="3225"/>
      <c r="F183" s="3225">
        <v>2340</v>
      </c>
      <c r="G183" s="3225"/>
    </row>
    <row r="184" spans="1:7" s="3214" customFormat="1" ht="14.25" customHeight="1">
      <c r="A184" s="3225" t="s">
        <v>29</v>
      </c>
      <c r="B184" s="3225" t="s">
        <v>3059</v>
      </c>
      <c r="C184" s="3225"/>
      <c r="D184" s="3225"/>
      <c r="E184" s="3225"/>
      <c r="F184" s="3225">
        <v>2340</v>
      </c>
      <c r="G184" s="3225"/>
    </row>
    <row r="185" spans="1:7" s="3214" customFormat="1" ht="14.25" customHeight="1">
      <c r="A185" s="3225" t="s">
        <v>29</v>
      </c>
      <c r="B185" s="3225" t="s">
        <v>3060</v>
      </c>
      <c r="C185" s="3225"/>
      <c r="D185" s="3225"/>
      <c r="E185" s="3225"/>
      <c r="F185" s="3225">
        <v>2530</v>
      </c>
      <c r="G185" s="3225"/>
    </row>
    <row r="186" spans="1:7" s="3214" customFormat="1" ht="14.25" customHeight="1">
      <c r="A186" s="3225" t="s">
        <v>29</v>
      </c>
      <c r="B186" s="3225" t="s">
        <v>3061</v>
      </c>
      <c r="C186" s="3225"/>
      <c r="D186" s="3225"/>
      <c r="E186" s="3225"/>
      <c r="F186" s="3225">
        <v>2550</v>
      </c>
      <c r="G186" s="3225"/>
    </row>
    <row r="187" spans="1:7" s="3214" customFormat="1" ht="14.25" customHeight="1">
      <c r="A187" s="3225" t="s">
        <v>29</v>
      </c>
      <c r="B187" s="3225" t="s">
        <v>3062</v>
      </c>
      <c r="C187" s="3225"/>
      <c r="D187" s="3225"/>
      <c r="E187" s="3225"/>
      <c r="F187" s="3225">
        <v>2070</v>
      </c>
      <c r="G187" s="3225"/>
    </row>
    <row r="188" spans="1:7" s="3214" customFormat="1" ht="14.25" customHeight="1">
      <c r="A188" s="3225" t="s">
        <v>29</v>
      </c>
      <c r="B188" s="3225" t="s">
        <v>3063</v>
      </c>
      <c r="C188" s="3225"/>
      <c r="D188" s="3225"/>
      <c r="E188" s="3225"/>
      <c r="F188" s="3225">
        <v>2340</v>
      </c>
      <c r="G188" s="3225"/>
    </row>
    <row r="189" spans="1:7" s="3214" customFormat="1" ht="14.25" customHeight="1" thickBot="1">
      <c r="A189" s="3233" t="s">
        <v>29</v>
      </c>
      <c r="B189" s="3236" t="s">
        <v>3064</v>
      </c>
      <c r="C189" s="3236"/>
      <c r="D189" s="3236"/>
      <c r="E189" s="3236"/>
      <c r="F189" s="3236">
        <v>2050</v>
      </c>
      <c r="G189" s="3236"/>
    </row>
    <row r="190" spans="1:7" s="3214" customFormat="1" ht="14.25" customHeight="1">
      <c r="A190" s="3230" t="s">
        <v>304</v>
      </c>
      <c r="B190" s="3221" t="s">
        <v>3084</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3085</v>
      </c>
      <c r="C199" s="3225">
        <v>8690</v>
      </c>
      <c r="D199" s="3225">
        <v>8630</v>
      </c>
      <c r="E199" s="3225">
        <v>11350</v>
      </c>
      <c r="F199" s="3225">
        <v>1600</v>
      </c>
      <c r="G199" s="3238">
        <v>5450</v>
      </c>
    </row>
    <row r="200" spans="1:7" s="3214" customFormat="1" ht="14.25" customHeight="1">
      <c r="A200" s="3225" t="s">
        <v>304</v>
      </c>
      <c r="B200" s="3225" t="s">
        <v>2896</v>
      </c>
      <c r="C200" s="3225"/>
      <c r="D200" s="3225"/>
      <c r="E200" s="3225"/>
      <c r="F200" s="3225">
        <v>1510</v>
      </c>
      <c r="G200" s="3238"/>
    </row>
    <row r="201" spans="1:7" s="3214" customFormat="1" ht="14.25" customHeight="1">
      <c r="A201" s="3225" t="s">
        <v>304</v>
      </c>
      <c r="B201" s="3225" t="s">
        <v>3086</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3087</v>
      </c>
      <c r="C203" s="3225">
        <v>8130</v>
      </c>
      <c r="D203" s="3225">
        <v>8070</v>
      </c>
      <c r="E203" s="3225">
        <v>10820</v>
      </c>
      <c r="F203" s="3225">
        <v>1690</v>
      </c>
      <c r="G203" s="3238">
        <v>5100</v>
      </c>
    </row>
    <row r="204" spans="1:7" s="3214" customFormat="1" ht="14.25" customHeight="1">
      <c r="A204" s="3225" t="s">
        <v>304</v>
      </c>
      <c r="B204" s="3225" t="s">
        <v>2907</v>
      </c>
      <c r="C204" s="3225">
        <v>8350</v>
      </c>
      <c r="D204" s="3225">
        <v>8290</v>
      </c>
      <c r="E204" s="3225">
        <v>11080</v>
      </c>
      <c r="F204" s="3225">
        <v>1450</v>
      </c>
      <c r="G204" s="3238">
        <v>5240</v>
      </c>
    </row>
    <row r="205" spans="1:7" s="3214" customFormat="1" ht="14.25" customHeight="1">
      <c r="A205" s="3225" t="s">
        <v>304</v>
      </c>
      <c r="B205" s="3225" t="s">
        <v>2909</v>
      </c>
      <c r="C205" s="3225">
        <v>7190</v>
      </c>
      <c r="D205" s="3225">
        <v>7130</v>
      </c>
      <c r="E205" s="3225">
        <v>9490</v>
      </c>
      <c r="F205" s="3225">
        <v>1470</v>
      </c>
      <c r="G205" s="3238">
        <v>4510</v>
      </c>
    </row>
    <row r="206" spans="1:7" s="3214" customFormat="1" ht="14.25" customHeight="1">
      <c r="A206" s="3225" t="s">
        <v>304</v>
      </c>
      <c r="B206" s="3225" t="s">
        <v>2912</v>
      </c>
      <c r="C206" s="3225">
        <v>7000</v>
      </c>
      <c r="D206" s="3225">
        <v>6950</v>
      </c>
      <c r="E206" s="3225">
        <v>9170</v>
      </c>
      <c r="F206" s="3225">
        <v>1400</v>
      </c>
      <c r="G206" s="3238">
        <v>4380</v>
      </c>
    </row>
    <row r="207" spans="1:7" s="3214" customFormat="1" ht="14.25" customHeight="1">
      <c r="A207" s="3225" t="s">
        <v>304</v>
      </c>
      <c r="B207" s="3225" t="s">
        <v>2914</v>
      </c>
      <c r="C207" s="3225">
        <v>6950</v>
      </c>
      <c r="D207" s="3225">
        <v>6900</v>
      </c>
      <c r="E207" s="3225">
        <v>9110</v>
      </c>
      <c r="F207" s="3225">
        <v>1790</v>
      </c>
      <c r="G207" s="3238">
        <v>4360</v>
      </c>
    </row>
    <row r="208" spans="1:7" s="3214" customFormat="1" ht="14.25" customHeight="1">
      <c r="A208" s="3225" t="s">
        <v>304</v>
      </c>
      <c r="B208" s="3225" t="s">
        <v>3088</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2924</v>
      </c>
      <c r="C210" s="3225">
        <v>8710</v>
      </c>
      <c r="D210" s="3225">
        <v>8660</v>
      </c>
      <c r="E210" s="3225">
        <v>11440</v>
      </c>
      <c r="F210" s="3225">
        <v>1740</v>
      </c>
      <c r="G210" s="3238">
        <v>5470</v>
      </c>
    </row>
    <row r="211" spans="1:7" s="3214" customFormat="1" ht="14.25" customHeight="1">
      <c r="A211" s="3225" t="s">
        <v>304</v>
      </c>
      <c r="B211" s="3225" t="s">
        <v>3089</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3090</v>
      </c>
      <c r="C214" s="3225">
        <v>8090</v>
      </c>
      <c r="D214" s="3225">
        <v>8030</v>
      </c>
      <c r="E214" s="3225">
        <v>10780</v>
      </c>
      <c r="F214" s="3225">
        <v>1570</v>
      </c>
      <c r="G214" s="3238">
        <v>5070</v>
      </c>
    </row>
    <row r="215" spans="1:7" s="3214" customFormat="1" ht="14.25" customHeight="1">
      <c r="A215" s="3225" t="s">
        <v>304</v>
      </c>
      <c r="B215" s="3225" t="s">
        <v>3091</v>
      </c>
      <c r="C215" s="3225">
        <v>7950</v>
      </c>
      <c r="D215" s="3225">
        <v>7900</v>
      </c>
      <c r="E215" s="3225">
        <v>10560</v>
      </c>
      <c r="F215" s="3225">
        <v>1630</v>
      </c>
      <c r="G215" s="3238">
        <v>4990</v>
      </c>
    </row>
    <row r="216" spans="1:7" s="3214" customFormat="1" ht="14.25" customHeight="1">
      <c r="A216" s="3225" t="s">
        <v>304</v>
      </c>
      <c r="B216" s="3225" t="s">
        <v>3092</v>
      </c>
      <c r="C216" s="3225">
        <v>8490</v>
      </c>
      <c r="D216" s="3225">
        <v>8440</v>
      </c>
      <c r="E216" s="3225">
        <v>11260</v>
      </c>
      <c r="F216" s="3225">
        <v>1690</v>
      </c>
      <c r="G216" s="3238">
        <v>5330</v>
      </c>
    </row>
    <row r="217" spans="1:7" s="3214" customFormat="1" ht="14.25" customHeight="1">
      <c r="A217" s="3225" t="s">
        <v>304</v>
      </c>
      <c r="B217" s="3225" t="s">
        <v>2957</v>
      </c>
      <c r="C217" s="3225">
        <v>8200</v>
      </c>
      <c r="D217" s="3225">
        <v>8150</v>
      </c>
      <c r="E217" s="3225">
        <v>10910</v>
      </c>
      <c r="F217" s="3225">
        <v>1670</v>
      </c>
      <c r="G217" s="3238">
        <v>5150</v>
      </c>
    </row>
    <row r="218" spans="1:7" s="3214" customFormat="1" ht="14.25" customHeight="1">
      <c r="A218" s="3225" t="s">
        <v>304</v>
      </c>
      <c r="B218" s="3225" t="s">
        <v>3093</v>
      </c>
      <c r="C218" s="3225"/>
      <c r="D218" s="3225"/>
      <c r="E218" s="3225"/>
      <c r="F218" s="3225">
        <v>2040</v>
      </c>
      <c r="G218" s="3238"/>
    </row>
    <row r="219" spans="1:7" s="3214" customFormat="1" ht="14.25" customHeight="1">
      <c r="A219" s="3225" t="s">
        <v>304</v>
      </c>
      <c r="B219" s="3225" t="s">
        <v>3094</v>
      </c>
      <c r="C219" s="3225"/>
      <c r="D219" s="3225"/>
      <c r="E219" s="3225"/>
      <c r="F219" s="3225">
        <v>2040</v>
      </c>
      <c r="G219" s="3238"/>
    </row>
    <row r="220" spans="1:7" s="3214" customFormat="1" ht="14.25" customHeight="1">
      <c r="A220" s="3225" t="s">
        <v>304</v>
      </c>
      <c r="B220" s="3225" t="s">
        <v>3095</v>
      </c>
      <c r="C220" s="3225"/>
      <c r="D220" s="3225"/>
      <c r="E220" s="3225"/>
      <c r="F220" s="3225">
        <v>2040</v>
      </c>
      <c r="G220" s="3238"/>
    </row>
    <row r="221" spans="1:7" s="3214" customFormat="1" ht="14.25" customHeight="1">
      <c r="A221" s="3225" t="s">
        <v>304</v>
      </c>
      <c r="B221" s="3225" t="s">
        <v>3096</v>
      </c>
      <c r="C221" s="3225"/>
      <c r="D221" s="3225"/>
      <c r="E221" s="3225"/>
      <c r="F221" s="3225">
        <v>2040</v>
      </c>
      <c r="G221" s="3238"/>
    </row>
    <row r="222" spans="1:7" s="3214" customFormat="1" ht="14.25" customHeight="1">
      <c r="A222" s="3225" t="s">
        <v>304</v>
      </c>
      <c r="B222" s="3225" t="s">
        <v>3097</v>
      </c>
      <c r="C222" s="3225"/>
      <c r="D222" s="3225"/>
      <c r="E222" s="3225"/>
      <c r="F222" s="3225">
        <v>2040</v>
      </c>
      <c r="G222" s="3238"/>
    </row>
    <row r="223" spans="1:7" s="3214" customFormat="1" ht="14.25" customHeight="1">
      <c r="A223" s="3225" t="s">
        <v>304</v>
      </c>
      <c r="B223" s="3225" t="s">
        <v>3098</v>
      </c>
      <c r="C223" s="3225"/>
      <c r="D223" s="3225"/>
      <c r="E223" s="3225"/>
      <c r="F223" s="3225">
        <v>1930</v>
      </c>
      <c r="G223" s="3238"/>
    </row>
    <row r="224" spans="1:7" s="3214" customFormat="1" ht="14.25" customHeight="1">
      <c r="A224" s="3225" t="s">
        <v>304</v>
      </c>
      <c r="B224" s="3225" t="s">
        <v>3099</v>
      </c>
      <c r="C224" s="3225"/>
      <c r="D224" s="3225"/>
      <c r="E224" s="3225"/>
      <c r="F224" s="3225">
        <v>1930</v>
      </c>
      <c r="G224" s="3238"/>
    </row>
    <row r="225" spans="1:7" s="3214" customFormat="1" ht="14.25" customHeight="1">
      <c r="A225" s="3225" t="s">
        <v>304</v>
      </c>
      <c r="B225" s="3225" t="s">
        <v>3100</v>
      </c>
      <c r="C225" s="3225"/>
      <c r="D225" s="3225"/>
      <c r="E225" s="3225"/>
      <c r="F225" s="3225">
        <v>1930</v>
      </c>
      <c r="G225" s="3238"/>
    </row>
    <row r="226" spans="1:7" s="3214" customFormat="1" ht="14.25" customHeight="1">
      <c r="A226" s="3225" t="s">
        <v>304</v>
      </c>
      <c r="B226" s="3225" t="s">
        <v>3101</v>
      </c>
      <c r="C226" s="3225"/>
      <c r="D226" s="3225"/>
      <c r="E226" s="3225"/>
      <c r="F226" s="3225">
        <v>1700</v>
      </c>
      <c r="G226" s="3238"/>
    </row>
    <row r="227" spans="1:7" s="3214" customFormat="1" ht="14.25" customHeight="1">
      <c r="A227" s="3225" t="s">
        <v>304</v>
      </c>
      <c r="B227" s="3225" t="s">
        <v>3102</v>
      </c>
      <c r="C227" s="3225"/>
      <c r="D227" s="3225"/>
      <c r="E227" s="3225"/>
      <c r="F227" s="3225">
        <v>1520</v>
      </c>
      <c r="G227" s="3238"/>
    </row>
    <row r="228" spans="1:7" s="3214" customFormat="1" ht="14.25" customHeight="1">
      <c r="A228" s="3225" t="s">
        <v>304</v>
      </c>
      <c r="B228" s="3225" t="s">
        <v>3103</v>
      </c>
      <c r="C228" s="3225"/>
      <c r="D228" s="3225"/>
      <c r="E228" s="3225"/>
      <c r="F228" s="3225">
        <v>1520</v>
      </c>
      <c r="G228" s="3238"/>
    </row>
    <row r="229" spans="1:7" s="3214" customFormat="1" ht="14.25" customHeight="1">
      <c r="A229" s="3225" t="s">
        <v>304</v>
      </c>
      <c r="B229" s="3225" t="s">
        <v>3020</v>
      </c>
      <c r="C229" s="3225"/>
      <c r="D229" s="3225"/>
      <c r="E229" s="3225"/>
      <c r="F229" s="3225">
        <v>1520</v>
      </c>
      <c r="G229" s="3238"/>
    </row>
    <row r="230" spans="1:7" s="3214" customFormat="1" ht="14.25" customHeight="1">
      <c r="A230" s="3225" t="s">
        <v>304</v>
      </c>
      <c r="B230" s="3225" t="s">
        <v>3104</v>
      </c>
      <c r="C230" s="3225"/>
      <c r="D230" s="3225"/>
      <c r="E230" s="3225"/>
      <c r="F230" s="3225">
        <v>1820</v>
      </c>
      <c r="G230" s="3238"/>
    </row>
    <row r="231" spans="1:7" s="3214" customFormat="1" ht="14.25" customHeight="1">
      <c r="A231" s="3225" t="s">
        <v>304</v>
      </c>
      <c r="B231" s="3225" t="s">
        <v>3105</v>
      </c>
      <c r="C231" s="3225"/>
      <c r="D231" s="3225"/>
      <c r="E231" s="3225"/>
      <c r="F231" s="3225">
        <v>1760</v>
      </c>
      <c r="G231" s="3238"/>
    </row>
    <row r="232" spans="1:7" s="3214" customFormat="1" ht="14.25" customHeight="1">
      <c r="A232" s="3225" t="s">
        <v>304</v>
      </c>
      <c r="B232" s="3225" t="s">
        <v>3106</v>
      </c>
      <c r="C232" s="3225"/>
      <c r="D232" s="3225"/>
      <c r="E232" s="3225"/>
      <c r="F232" s="3225">
        <v>1840</v>
      </c>
      <c r="G232" s="3238"/>
    </row>
    <row r="233" spans="1:7" s="3214" customFormat="1" ht="14.25" customHeight="1" thickBot="1">
      <c r="A233" s="3239" t="s">
        <v>304</v>
      </c>
      <c r="B233" s="3232" t="s">
        <v>3037</v>
      </c>
      <c r="C233" s="3232"/>
      <c r="D233" s="3232"/>
      <c r="E233" s="3232"/>
      <c r="F233" s="3232">
        <v>1770</v>
      </c>
      <c r="G233" s="3240"/>
    </row>
    <row r="234" spans="1:7" s="3214" customFormat="1" ht="14.25" customHeight="1">
      <c r="A234" s="3230" t="s">
        <v>305</v>
      </c>
      <c r="B234" s="3221" t="s">
        <v>3107</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2878</v>
      </c>
      <c r="C238" s="3225">
        <v>6920</v>
      </c>
      <c r="D238" s="3225">
        <v>6890</v>
      </c>
      <c r="E238" s="3225">
        <v>8640</v>
      </c>
      <c r="F238" s="3225">
        <v>1310</v>
      </c>
      <c r="G238" s="3225">
        <v>4230</v>
      </c>
    </row>
    <row r="239" spans="1:7" s="3214" customFormat="1" ht="14.25" customHeight="1">
      <c r="A239" s="3225" t="s">
        <v>305</v>
      </c>
      <c r="B239" s="3225" t="s">
        <v>3108</v>
      </c>
      <c r="C239" s="3225">
        <v>6780</v>
      </c>
      <c r="D239" s="3225">
        <v>6750</v>
      </c>
      <c r="E239" s="3225">
        <v>8440</v>
      </c>
      <c r="F239" s="3225">
        <v>1160</v>
      </c>
      <c r="G239" s="3225">
        <v>4140</v>
      </c>
    </row>
    <row r="240" spans="1:7" s="3214" customFormat="1" ht="14.25" customHeight="1">
      <c r="A240" s="3225" t="s">
        <v>305</v>
      </c>
      <c r="B240" s="3225" t="s">
        <v>3109</v>
      </c>
      <c r="C240" s="3225">
        <v>5420</v>
      </c>
      <c r="D240" s="3225">
        <v>5380</v>
      </c>
      <c r="E240" s="3225">
        <v>6640</v>
      </c>
      <c r="F240" s="3225">
        <v>1020</v>
      </c>
      <c r="G240" s="3225">
        <v>3300</v>
      </c>
    </row>
    <row r="241" spans="1:7" s="3214" customFormat="1" ht="14.25" customHeight="1">
      <c r="A241" s="3225" t="s">
        <v>305</v>
      </c>
      <c r="B241" s="3225" t="s">
        <v>3110</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3111</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3112</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3113</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3114</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3115</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2940</v>
      </c>
      <c r="C258" s="3225">
        <v>6190</v>
      </c>
      <c r="D258" s="3225">
        <v>6160</v>
      </c>
      <c r="E258" s="3225">
        <v>7680</v>
      </c>
      <c r="F258" s="3225">
        <v>1170</v>
      </c>
      <c r="G258" s="3225">
        <v>3780</v>
      </c>
    </row>
    <row r="259" spans="1:7" s="3214" customFormat="1" ht="14.25" customHeight="1">
      <c r="A259" s="3225" t="s">
        <v>305</v>
      </c>
      <c r="B259" s="3225" t="s">
        <v>3116</v>
      </c>
      <c r="C259" s="3225">
        <v>7610</v>
      </c>
      <c r="D259" s="3225">
        <v>7570</v>
      </c>
      <c r="E259" s="3225">
        <v>9350</v>
      </c>
      <c r="F259" s="3225">
        <v>1350</v>
      </c>
      <c r="G259" s="3225">
        <v>4650</v>
      </c>
    </row>
    <row r="260" spans="1:7" s="3214" customFormat="1" ht="14.25" customHeight="1">
      <c r="A260" s="3225" t="s">
        <v>305</v>
      </c>
      <c r="B260" s="3225" t="s">
        <v>3117</v>
      </c>
      <c r="C260" s="3225">
        <v>6920</v>
      </c>
      <c r="D260" s="3225">
        <v>6880</v>
      </c>
      <c r="E260" s="3225">
        <v>8380</v>
      </c>
      <c r="F260" s="3225">
        <v>1160</v>
      </c>
      <c r="G260" s="3225">
        <v>4220</v>
      </c>
    </row>
    <row r="261" spans="1:7" s="3214" customFormat="1" ht="14.25" customHeight="1">
      <c r="A261" s="3225" t="s">
        <v>305</v>
      </c>
      <c r="B261" s="3225" t="s">
        <v>3118</v>
      </c>
      <c r="C261" s="3225">
        <v>6850</v>
      </c>
      <c r="D261" s="3225">
        <v>6810</v>
      </c>
      <c r="E261" s="3225">
        <v>8290</v>
      </c>
      <c r="F261" s="3225">
        <v>1130</v>
      </c>
      <c r="G261" s="3225">
        <v>4180</v>
      </c>
    </row>
    <row r="262" spans="1:7" s="3214" customFormat="1" ht="14.25" customHeight="1">
      <c r="A262" s="3225" t="s">
        <v>305</v>
      </c>
      <c r="B262" s="3225" t="s">
        <v>3119</v>
      </c>
      <c r="C262" s="3225">
        <v>5860</v>
      </c>
      <c r="D262" s="3225">
        <v>5820</v>
      </c>
      <c r="E262" s="3225">
        <v>7640</v>
      </c>
      <c r="F262" s="3225">
        <v>1070</v>
      </c>
      <c r="G262" s="3225">
        <v>3570</v>
      </c>
    </row>
    <row r="263" spans="1:7" s="3214" customFormat="1" ht="14.25" customHeight="1">
      <c r="A263" s="3225" t="s">
        <v>305</v>
      </c>
      <c r="B263" s="3225" t="s">
        <v>3120</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3121</v>
      </c>
      <c r="C265" s="3225"/>
      <c r="D265" s="3225"/>
      <c r="E265" s="3225"/>
      <c r="F265" s="3225">
        <v>1500</v>
      </c>
      <c r="G265" s="3225"/>
    </row>
    <row r="266" spans="1:7" s="3214" customFormat="1" ht="14.25" customHeight="1">
      <c r="A266" s="3225" t="s">
        <v>305</v>
      </c>
      <c r="B266" s="3225" t="s">
        <v>3122</v>
      </c>
      <c r="C266" s="3225"/>
      <c r="D266" s="3225"/>
      <c r="E266" s="3225"/>
      <c r="F266" s="3225">
        <v>1500</v>
      </c>
      <c r="G266" s="3225"/>
    </row>
    <row r="267" spans="1:7" s="3214" customFormat="1" ht="14.25" customHeight="1">
      <c r="A267" s="3225" t="s">
        <v>305</v>
      </c>
      <c r="B267" s="3225" t="s">
        <v>3123</v>
      </c>
      <c r="C267" s="3225"/>
      <c r="D267" s="3225"/>
      <c r="E267" s="3225"/>
      <c r="F267" s="3225">
        <v>1500</v>
      </c>
      <c r="G267" s="3225"/>
    </row>
    <row r="268" spans="1:7" s="3214" customFormat="1" ht="14.25" customHeight="1">
      <c r="A268" s="3225" t="s">
        <v>305</v>
      </c>
      <c r="B268" s="3225" t="s">
        <v>3124</v>
      </c>
      <c r="C268" s="3225"/>
      <c r="D268" s="3225"/>
      <c r="E268" s="3225"/>
      <c r="F268" s="3225">
        <v>1290</v>
      </c>
      <c r="G268" s="3225"/>
    </row>
    <row r="269" spans="1:7" s="3214" customFormat="1" ht="14.25" customHeight="1">
      <c r="A269" s="3225" t="s">
        <v>305</v>
      </c>
      <c r="B269" s="3225" t="s">
        <v>3125</v>
      </c>
      <c r="C269" s="3225"/>
      <c r="D269" s="3225"/>
      <c r="E269" s="3225"/>
      <c r="F269" s="3225">
        <v>1150</v>
      </c>
      <c r="G269" s="3225"/>
    </row>
    <row r="270" spans="1:7" s="3214" customFormat="1" ht="14.25" customHeight="1">
      <c r="A270" s="3225" t="s">
        <v>305</v>
      </c>
      <c r="B270" s="3225" t="s">
        <v>3126</v>
      </c>
      <c r="C270" s="3225"/>
      <c r="D270" s="3225"/>
      <c r="E270" s="3225"/>
      <c r="F270" s="3225">
        <v>1380</v>
      </c>
      <c r="G270" s="3225"/>
    </row>
    <row r="271" spans="1:7" s="3214" customFormat="1" ht="14.25" customHeight="1">
      <c r="A271" s="3225" t="s">
        <v>305</v>
      </c>
      <c r="B271" s="3225" t="s">
        <v>3127</v>
      </c>
      <c r="C271" s="3225"/>
      <c r="D271" s="3225"/>
      <c r="E271" s="3225"/>
      <c r="F271" s="3225">
        <v>1460</v>
      </c>
      <c r="G271" s="3225"/>
    </row>
    <row r="272" spans="1:7" s="3214" customFormat="1" ht="14.25" customHeight="1">
      <c r="A272" s="3225" t="s">
        <v>305</v>
      </c>
      <c r="B272" s="3225" t="s">
        <v>3128</v>
      </c>
      <c r="C272" s="3225"/>
      <c r="D272" s="3225"/>
      <c r="E272" s="3225"/>
      <c r="F272" s="3225">
        <v>1460</v>
      </c>
      <c r="G272" s="3225"/>
    </row>
    <row r="273" spans="1:7" s="3214" customFormat="1" ht="14.25" customHeight="1">
      <c r="A273" s="3225" t="s">
        <v>305</v>
      </c>
      <c r="B273" s="3225" t="s">
        <v>3021</v>
      </c>
      <c r="C273" s="3225"/>
      <c r="D273" s="3225"/>
      <c r="E273" s="3225"/>
      <c r="F273" s="3225">
        <v>1490</v>
      </c>
      <c r="G273" s="3225"/>
    </row>
    <row r="274" spans="1:7" s="3214" customFormat="1" ht="14.25" customHeight="1">
      <c r="A274" s="3225" t="s">
        <v>305</v>
      </c>
      <c r="B274" s="3225" t="s">
        <v>3129</v>
      </c>
      <c r="C274" s="3225"/>
      <c r="D274" s="3225"/>
      <c r="E274" s="3225"/>
      <c r="F274" s="3225">
        <v>1490</v>
      </c>
      <c r="G274" s="3225"/>
    </row>
    <row r="275" spans="1:7" s="3214" customFormat="1" ht="14.25" customHeight="1">
      <c r="A275" s="3225" t="s">
        <v>305</v>
      </c>
      <c r="B275" s="3225" t="s">
        <v>3130</v>
      </c>
      <c r="C275" s="3225"/>
      <c r="D275" s="3225"/>
      <c r="E275" s="3225"/>
      <c r="F275" s="3225">
        <v>1220</v>
      </c>
      <c r="G275" s="3225"/>
    </row>
    <row r="276" spans="1:7" s="3214" customFormat="1" ht="14.25" customHeight="1" thickBot="1">
      <c r="A276" s="3233" t="s">
        <v>305</v>
      </c>
      <c r="B276" s="3235" t="s">
        <v>3131</v>
      </c>
      <c r="C276" s="3236"/>
      <c r="D276" s="3236"/>
      <c r="E276" s="3236"/>
      <c r="F276" s="3236">
        <v>1380</v>
      </c>
      <c r="G276" s="3236"/>
    </row>
    <row r="277" spans="1:7" s="3214" customFormat="1" ht="14.25" customHeight="1">
      <c r="A277" s="3230" t="s">
        <v>306</v>
      </c>
      <c r="B277" s="3221" t="s">
        <v>3132</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3133</v>
      </c>
      <c r="C279" s="3225">
        <v>4760</v>
      </c>
      <c r="D279" s="3225">
        <v>4720</v>
      </c>
      <c r="E279" s="3225">
        <v>5540</v>
      </c>
      <c r="F279" s="3225">
        <v>810</v>
      </c>
      <c r="G279" s="3238">
        <v>2850</v>
      </c>
    </row>
    <row r="280" spans="1:7" s="3214" customFormat="1" ht="14.25" customHeight="1">
      <c r="A280" s="3225" t="s">
        <v>306</v>
      </c>
      <c r="B280" s="3225" t="s">
        <v>3134</v>
      </c>
      <c r="C280" s="3225">
        <v>4010</v>
      </c>
      <c r="D280" s="3225">
        <v>3950</v>
      </c>
      <c r="E280" s="3225">
        <v>4710</v>
      </c>
      <c r="F280" s="3225">
        <v>800</v>
      </c>
      <c r="G280" s="3238">
        <v>2390</v>
      </c>
    </row>
    <row r="281" spans="1:7" s="3214" customFormat="1" ht="14.25" customHeight="1">
      <c r="A281" s="3225" t="s">
        <v>306</v>
      </c>
      <c r="B281" s="3225" t="s">
        <v>3135</v>
      </c>
      <c r="C281" s="3225">
        <v>4480</v>
      </c>
      <c r="D281" s="3225">
        <v>4420</v>
      </c>
      <c r="E281" s="3225">
        <v>5230</v>
      </c>
      <c r="F281" s="3225">
        <v>870</v>
      </c>
      <c r="G281" s="3238">
        <v>2660</v>
      </c>
    </row>
    <row r="282" spans="1:7" s="3214" customFormat="1" ht="14.25" customHeight="1">
      <c r="A282" s="3225" t="s">
        <v>306</v>
      </c>
      <c r="B282" s="3225" t="s">
        <v>3136</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3137</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3138</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2913</v>
      </c>
      <c r="C293" s="3225">
        <v>5320</v>
      </c>
      <c r="D293" s="3225">
        <v>5270</v>
      </c>
      <c r="E293" s="3225">
        <v>6160</v>
      </c>
      <c r="F293" s="3225">
        <v>990</v>
      </c>
      <c r="G293" s="3238">
        <v>3170</v>
      </c>
    </row>
    <row r="294" spans="1:7" s="3214" customFormat="1" ht="14.25" customHeight="1">
      <c r="A294" s="3225" t="s">
        <v>306</v>
      </c>
      <c r="B294" s="3225" t="s">
        <v>3139</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2932</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3140</v>
      </c>
      <c r="C302" s="3225">
        <v>5520</v>
      </c>
      <c r="D302" s="3225">
        <v>5470</v>
      </c>
      <c r="E302" s="3225">
        <v>6410</v>
      </c>
      <c r="F302" s="3225">
        <v>950</v>
      </c>
      <c r="G302" s="3238">
        <v>3300</v>
      </c>
    </row>
    <row r="303" spans="1:7" s="3214" customFormat="1" ht="14.25" customHeight="1">
      <c r="A303" s="3225" t="s">
        <v>306</v>
      </c>
      <c r="B303" s="3225" t="s">
        <v>2952</v>
      </c>
      <c r="C303" s="3225">
        <v>5630</v>
      </c>
      <c r="D303" s="3225">
        <v>5590</v>
      </c>
      <c r="E303" s="3225">
        <v>6550</v>
      </c>
      <c r="F303" s="3225">
        <v>1010</v>
      </c>
      <c r="G303" s="3238">
        <v>3370</v>
      </c>
    </row>
    <row r="304" spans="1:7" s="3214" customFormat="1" ht="14.25" customHeight="1">
      <c r="A304" s="3225" t="s">
        <v>306</v>
      </c>
      <c r="B304" s="3225" t="s">
        <v>2959</v>
      </c>
      <c r="C304" s="3225">
        <v>5680</v>
      </c>
      <c r="D304" s="3225">
        <v>5620</v>
      </c>
      <c r="E304" s="3225">
        <v>6620</v>
      </c>
      <c r="F304" s="3225">
        <v>1050</v>
      </c>
      <c r="G304" s="3238">
        <v>3390</v>
      </c>
    </row>
    <row r="305" spans="1:7" s="3214" customFormat="1" ht="14.25" customHeight="1">
      <c r="A305" s="3225" t="s">
        <v>306</v>
      </c>
      <c r="B305" s="3225" t="s">
        <v>2965</v>
      </c>
      <c r="C305" s="3225">
        <v>5590</v>
      </c>
      <c r="D305" s="3225">
        <v>5530</v>
      </c>
      <c r="E305" s="3225">
        <v>6460</v>
      </c>
      <c r="F305" s="3225">
        <v>900</v>
      </c>
      <c r="G305" s="3238">
        <v>3340</v>
      </c>
    </row>
    <row r="306" spans="1:7" s="3214" customFormat="1" ht="14.25" customHeight="1">
      <c r="A306" s="3225" t="s">
        <v>306</v>
      </c>
      <c r="B306" s="3225" t="s">
        <v>3141</v>
      </c>
      <c r="C306" s="3225">
        <v>5560</v>
      </c>
      <c r="D306" s="3225">
        <v>5510</v>
      </c>
      <c r="E306" s="3225">
        <v>6440</v>
      </c>
      <c r="F306" s="3225">
        <v>900</v>
      </c>
      <c r="G306" s="3238">
        <v>3320</v>
      </c>
    </row>
    <row r="307" spans="1:7" s="3214" customFormat="1" ht="14.25" customHeight="1">
      <c r="A307" s="3225" t="s">
        <v>306</v>
      </c>
      <c r="B307" s="3225" t="s">
        <v>2977</v>
      </c>
      <c r="C307" s="3225">
        <v>5650</v>
      </c>
      <c r="D307" s="3225">
        <v>5600</v>
      </c>
      <c r="E307" s="3225">
        <v>6590</v>
      </c>
      <c r="F307" s="3225">
        <v>930</v>
      </c>
      <c r="G307" s="3238">
        <v>3380</v>
      </c>
    </row>
    <row r="308" spans="1:7" s="3214" customFormat="1" ht="14.25" customHeight="1">
      <c r="A308" s="3225" t="s">
        <v>306</v>
      </c>
      <c r="B308" s="3225" t="s">
        <v>3142</v>
      </c>
      <c r="C308" s="3225">
        <v>5620</v>
      </c>
      <c r="D308" s="3225">
        <v>5580</v>
      </c>
      <c r="E308" s="3225">
        <v>6540</v>
      </c>
      <c r="F308" s="3225">
        <v>910</v>
      </c>
      <c r="G308" s="3238">
        <v>3370</v>
      </c>
    </row>
    <row r="309" spans="1:7" s="3214" customFormat="1" ht="14.25" customHeight="1">
      <c r="A309" s="3225" t="s">
        <v>306</v>
      </c>
      <c r="B309" s="3225" t="s">
        <v>3143</v>
      </c>
      <c r="C309" s="3225">
        <v>5060</v>
      </c>
      <c r="D309" s="3225">
        <v>5020</v>
      </c>
      <c r="E309" s="3225">
        <v>6370</v>
      </c>
      <c r="F309" s="3225">
        <v>800</v>
      </c>
      <c r="G309" s="3238">
        <v>3020</v>
      </c>
    </row>
    <row r="310" spans="1:7" s="3214" customFormat="1" ht="14.25" customHeight="1">
      <c r="A310" s="3225" t="s">
        <v>306</v>
      </c>
      <c r="B310" s="3225" t="s">
        <v>2992</v>
      </c>
      <c r="C310" s="3225">
        <v>5150</v>
      </c>
      <c r="D310" s="3225">
        <v>5110</v>
      </c>
      <c r="E310" s="3225">
        <v>6500</v>
      </c>
      <c r="F310" s="3225">
        <v>880</v>
      </c>
      <c r="G310" s="3238">
        <v>3080</v>
      </c>
    </row>
    <row r="311" spans="1:7" s="3214" customFormat="1" ht="14.25" customHeight="1">
      <c r="A311" s="3225" t="s">
        <v>306</v>
      </c>
      <c r="B311" s="3225" t="s">
        <v>3144</v>
      </c>
      <c r="C311" s="3225">
        <v>4750</v>
      </c>
      <c r="D311" s="3225">
        <v>4710</v>
      </c>
      <c r="E311" s="3225">
        <v>5510</v>
      </c>
      <c r="F311" s="3225">
        <v>880</v>
      </c>
      <c r="G311" s="3238">
        <v>2840</v>
      </c>
    </row>
    <row r="312" spans="1:7" s="3214" customFormat="1" ht="14.25" customHeight="1">
      <c r="A312" s="3225" t="s">
        <v>306</v>
      </c>
      <c r="B312" s="3225" t="s">
        <v>3002</v>
      </c>
      <c r="C312" s="3225">
        <v>4690</v>
      </c>
      <c r="D312" s="3225">
        <v>4640</v>
      </c>
      <c r="E312" s="3225">
        <v>5420</v>
      </c>
      <c r="F312" s="3225">
        <v>800</v>
      </c>
      <c r="G312" s="3238">
        <v>2800</v>
      </c>
    </row>
    <row r="313" spans="1:7" s="3214" customFormat="1" ht="14.25" customHeight="1">
      <c r="A313" s="3225" t="s">
        <v>306</v>
      </c>
      <c r="B313" s="3225" t="s">
        <v>3007</v>
      </c>
      <c r="C313" s="3225">
        <v>4810</v>
      </c>
      <c r="D313" s="3225">
        <v>4760</v>
      </c>
      <c r="E313" s="3225">
        <v>5550</v>
      </c>
      <c r="F313" s="3225">
        <v>920</v>
      </c>
      <c r="G313" s="3238">
        <v>2870</v>
      </c>
    </row>
    <row r="314" spans="1:7" s="3214" customFormat="1" ht="14.25" customHeight="1">
      <c r="A314" s="3225" t="s">
        <v>306</v>
      </c>
      <c r="B314" s="3225" t="s">
        <v>3145</v>
      </c>
      <c r="C314" s="3225"/>
      <c r="D314" s="3225"/>
      <c r="E314" s="3225"/>
      <c r="F314" s="3225">
        <v>1020</v>
      </c>
      <c r="G314" s="3238"/>
    </row>
    <row r="315" spans="1:7" s="3214" customFormat="1" ht="14.25" customHeight="1">
      <c r="A315" s="3225" t="s">
        <v>306</v>
      </c>
      <c r="B315" s="3225" t="s">
        <v>3146</v>
      </c>
      <c r="C315" s="3225"/>
      <c r="D315" s="3225"/>
      <c r="E315" s="3225"/>
      <c r="F315" s="3225">
        <v>1050</v>
      </c>
      <c r="G315" s="3238"/>
    </row>
    <row r="316" spans="1:7" s="3214" customFormat="1" ht="14.25" customHeight="1">
      <c r="A316" s="3225" t="s">
        <v>306</v>
      </c>
      <c r="B316" s="3225" t="s">
        <v>3022</v>
      </c>
      <c r="C316" s="3225"/>
      <c r="D316" s="3225"/>
      <c r="E316" s="3225"/>
      <c r="F316" s="3225">
        <v>900</v>
      </c>
      <c r="G316" s="3238"/>
    </row>
    <row r="317" spans="1:7" s="3214" customFormat="1" ht="14.25" customHeight="1">
      <c r="A317" s="3225" t="s">
        <v>306</v>
      </c>
      <c r="B317" s="3225" t="s">
        <v>3147</v>
      </c>
      <c r="C317" s="3225"/>
      <c r="D317" s="3225"/>
      <c r="E317" s="3225"/>
      <c r="F317" s="3225">
        <v>920</v>
      </c>
      <c r="G317" s="3238"/>
    </row>
    <row r="318" spans="1:7" s="3214" customFormat="1" ht="14.25" customHeight="1">
      <c r="A318" s="3225" t="s">
        <v>306</v>
      </c>
      <c r="B318" s="3225" t="s">
        <v>3148</v>
      </c>
      <c r="C318" s="3225"/>
      <c r="D318" s="3225"/>
      <c r="E318" s="3225"/>
      <c r="F318" s="3225">
        <v>1080</v>
      </c>
      <c r="G318" s="3238"/>
    </row>
    <row r="319" spans="1:7" s="3214" customFormat="1" ht="14.25" customHeight="1">
      <c r="A319" s="3225" t="s">
        <v>306</v>
      </c>
      <c r="B319" s="3225" t="s">
        <v>3035</v>
      </c>
      <c r="C319" s="3225"/>
      <c r="D319" s="3225"/>
      <c r="E319" s="3225"/>
      <c r="F319" s="3225">
        <v>1020</v>
      </c>
      <c r="G319" s="3238"/>
    </row>
    <row r="320" spans="1:7" s="3214" customFormat="1" ht="14.25" customHeight="1">
      <c r="A320" s="3225" t="s">
        <v>306</v>
      </c>
      <c r="B320" s="3225" t="s">
        <v>3038</v>
      </c>
      <c r="C320" s="3225"/>
      <c r="D320" s="3225"/>
      <c r="E320" s="3225"/>
      <c r="F320" s="3225">
        <v>1050</v>
      </c>
      <c r="G320" s="3238"/>
    </row>
    <row r="321" spans="1:7" s="3214" customFormat="1" ht="14.25" customHeight="1">
      <c r="A321" s="3225" t="s">
        <v>306</v>
      </c>
      <c r="B321" s="3225" t="s">
        <v>3040</v>
      </c>
      <c r="C321" s="3225"/>
      <c r="D321" s="3225"/>
      <c r="E321" s="3225"/>
      <c r="F321" s="3225">
        <v>960</v>
      </c>
      <c r="G321" s="3238"/>
    </row>
    <row r="322" spans="1:7" s="3214" customFormat="1" ht="14.25" customHeight="1">
      <c r="A322" s="3225" t="s">
        <v>306</v>
      </c>
      <c r="B322" s="3225" t="s">
        <v>3042</v>
      </c>
      <c r="C322" s="3225"/>
      <c r="D322" s="3225"/>
      <c r="E322" s="3225"/>
      <c r="F322" s="3225">
        <v>960</v>
      </c>
      <c r="G322" s="3238"/>
    </row>
    <row r="323" spans="1:7" s="3214" customFormat="1" ht="14.25" customHeight="1">
      <c r="A323" s="3225" t="s">
        <v>306</v>
      </c>
      <c r="B323" s="3225" t="s">
        <v>3044</v>
      </c>
      <c r="C323" s="3225"/>
      <c r="D323" s="3225"/>
      <c r="E323" s="3225"/>
      <c r="F323" s="3225">
        <v>880</v>
      </c>
      <c r="G323" s="3238"/>
    </row>
    <row r="324" spans="1:7" s="3214" customFormat="1" ht="14.25" customHeight="1">
      <c r="A324" s="3225" t="s">
        <v>306</v>
      </c>
      <c r="B324" s="3225" t="s">
        <v>3046</v>
      </c>
      <c r="C324" s="3225"/>
      <c r="D324" s="3225"/>
      <c r="E324" s="3225"/>
      <c r="F324" s="3225">
        <v>930</v>
      </c>
      <c r="G324" s="3238"/>
    </row>
    <row r="325" spans="1:7" s="3214" customFormat="1" ht="14.25" customHeight="1">
      <c r="A325" s="3225" t="s">
        <v>306</v>
      </c>
      <c r="B325" s="3226" t="s">
        <v>3048</v>
      </c>
      <c r="C325" s="3225"/>
      <c r="D325" s="3225"/>
      <c r="E325" s="3225"/>
      <c r="F325" s="3225">
        <v>900</v>
      </c>
      <c r="G325" s="3238"/>
    </row>
    <row r="326" spans="1:7" s="3214" customFormat="1" ht="14.25" customHeight="1" thickBot="1">
      <c r="A326" s="3239" t="s">
        <v>306</v>
      </c>
      <c r="B326" s="3232" t="s">
        <v>3050</v>
      </c>
      <c r="C326" s="3232"/>
      <c r="D326" s="3232"/>
      <c r="E326" s="3232"/>
      <c r="F326" s="3232">
        <v>790</v>
      </c>
      <c r="G326" s="3240"/>
    </row>
    <row r="327" spans="1:7" s="3214" customFormat="1" ht="14.25" customHeight="1">
      <c r="A327" s="3230" t="s">
        <v>307</v>
      </c>
      <c r="B327" s="3221" t="s">
        <v>3149</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3150</v>
      </c>
      <c r="C329" s="3225">
        <v>2730</v>
      </c>
      <c r="D329" s="3225">
        <v>2690</v>
      </c>
      <c r="E329" s="3225">
        <v>3100</v>
      </c>
      <c r="F329" s="3225">
        <v>660</v>
      </c>
      <c r="G329" s="3225">
        <v>1610</v>
      </c>
    </row>
    <row r="330" spans="1:7" s="3214" customFormat="1" ht="14.25" customHeight="1">
      <c r="A330" s="3225" t="s">
        <v>307</v>
      </c>
      <c r="B330" s="3225" t="s">
        <v>3151</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2884</v>
      </c>
      <c r="C332" s="3225">
        <v>3520</v>
      </c>
      <c r="D332" s="3225">
        <v>3480</v>
      </c>
      <c r="E332" s="3225">
        <v>3830</v>
      </c>
      <c r="F332" s="3225">
        <v>720</v>
      </c>
      <c r="G332" s="3225">
        <v>2090</v>
      </c>
    </row>
    <row r="333" spans="1:7" s="3214" customFormat="1" ht="14.25" customHeight="1">
      <c r="A333" s="3225" t="s">
        <v>307</v>
      </c>
      <c r="B333" s="3225" t="s">
        <v>3152</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2894</v>
      </c>
      <c r="C336" s="3225">
        <v>3570</v>
      </c>
      <c r="D336" s="3225">
        <v>3530</v>
      </c>
      <c r="E336" s="3225">
        <v>3880</v>
      </c>
      <c r="F336" s="3225">
        <v>770</v>
      </c>
      <c r="G336" s="3225">
        <v>2110</v>
      </c>
    </row>
    <row r="337" spans="1:10" s="3214" customFormat="1" ht="14.25" customHeight="1">
      <c r="A337" s="3225" t="s">
        <v>307</v>
      </c>
      <c r="B337" s="3225" t="s">
        <v>3153</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3154</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3155</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2919</v>
      </c>
      <c r="C345" s="3225">
        <v>3190</v>
      </c>
      <c r="D345" s="3225">
        <v>3140</v>
      </c>
      <c r="E345" s="3225">
        <v>3450</v>
      </c>
      <c r="F345" s="3225">
        <v>720</v>
      </c>
      <c r="G345" s="3225">
        <v>1880</v>
      </c>
      <c r="J345" s="3214"/>
    </row>
    <row r="346" spans="1:10">
      <c r="A346" s="3225" t="s">
        <v>307</v>
      </c>
      <c r="B346" s="3225" t="s">
        <v>3156</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2928</v>
      </c>
      <c r="C348" s="3225">
        <v>4000</v>
      </c>
      <c r="D348" s="3225">
        <v>3950</v>
      </c>
      <c r="E348" s="3225">
        <v>4430</v>
      </c>
      <c r="F348" s="3225">
        <v>760</v>
      </c>
      <c r="G348" s="3225">
        <v>2360</v>
      </c>
      <c r="J348" s="3214"/>
    </row>
    <row r="349" spans="1:10">
      <c r="A349" s="3225" t="s">
        <v>307</v>
      </c>
      <c r="B349" s="3225" t="s">
        <v>2933</v>
      </c>
      <c r="C349" s="3225">
        <v>3820</v>
      </c>
      <c r="D349" s="3225">
        <v>3780</v>
      </c>
      <c r="E349" s="3225">
        <v>4170</v>
      </c>
      <c r="F349" s="3225">
        <v>710</v>
      </c>
      <c r="G349" s="3225">
        <v>2260</v>
      </c>
      <c r="J349" s="3214"/>
    </row>
    <row r="350" spans="1:10">
      <c r="A350" s="3225" t="s">
        <v>307</v>
      </c>
      <c r="B350" s="3225" t="s">
        <v>3157</v>
      </c>
      <c r="C350" s="3225">
        <v>3760</v>
      </c>
      <c r="D350" s="3225">
        <v>3730</v>
      </c>
      <c r="E350" s="3225">
        <v>4100</v>
      </c>
      <c r="F350" s="3225">
        <v>800</v>
      </c>
      <c r="G350" s="3225">
        <v>2230</v>
      </c>
      <c r="J350" s="3214"/>
    </row>
    <row r="351" spans="1:10">
      <c r="A351" s="3225" t="s">
        <v>307</v>
      </c>
      <c r="B351" s="3225" t="s">
        <v>2941</v>
      </c>
      <c r="C351" s="3225">
        <v>3610</v>
      </c>
      <c r="D351" s="3225">
        <v>3580</v>
      </c>
      <c r="E351" s="3225">
        <v>3930</v>
      </c>
      <c r="F351" s="3225">
        <v>700</v>
      </c>
      <c r="G351" s="3225">
        <v>2140</v>
      </c>
      <c r="J351" s="3214"/>
    </row>
    <row r="352" spans="1:10">
      <c r="A352" s="3225" t="s">
        <v>307</v>
      </c>
      <c r="B352" s="3225" t="s">
        <v>2946</v>
      </c>
      <c r="C352" s="3225">
        <v>3670</v>
      </c>
      <c r="D352" s="3225">
        <v>3630</v>
      </c>
      <c r="E352" s="3225">
        <v>4000</v>
      </c>
      <c r="F352" s="3225">
        <v>750</v>
      </c>
      <c r="G352" s="3225">
        <v>2180</v>
      </c>
    </row>
    <row r="353" spans="1:7" s="3218" customFormat="1">
      <c r="A353" s="3225" t="s">
        <v>307</v>
      </c>
      <c r="B353" s="3225" t="s">
        <v>3158</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2966</v>
      </c>
      <c r="C355" s="3225">
        <v>3650</v>
      </c>
      <c r="D355" s="3225">
        <v>3610</v>
      </c>
      <c r="E355" s="3225">
        <v>4200</v>
      </c>
      <c r="F355" s="3225">
        <v>640</v>
      </c>
      <c r="G355" s="3225">
        <v>2160</v>
      </c>
    </row>
    <row r="356" spans="1:7" s="3218" customFormat="1">
      <c r="A356" s="3225" t="s">
        <v>307</v>
      </c>
      <c r="B356" s="3225" t="s">
        <v>2973</v>
      </c>
      <c r="C356" s="3225">
        <v>3260</v>
      </c>
      <c r="D356" s="3225">
        <v>3230</v>
      </c>
      <c r="E356" s="3225">
        <v>3740</v>
      </c>
      <c r="F356" s="3225">
        <v>600</v>
      </c>
      <c r="G356" s="3225">
        <v>1930</v>
      </c>
    </row>
    <row r="357" spans="1:7" s="3218" customFormat="1" ht="12" thickBot="1">
      <c r="A357" s="3233" t="s">
        <v>307</v>
      </c>
      <c r="B357" s="3236" t="s">
        <v>3159</v>
      </c>
      <c r="C357" s="3236">
        <v>3690</v>
      </c>
      <c r="D357" s="3236">
        <v>3650</v>
      </c>
      <c r="E357" s="3236">
        <v>4020</v>
      </c>
      <c r="F357" s="3236">
        <v>700</v>
      </c>
      <c r="G357" s="3236">
        <v>2190</v>
      </c>
    </row>
    <row r="358" spans="1:7" s="3218" customFormat="1">
      <c r="A358" s="3230" t="s">
        <v>3160</v>
      </c>
      <c r="B358" s="3221" t="s">
        <v>3161</v>
      </c>
      <c r="C358" s="3221">
        <v>2080</v>
      </c>
      <c r="D358" s="3221">
        <v>2040</v>
      </c>
      <c r="E358" s="3221">
        <v>2010</v>
      </c>
      <c r="F358" s="3221">
        <v>530</v>
      </c>
      <c r="G358" s="3237">
        <v>1230</v>
      </c>
    </row>
    <row r="359" spans="1:7" s="3218" customFormat="1">
      <c r="A359" s="3225" t="s">
        <v>3160</v>
      </c>
      <c r="B359" s="3225" t="s">
        <v>3162</v>
      </c>
      <c r="C359" s="3225">
        <v>1850</v>
      </c>
      <c r="D359" s="3225">
        <v>1820</v>
      </c>
      <c r="E359" s="3225">
        <v>1780</v>
      </c>
      <c r="F359" s="3225">
        <v>520</v>
      </c>
      <c r="G359" s="3238">
        <v>1100</v>
      </c>
    </row>
    <row r="360" spans="1:7" s="3218" customFormat="1">
      <c r="A360" s="3225" t="s">
        <v>3160</v>
      </c>
      <c r="B360" s="3225" t="s">
        <v>3163</v>
      </c>
      <c r="C360" s="3225">
        <v>2020</v>
      </c>
      <c r="D360" s="3225">
        <v>1990</v>
      </c>
      <c r="E360" s="3225">
        <v>1950</v>
      </c>
      <c r="F360" s="3225">
        <v>500</v>
      </c>
      <c r="G360" s="3238">
        <v>1200</v>
      </c>
    </row>
    <row r="361" spans="1:7" s="3218" customFormat="1">
      <c r="A361" s="3225" t="s">
        <v>3160</v>
      </c>
      <c r="B361" s="3225" t="s">
        <v>153</v>
      </c>
      <c r="C361" s="3225">
        <v>2260</v>
      </c>
      <c r="D361" s="3225">
        <v>2220</v>
      </c>
      <c r="E361" s="3225">
        <v>2180</v>
      </c>
      <c r="F361" s="3225">
        <v>580</v>
      </c>
      <c r="G361" s="3238">
        <v>1340</v>
      </c>
    </row>
    <row r="362" spans="1:7" s="3218" customFormat="1">
      <c r="A362" s="3225" t="s">
        <v>3160</v>
      </c>
      <c r="B362" s="3225" t="s">
        <v>3164</v>
      </c>
      <c r="C362" s="3225">
        <v>2650</v>
      </c>
      <c r="D362" s="3225">
        <v>2610</v>
      </c>
      <c r="E362" s="3225">
        <v>2570</v>
      </c>
      <c r="F362" s="3225">
        <v>630</v>
      </c>
      <c r="G362" s="3238">
        <v>1570</v>
      </c>
    </row>
    <row r="363" spans="1:7" s="3218" customFormat="1">
      <c r="A363" s="3225" t="s">
        <v>3160</v>
      </c>
      <c r="B363" s="3225" t="s">
        <v>2885</v>
      </c>
      <c r="C363" s="3225">
        <v>2390</v>
      </c>
      <c r="D363" s="3225">
        <v>2360</v>
      </c>
      <c r="E363" s="3225">
        <v>2320</v>
      </c>
      <c r="F363" s="3225">
        <v>600</v>
      </c>
      <c r="G363" s="3238">
        <v>1420</v>
      </c>
    </row>
    <row r="364" spans="1:7" s="3218" customFormat="1">
      <c r="A364" s="3225" t="s">
        <v>3160</v>
      </c>
      <c r="B364" s="3225" t="s">
        <v>3165</v>
      </c>
      <c r="C364" s="3225">
        <v>2050</v>
      </c>
      <c r="D364" s="3225">
        <v>2030</v>
      </c>
      <c r="E364" s="3225">
        <v>1990</v>
      </c>
      <c r="F364" s="3225">
        <v>550</v>
      </c>
      <c r="G364" s="3238">
        <v>1220</v>
      </c>
    </row>
    <row r="365" spans="1:7" s="3218" customFormat="1">
      <c r="A365" s="3225" t="s">
        <v>3160</v>
      </c>
      <c r="B365" s="3225" t="s">
        <v>200</v>
      </c>
      <c r="C365" s="3225">
        <v>2140</v>
      </c>
      <c r="D365" s="3225">
        <v>2100</v>
      </c>
      <c r="E365" s="3225">
        <v>2060</v>
      </c>
      <c r="F365" s="3225">
        <v>540</v>
      </c>
      <c r="G365" s="3238">
        <v>1270</v>
      </c>
    </row>
    <row r="366" spans="1:7" s="3218" customFormat="1">
      <c r="A366" s="3225" t="s">
        <v>3160</v>
      </c>
      <c r="B366" s="3225" t="s">
        <v>2892</v>
      </c>
      <c r="C366" s="3225">
        <v>2410</v>
      </c>
      <c r="D366" s="3225">
        <v>2370</v>
      </c>
      <c r="E366" s="3225">
        <v>2330</v>
      </c>
      <c r="F366" s="3225">
        <v>570</v>
      </c>
      <c r="G366" s="3238">
        <v>1440</v>
      </c>
    </row>
    <row r="367" spans="1:7" s="3218" customFormat="1">
      <c r="A367" s="3225" t="s">
        <v>3160</v>
      </c>
      <c r="B367" s="3225" t="s">
        <v>3166</v>
      </c>
      <c r="C367" s="3225">
        <v>2300</v>
      </c>
      <c r="D367" s="3225">
        <v>2260</v>
      </c>
      <c r="E367" s="3225">
        <v>2220</v>
      </c>
      <c r="F367" s="3225">
        <v>560</v>
      </c>
      <c r="G367" s="3238">
        <v>1370</v>
      </c>
    </row>
    <row r="368" spans="1:7" s="3218" customFormat="1">
      <c r="A368" s="3225" t="s">
        <v>3160</v>
      </c>
      <c r="B368" s="3225" t="s">
        <v>3167</v>
      </c>
      <c r="C368" s="3225">
        <v>2430</v>
      </c>
      <c r="D368" s="3225">
        <v>2390</v>
      </c>
      <c r="E368" s="3225">
        <v>2350</v>
      </c>
      <c r="F368" s="3225">
        <v>570</v>
      </c>
      <c r="G368" s="3238">
        <v>1450</v>
      </c>
    </row>
    <row r="369" spans="1:7" s="3218" customFormat="1">
      <c r="A369" s="3225" t="s">
        <v>3160</v>
      </c>
      <c r="B369" s="3225" t="s">
        <v>214</v>
      </c>
      <c r="C369" s="3225">
        <v>2320</v>
      </c>
      <c r="D369" s="3225">
        <v>2290</v>
      </c>
      <c r="E369" s="3225">
        <v>2250</v>
      </c>
      <c r="F369" s="3225">
        <v>550</v>
      </c>
      <c r="G369" s="3238">
        <v>1380</v>
      </c>
    </row>
    <row r="370" spans="1:7" s="3218" customFormat="1">
      <c r="A370" s="3225" t="s">
        <v>3160</v>
      </c>
      <c r="B370" s="3225" t="s">
        <v>221</v>
      </c>
      <c r="C370" s="3225">
        <v>2190</v>
      </c>
      <c r="D370" s="3225">
        <v>2170</v>
      </c>
      <c r="E370" s="3225">
        <v>2130</v>
      </c>
      <c r="F370" s="3225">
        <v>530</v>
      </c>
      <c r="G370" s="3238">
        <v>1310</v>
      </c>
    </row>
    <row r="371" spans="1:7" s="3218" customFormat="1">
      <c r="A371" s="3225" t="s">
        <v>3160</v>
      </c>
      <c r="B371" s="3225" t="s">
        <v>229</v>
      </c>
      <c r="C371" s="3225">
        <v>2460</v>
      </c>
      <c r="D371" s="3225">
        <v>2420</v>
      </c>
      <c r="E371" s="3225">
        <v>2370</v>
      </c>
      <c r="F371" s="3225">
        <v>560</v>
      </c>
      <c r="G371" s="3238">
        <v>1470</v>
      </c>
    </row>
    <row r="372" spans="1:7" s="3218" customFormat="1">
      <c r="A372" s="3225" t="s">
        <v>3160</v>
      </c>
      <c r="B372" s="3225" t="s">
        <v>3168</v>
      </c>
      <c r="C372" s="3225">
        <v>2250</v>
      </c>
      <c r="D372" s="3225">
        <v>2210</v>
      </c>
      <c r="E372" s="3225">
        <v>2180</v>
      </c>
      <c r="F372" s="3225">
        <v>550</v>
      </c>
      <c r="G372" s="3238">
        <v>1340</v>
      </c>
    </row>
    <row r="373" spans="1:7" s="3218" customFormat="1">
      <c r="A373" s="3225" t="s">
        <v>3160</v>
      </c>
      <c r="B373" s="3225" t="s">
        <v>258</v>
      </c>
      <c r="C373" s="3225">
        <v>2210</v>
      </c>
      <c r="D373" s="3225">
        <v>2190</v>
      </c>
      <c r="E373" s="3225">
        <v>2150</v>
      </c>
      <c r="F373" s="3225">
        <v>530</v>
      </c>
      <c r="G373" s="3238">
        <v>1320</v>
      </c>
    </row>
    <row r="374" spans="1:7" s="3218" customFormat="1">
      <c r="A374" s="3225" t="s">
        <v>3160</v>
      </c>
      <c r="B374" s="3225" t="s">
        <v>266</v>
      </c>
      <c r="C374" s="3225">
        <v>2320</v>
      </c>
      <c r="D374" s="3225">
        <v>2280</v>
      </c>
      <c r="E374" s="3225">
        <v>2230</v>
      </c>
      <c r="F374" s="3225">
        <v>580</v>
      </c>
      <c r="G374" s="3238">
        <v>1380</v>
      </c>
    </row>
    <row r="375" spans="1:7" s="3218" customFormat="1">
      <c r="A375" s="3225" t="s">
        <v>3160</v>
      </c>
      <c r="B375" s="3225" t="s">
        <v>3169</v>
      </c>
      <c r="C375" s="3225">
        <v>2090</v>
      </c>
      <c r="D375" s="3225">
        <v>2050</v>
      </c>
      <c r="E375" s="3225">
        <v>2020</v>
      </c>
      <c r="F375" s="3225">
        <v>520</v>
      </c>
      <c r="G375" s="3238">
        <v>1240</v>
      </c>
    </row>
    <row r="376" spans="1:7" s="3218" customFormat="1">
      <c r="A376" s="3225" t="s">
        <v>3160</v>
      </c>
      <c r="B376" s="3225" t="s">
        <v>277</v>
      </c>
      <c r="C376" s="3225">
        <v>2010</v>
      </c>
      <c r="D376" s="3225">
        <v>1980</v>
      </c>
      <c r="E376" s="3225">
        <v>1940</v>
      </c>
      <c r="F376" s="3225">
        <v>540</v>
      </c>
      <c r="G376" s="3238">
        <v>1190</v>
      </c>
    </row>
    <row r="377" spans="1:7" s="3218" customFormat="1" ht="12" thickBot="1">
      <c r="A377" s="3233" t="s">
        <v>3160</v>
      </c>
      <c r="B377" s="3236" t="s">
        <v>2922</v>
      </c>
      <c r="C377" s="3236">
        <v>1930</v>
      </c>
      <c r="D377" s="3236">
        <v>1890</v>
      </c>
      <c r="E377" s="3236">
        <v>1860</v>
      </c>
      <c r="F377" s="3236">
        <v>530</v>
      </c>
      <c r="G377" s="3241">
        <v>1150</v>
      </c>
    </row>
    <row r="378" spans="1:7" s="3218" customFormat="1">
      <c r="A378" s="3242" t="s">
        <v>3170</v>
      </c>
      <c r="B378" s="3221" t="s">
        <v>3171</v>
      </c>
      <c r="C378" s="3221">
        <v>1520</v>
      </c>
      <c r="D378" s="3221">
        <v>1490</v>
      </c>
      <c r="E378" s="3221">
        <v>1460</v>
      </c>
      <c r="F378" s="3221">
        <v>460</v>
      </c>
      <c r="G378" s="3237">
        <v>940</v>
      </c>
    </row>
    <row r="379" spans="1:7" s="3218" customFormat="1">
      <c r="A379" s="3243" t="s">
        <v>3170</v>
      </c>
      <c r="B379" s="3225" t="s">
        <v>3172</v>
      </c>
      <c r="C379" s="3225">
        <v>1500</v>
      </c>
      <c r="D379" s="3225">
        <v>1470</v>
      </c>
      <c r="E379" s="3225">
        <v>1430</v>
      </c>
      <c r="F379" s="3225">
        <v>460</v>
      </c>
      <c r="G379" s="3238">
        <v>920</v>
      </c>
    </row>
    <row r="380" spans="1:7" s="3218" customFormat="1">
      <c r="A380" s="3243" t="s">
        <v>3170</v>
      </c>
      <c r="B380" s="3225" t="s">
        <v>3173</v>
      </c>
      <c r="C380" s="3225">
        <v>1620</v>
      </c>
      <c r="D380" s="3225">
        <v>1590</v>
      </c>
      <c r="E380" s="3225">
        <v>1560</v>
      </c>
      <c r="F380" s="3225">
        <v>480</v>
      </c>
      <c r="G380" s="3238">
        <v>1000</v>
      </c>
    </row>
    <row r="381" spans="1:7" s="3218" customFormat="1">
      <c r="A381" s="3243" t="s">
        <v>3170</v>
      </c>
      <c r="B381" s="3225" t="s">
        <v>3174</v>
      </c>
      <c r="C381" s="3225">
        <v>1460</v>
      </c>
      <c r="D381" s="3225">
        <v>1430</v>
      </c>
      <c r="E381" s="3225">
        <v>1390</v>
      </c>
      <c r="F381" s="3225">
        <v>450</v>
      </c>
      <c r="G381" s="3238">
        <v>900</v>
      </c>
    </row>
    <row r="382" spans="1:7" s="3218" customFormat="1">
      <c r="A382" s="3243" t="s">
        <v>3170</v>
      </c>
      <c r="B382" s="3225" t="s">
        <v>3175</v>
      </c>
      <c r="C382" s="3225">
        <v>1310</v>
      </c>
      <c r="D382" s="3225">
        <v>1280</v>
      </c>
      <c r="E382" s="3225">
        <v>1250</v>
      </c>
      <c r="F382" s="3225">
        <v>440</v>
      </c>
      <c r="G382" s="3238">
        <v>800</v>
      </c>
    </row>
    <row r="383" spans="1:7" s="3218" customFormat="1">
      <c r="A383" s="3243" t="s">
        <v>3170</v>
      </c>
      <c r="B383" s="3225" t="s">
        <v>3176</v>
      </c>
      <c r="C383" s="3225">
        <v>1260</v>
      </c>
      <c r="D383" s="3225">
        <v>1230</v>
      </c>
      <c r="E383" s="3225">
        <v>1200</v>
      </c>
      <c r="F383" s="3225">
        <v>420</v>
      </c>
      <c r="G383" s="3238">
        <v>770</v>
      </c>
    </row>
    <row r="384" spans="1:7" s="3218" customFormat="1" ht="12" thickBot="1">
      <c r="A384" s="3244" t="s">
        <v>3170</v>
      </c>
      <c r="B384" s="3232" t="s">
        <v>3177</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793" t="s">
        <v>3178</v>
      </c>
      <c r="B1" s="3793"/>
    </row>
    <row r="2" spans="1:7" ht="14.25" thickBot="1">
      <c r="A2" s="3247"/>
      <c r="B2" s="3247"/>
    </row>
    <row r="3" spans="1:7" ht="14.25" thickBot="1">
      <c r="A3" s="3247"/>
      <c r="B3" s="3247"/>
      <c r="C3" s="3248" t="s">
        <v>2806</v>
      </c>
      <c r="D3" s="3248" t="s">
        <v>2864</v>
      </c>
      <c r="E3" s="3248" t="s">
        <v>2808</v>
      </c>
      <c r="F3" s="3248" t="s">
        <v>2865</v>
      </c>
      <c r="G3" s="3248" t="s">
        <v>2626</v>
      </c>
    </row>
    <row r="4" spans="1:7" ht="14.25" thickBot="1">
      <c r="A4" s="3249" t="s">
        <v>2863</v>
      </c>
      <c r="B4" s="3250" t="s">
        <v>2869</v>
      </c>
      <c r="C4" s="3248"/>
      <c r="D4" s="3248"/>
      <c r="E4" s="3248"/>
      <c r="F4" s="3248"/>
      <c r="G4" s="3248"/>
    </row>
    <row r="5" spans="1:7">
      <c r="A5" s="3251" t="s">
        <v>2837</v>
      </c>
      <c r="B5" s="3252" t="s">
        <v>2851</v>
      </c>
      <c r="C5" s="3253">
        <v>9.8000000000000004E-2</v>
      </c>
      <c r="D5" s="3253">
        <v>8.6999999999999994E-2</v>
      </c>
      <c r="E5" s="3253">
        <v>8.6999999999999994E-2</v>
      </c>
      <c r="F5" s="3253">
        <v>9.8000000000000004E-2</v>
      </c>
      <c r="G5" s="3254">
        <v>9.5000000000000001E-2</v>
      </c>
    </row>
    <row r="6" spans="1:7">
      <c r="A6" s="3255" t="s">
        <v>144</v>
      </c>
      <c r="B6" s="3256" t="s">
        <v>2866</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2852</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2902</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2920</v>
      </c>
      <c r="C29" s="3265"/>
      <c r="D29" s="3261">
        <v>5.1999999999999998E-2</v>
      </c>
      <c r="E29" s="3261">
        <v>7.0000000000000007E-2</v>
      </c>
      <c r="F29" s="3265"/>
      <c r="G29" s="3263">
        <v>7.0999999999999994E-2</v>
      </c>
    </row>
    <row r="30" spans="1:7">
      <c r="A30" s="3266" t="s">
        <v>296</v>
      </c>
      <c r="B30" s="3252" t="s">
        <v>2853</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2839</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2923</v>
      </c>
      <c r="C50" s="3257">
        <v>9.8000000000000004E-2</v>
      </c>
      <c r="D50" s="3257">
        <v>7.2999999999999995E-2</v>
      </c>
      <c r="E50" s="3257">
        <v>7.0999999999999994E-2</v>
      </c>
      <c r="F50" s="3268"/>
      <c r="G50" s="3258">
        <v>7.2999999999999995E-2</v>
      </c>
    </row>
    <row r="51" spans="1:7">
      <c r="A51" s="3267" t="s">
        <v>296</v>
      </c>
      <c r="B51" s="3256" t="s">
        <v>2925</v>
      </c>
      <c r="C51" s="3257">
        <v>9.9000000000000005E-2</v>
      </c>
      <c r="D51" s="3257">
        <v>8.5000000000000006E-2</v>
      </c>
      <c r="E51" s="3257">
        <v>6.3E-2</v>
      </c>
      <c r="F51" s="3268"/>
      <c r="G51" s="3258">
        <v>9.6000000000000002E-2</v>
      </c>
    </row>
    <row r="52" spans="1:7">
      <c r="A52" s="3267" t="s">
        <v>296</v>
      </c>
      <c r="B52" s="3256" t="s">
        <v>2929</v>
      </c>
      <c r="C52" s="3257">
        <v>7.3999999999999996E-2</v>
      </c>
      <c r="D52" s="3257">
        <v>9.6000000000000002E-2</v>
      </c>
      <c r="E52" s="3257">
        <v>0.05</v>
      </c>
      <c r="F52" s="3268"/>
      <c r="G52" s="3258">
        <v>9.8000000000000004E-2</v>
      </c>
    </row>
    <row r="53" spans="1:7">
      <c r="A53" s="3267" t="s">
        <v>296</v>
      </c>
      <c r="B53" s="3256" t="s">
        <v>2934</v>
      </c>
      <c r="C53" s="3257">
        <v>8.5999999999999993E-2</v>
      </c>
      <c r="D53" s="3268"/>
      <c r="E53" s="3257">
        <v>9.1999999999999998E-2</v>
      </c>
      <c r="F53" s="3268"/>
      <c r="G53" s="3269"/>
    </row>
    <row r="54" spans="1:7" ht="14.25" thickBot="1">
      <c r="A54" s="3270" t="s">
        <v>296</v>
      </c>
      <c r="B54" s="3260" t="s">
        <v>2937</v>
      </c>
      <c r="C54" s="3261">
        <v>9.6000000000000002E-2</v>
      </c>
      <c r="D54" s="3262"/>
      <c r="E54" s="3271"/>
      <c r="F54" s="3262"/>
      <c r="G54" s="3272"/>
    </row>
    <row r="55" spans="1:7">
      <c r="A55" s="3266" t="s">
        <v>110</v>
      </c>
      <c r="B55" s="3252" t="s">
        <v>2854</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2935</v>
      </c>
      <c r="C78" s="3257">
        <v>0.1</v>
      </c>
      <c r="D78" s="3257">
        <v>8.5000000000000006E-2</v>
      </c>
      <c r="E78" s="3257">
        <v>9.6000000000000002E-2</v>
      </c>
      <c r="F78" s="3268"/>
      <c r="G78" s="3258">
        <v>9.6000000000000002E-2</v>
      </c>
    </row>
    <row r="79" spans="1:7">
      <c r="A79" s="3267" t="s">
        <v>110</v>
      </c>
      <c r="B79" s="3256" t="s">
        <v>2938</v>
      </c>
      <c r="C79" s="3257">
        <v>0.05</v>
      </c>
      <c r="D79" s="3257">
        <v>9.6000000000000002E-2</v>
      </c>
      <c r="E79" s="3257">
        <v>9.5000000000000001E-2</v>
      </c>
      <c r="F79" s="3268"/>
      <c r="G79" s="3258">
        <v>9.8000000000000004E-2</v>
      </c>
    </row>
    <row r="80" spans="1:7">
      <c r="A80" s="3267" t="s">
        <v>110</v>
      </c>
      <c r="B80" s="3256" t="s">
        <v>2942</v>
      </c>
      <c r="C80" s="3257">
        <v>8.5999999999999993E-2</v>
      </c>
      <c r="D80" s="3273"/>
      <c r="E80" s="3257">
        <v>0.1</v>
      </c>
      <c r="F80" s="3268"/>
      <c r="G80" s="3269"/>
    </row>
    <row r="81" spans="1:7">
      <c r="A81" s="3267" t="s">
        <v>110</v>
      </c>
      <c r="B81" s="3256" t="s">
        <v>2947</v>
      </c>
      <c r="C81" s="3257">
        <v>9.6000000000000002E-2</v>
      </c>
      <c r="D81" s="3268"/>
      <c r="E81" s="3257">
        <v>9.8000000000000004E-2</v>
      </c>
      <c r="F81" s="3268"/>
      <c r="G81" s="3269"/>
    </row>
    <row r="82" spans="1:7">
      <c r="A82" s="3267" t="s">
        <v>110</v>
      </c>
      <c r="B82" s="3256" t="s">
        <v>2954</v>
      </c>
      <c r="C82" s="3273"/>
      <c r="D82" s="3268"/>
      <c r="E82" s="3257">
        <v>7.6999999999999999E-2</v>
      </c>
      <c r="F82" s="3268"/>
      <c r="G82" s="3269"/>
    </row>
    <row r="83" spans="1:7">
      <c r="A83" s="3267" t="s">
        <v>110</v>
      </c>
      <c r="B83" s="3256" t="s">
        <v>2960</v>
      </c>
      <c r="C83" s="3268"/>
      <c r="D83" s="3268"/>
      <c r="E83" s="3268"/>
      <c r="F83" s="3257">
        <v>0.1</v>
      </c>
      <c r="G83" s="3274"/>
    </row>
    <row r="84" spans="1:7">
      <c r="A84" s="3267" t="s">
        <v>110</v>
      </c>
      <c r="B84" s="3256" t="s">
        <v>2967</v>
      </c>
      <c r="C84" s="3268"/>
      <c r="D84" s="3268"/>
      <c r="E84" s="3268"/>
      <c r="F84" s="3257">
        <v>0.1</v>
      </c>
      <c r="G84" s="3274"/>
    </row>
    <row r="85" spans="1:7">
      <c r="A85" s="3267" t="s">
        <v>110</v>
      </c>
      <c r="B85" s="3256" t="s">
        <v>2974</v>
      </c>
      <c r="C85" s="3268"/>
      <c r="D85" s="3268"/>
      <c r="E85" s="3268"/>
      <c r="F85" s="3257">
        <v>0.1</v>
      </c>
      <c r="G85" s="3274"/>
    </row>
    <row r="86" spans="1:7" ht="14.25" thickBot="1">
      <c r="A86" s="3270" t="s">
        <v>110</v>
      </c>
      <c r="B86" s="3260" t="s">
        <v>2979</v>
      </c>
      <c r="C86" s="3261">
        <v>9.8000000000000004E-2</v>
      </c>
      <c r="D86" s="3261">
        <v>9.8000000000000004E-2</v>
      </c>
      <c r="E86" s="3261">
        <v>9.6000000000000002E-2</v>
      </c>
      <c r="F86" s="3271"/>
      <c r="G86" s="3263">
        <v>0.1</v>
      </c>
    </row>
    <row r="87" spans="1:7">
      <c r="A87" s="3266" t="s">
        <v>303</v>
      </c>
      <c r="B87" s="3252" t="s">
        <v>2855</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2948</v>
      </c>
      <c r="C113" s="3257">
        <v>0.1</v>
      </c>
      <c r="D113" s="3257">
        <v>0.1</v>
      </c>
      <c r="E113" s="3268"/>
      <c r="F113" s="3268"/>
      <c r="G113" s="3258">
        <v>0.1</v>
      </c>
    </row>
    <row r="114" spans="1:7">
      <c r="A114" s="3267" t="s">
        <v>303</v>
      </c>
      <c r="B114" s="3256" t="s">
        <v>2955</v>
      </c>
      <c r="C114" s="3257">
        <v>9.7000000000000003E-2</v>
      </c>
      <c r="D114" s="3257">
        <v>9.7000000000000003E-2</v>
      </c>
      <c r="E114" s="3268"/>
      <c r="F114" s="3268"/>
      <c r="G114" s="3258">
        <v>9.9000000000000005E-2</v>
      </c>
    </row>
    <row r="115" spans="1:7">
      <c r="A115" s="3267" t="s">
        <v>303</v>
      </c>
      <c r="B115" s="3256" t="s">
        <v>2961</v>
      </c>
      <c r="C115" s="3257">
        <v>0.1</v>
      </c>
      <c r="D115" s="3257">
        <v>0.1</v>
      </c>
      <c r="E115" s="3268"/>
      <c r="F115" s="3268"/>
      <c r="G115" s="3258">
        <v>0.1</v>
      </c>
    </row>
    <row r="116" spans="1:7">
      <c r="A116" s="3267" t="s">
        <v>303</v>
      </c>
      <c r="B116" s="3256" t="s">
        <v>2968</v>
      </c>
      <c r="C116" s="3257">
        <v>0.1</v>
      </c>
      <c r="D116" s="3257">
        <v>0.1</v>
      </c>
      <c r="E116" s="3268"/>
      <c r="F116" s="3268"/>
      <c r="G116" s="3258">
        <v>0.1</v>
      </c>
    </row>
    <row r="117" spans="1:7">
      <c r="A117" s="3267" t="s">
        <v>303</v>
      </c>
      <c r="B117" s="3256" t="s">
        <v>2975</v>
      </c>
      <c r="C117" s="3257">
        <v>9.7000000000000003E-2</v>
      </c>
      <c r="D117" s="3257">
        <v>9.7000000000000003E-2</v>
      </c>
      <c r="E117" s="3268"/>
      <c r="F117" s="3268"/>
      <c r="G117" s="3258">
        <v>9.7000000000000003E-2</v>
      </c>
    </row>
    <row r="118" spans="1:7">
      <c r="A118" s="3267" t="s">
        <v>303</v>
      </c>
      <c r="B118" s="3256" t="s">
        <v>2980</v>
      </c>
      <c r="C118" s="3257">
        <v>0.1</v>
      </c>
      <c r="D118" s="3257">
        <v>0.1</v>
      </c>
      <c r="E118" s="3268"/>
      <c r="F118" s="3268"/>
      <c r="G118" s="3258">
        <v>0.1</v>
      </c>
    </row>
    <row r="119" spans="1:7">
      <c r="A119" s="3267" t="s">
        <v>303</v>
      </c>
      <c r="B119" s="3256" t="s">
        <v>2984</v>
      </c>
      <c r="C119" s="3257">
        <v>5.0999999999999997E-2</v>
      </c>
      <c r="D119" s="3257">
        <v>5.1999999999999998E-2</v>
      </c>
      <c r="E119" s="3268"/>
      <c r="F119" s="3273"/>
      <c r="G119" s="3258">
        <v>0.06</v>
      </c>
    </row>
    <row r="120" spans="1:7">
      <c r="A120" s="3267" t="s">
        <v>303</v>
      </c>
      <c r="B120" s="3256" t="s">
        <v>2988</v>
      </c>
      <c r="C120" s="3268"/>
      <c r="D120" s="3268"/>
      <c r="E120" s="3268"/>
      <c r="F120" s="3257">
        <v>0.1</v>
      </c>
      <c r="G120" s="3274"/>
    </row>
    <row r="121" spans="1:7">
      <c r="A121" s="3267" t="s">
        <v>303</v>
      </c>
      <c r="B121" s="3256" t="s">
        <v>2993</v>
      </c>
      <c r="C121" s="3268"/>
      <c r="D121" s="3268"/>
      <c r="E121" s="3268"/>
      <c r="F121" s="3257">
        <v>0.1</v>
      </c>
      <c r="G121" s="3274"/>
    </row>
    <row r="122" spans="1:7">
      <c r="A122" s="3267" t="s">
        <v>303</v>
      </c>
      <c r="B122" s="3256" t="s">
        <v>2998</v>
      </c>
      <c r="C122" s="3257">
        <v>0.1</v>
      </c>
      <c r="D122" s="3257">
        <v>0.1</v>
      </c>
      <c r="E122" s="3257">
        <v>9.8000000000000004E-2</v>
      </c>
      <c r="F122" s="3257">
        <v>0.1</v>
      </c>
      <c r="G122" s="3258">
        <v>0.1</v>
      </c>
    </row>
    <row r="123" spans="1:7">
      <c r="A123" s="3267" t="s">
        <v>303</v>
      </c>
      <c r="B123" s="3256" t="s">
        <v>3003</v>
      </c>
      <c r="C123" s="3257">
        <v>0.1</v>
      </c>
      <c r="D123" s="3257">
        <v>0.1</v>
      </c>
      <c r="E123" s="3257">
        <v>9.8000000000000004E-2</v>
      </c>
      <c r="F123" s="3257">
        <v>0.1</v>
      </c>
      <c r="G123" s="3258">
        <v>0.1</v>
      </c>
    </row>
    <row r="124" spans="1:7">
      <c r="A124" s="3267" t="s">
        <v>303</v>
      </c>
      <c r="B124" s="3256" t="s">
        <v>3008</v>
      </c>
      <c r="C124" s="3257">
        <v>0.1</v>
      </c>
      <c r="D124" s="3257">
        <v>0.1</v>
      </c>
      <c r="E124" s="3257">
        <v>9.8000000000000004E-2</v>
      </c>
      <c r="F124" s="3273"/>
      <c r="G124" s="3258">
        <v>0.1</v>
      </c>
    </row>
    <row r="125" spans="1:7">
      <c r="A125" s="3267" t="s">
        <v>303</v>
      </c>
      <c r="B125" s="3256" t="s">
        <v>3013</v>
      </c>
      <c r="C125" s="3257">
        <v>9.8000000000000004E-2</v>
      </c>
      <c r="D125" s="3257">
        <v>9.8000000000000004E-2</v>
      </c>
      <c r="E125" s="3257">
        <v>9.6000000000000002E-2</v>
      </c>
      <c r="F125" s="3273"/>
      <c r="G125" s="3258">
        <v>0.1</v>
      </c>
    </row>
    <row r="126" spans="1:7" ht="14.25" thickBot="1">
      <c r="A126" s="3270" t="s">
        <v>303</v>
      </c>
      <c r="B126" s="3260" t="s">
        <v>3179</v>
      </c>
      <c r="C126" s="3261">
        <v>0.1</v>
      </c>
      <c r="D126" s="3261">
        <v>0.1</v>
      </c>
      <c r="E126" s="3261">
        <v>9.8000000000000004E-2</v>
      </c>
      <c r="F126" s="3261">
        <v>0.1</v>
      </c>
      <c r="G126" s="3263">
        <v>0.1</v>
      </c>
    </row>
    <row r="127" spans="1:7">
      <c r="A127" s="3266" t="s">
        <v>29</v>
      </c>
      <c r="B127" s="3252" t="s">
        <v>2856</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2926</v>
      </c>
      <c r="C148" s="3257">
        <v>0.13</v>
      </c>
      <c r="D148" s="3257">
        <v>0.13</v>
      </c>
      <c r="E148" s="3257">
        <v>0.13</v>
      </c>
      <c r="F148" s="3268"/>
      <c r="G148" s="3258">
        <v>0.13</v>
      </c>
    </row>
    <row r="149" spans="1:7">
      <c r="A149" s="3267" t="s">
        <v>29</v>
      </c>
      <c r="B149" s="3256" t="s">
        <v>2930</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2949</v>
      </c>
      <c r="C153" s="3257">
        <v>0.13</v>
      </c>
      <c r="D153" s="3257">
        <v>0.13</v>
      </c>
      <c r="E153" s="3257">
        <v>0.13</v>
      </c>
      <c r="F153" s="3257">
        <v>0.13</v>
      </c>
      <c r="G153" s="3258">
        <v>0.13</v>
      </c>
    </row>
    <row r="154" spans="1:7">
      <c r="A154" s="3267" t="s">
        <v>29</v>
      </c>
      <c r="B154" s="3256" t="s">
        <v>2956</v>
      </c>
      <c r="C154" s="3257">
        <v>0.121</v>
      </c>
      <c r="D154" s="3257">
        <v>0.121</v>
      </c>
      <c r="E154" s="3257">
        <v>0.105</v>
      </c>
      <c r="F154" s="3257">
        <v>0.121</v>
      </c>
      <c r="G154" s="3258">
        <v>0.123</v>
      </c>
    </row>
    <row r="155" spans="1:7">
      <c r="A155" s="3267" t="s">
        <v>29</v>
      </c>
      <c r="B155" s="3256" t="s">
        <v>2962</v>
      </c>
      <c r="C155" s="3257">
        <v>0.1</v>
      </c>
      <c r="D155" s="3257">
        <v>0.1</v>
      </c>
      <c r="E155" s="3257">
        <v>0.1</v>
      </c>
      <c r="F155" s="3257">
        <v>0.1</v>
      </c>
      <c r="G155" s="3258">
        <v>0.1</v>
      </c>
    </row>
    <row r="156" spans="1:7">
      <c r="A156" s="3267" t="s">
        <v>29</v>
      </c>
      <c r="B156" s="3256" t="s">
        <v>2969</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2989</v>
      </c>
      <c r="C160" s="3257">
        <v>0.13</v>
      </c>
      <c r="D160" s="3257">
        <v>0.13</v>
      </c>
      <c r="E160" s="3257">
        <v>0.124</v>
      </c>
      <c r="F160" s="3257">
        <v>0.126</v>
      </c>
      <c r="G160" s="3258">
        <v>0.13</v>
      </c>
    </row>
    <row r="161" spans="1:7">
      <c r="A161" s="3267" t="s">
        <v>29</v>
      </c>
      <c r="B161" s="3256" t="s">
        <v>2994</v>
      </c>
      <c r="C161" s="3257">
        <v>0.13</v>
      </c>
      <c r="D161" s="3257">
        <v>0.13</v>
      </c>
      <c r="E161" s="3257">
        <v>0.124</v>
      </c>
      <c r="F161" s="3257">
        <v>0.127</v>
      </c>
      <c r="G161" s="3258">
        <v>0.13</v>
      </c>
    </row>
    <row r="162" spans="1:7">
      <c r="A162" s="3267" t="s">
        <v>29</v>
      </c>
      <c r="B162" s="3256" t="s">
        <v>2999</v>
      </c>
      <c r="C162" s="3257">
        <v>0.1</v>
      </c>
      <c r="D162" s="3257">
        <v>0.1</v>
      </c>
      <c r="E162" s="3257">
        <v>0.1</v>
      </c>
      <c r="F162" s="3257">
        <v>0.121</v>
      </c>
      <c r="G162" s="3258">
        <v>0.105</v>
      </c>
    </row>
    <row r="163" spans="1:7">
      <c r="A163" s="3267" t="s">
        <v>29</v>
      </c>
      <c r="B163" s="3256" t="s">
        <v>3004</v>
      </c>
      <c r="C163" s="3257">
        <v>0.1</v>
      </c>
      <c r="D163" s="3257">
        <v>0.1</v>
      </c>
      <c r="E163" s="3257">
        <v>0.1</v>
      </c>
      <c r="F163" s="3257">
        <v>0.1</v>
      </c>
      <c r="G163" s="3258">
        <v>0.1</v>
      </c>
    </row>
    <row r="164" spans="1:7">
      <c r="A164" s="3267" t="s">
        <v>29</v>
      </c>
      <c r="B164" s="3256" t="s">
        <v>3009</v>
      </c>
      <c r="C164" s="3273"/>
      <c r="D164" s="3273"/>
      <c r="E164" s="3273"/>
      <c r="F164" s="3257">
        <v>0.1</v>
      </c>
      <c r="G164" s="3269"/>
    </row>
    <row r="165" spans="1:7">
      <c r="A165" s="3267" t="s">
        <v>29</v>
      </c>
      <c r="B165" s="3256" t="s">
        <v>3180</v>
      </c>
      <c r="C165" s="3257">
        <v>0.126</v>
      </c>
      <c r="D165" s="3257">
        <v>0.126</v>
      </c>
      <c r="E165" s="3257">
        <v>0.11899999999999999</v>
      </c>
      <c r="F165" s="3257">
        <v>0.13</v>
      </c>
      <c r="G165" s="3258">
        <v>0.128</v>
      </c>
    </row>
    <row r="166" spans="1:7">
      <c r="A166" s="3267" t="s">
        <v>29</v>
      </c>
      <c r="B166" s="3256" t="s">
        <v>3019</v>
      </c>
      <c r="C166" s="3257">
        <v>0.129</v>
      </c>
      <c r="D166" s="3257">
        <v>0.129</v>
      </c>
      <c r="E166" s="3257">
        <v>0.123</v>
      </c>
      <c r="F166" s="3257">
        <v>0.128</v>
      </c>
      <c r="G166" s="3258">
        <v>0.13</v>
      </c>
    </row>
    <row r="167" spans="1:7">
      <c r="A167" s="3267" t="s">
        <v>29</v>
      </c>
      <c r="B167" s="3256" t="s">
        <v>3023</v>
      </c>
      <c r="C167" s="3257">
        <v>0.125</v>
      </c>
      <c r="D167" s="3257">
        <v>0.125</v>
      </c>
      <c r="E167" s="3257">
        <v>0.11700000000000001</v>
      </c>
      <c r="F167" s="3257">
        <v>0.13</v>
      </c>
      <c r="G167" s="3258">
        <v>0.126</v>
      </c>
    </row>
    <row r="168" spans="1:7">
      <c r="A168" s="3267" t="s">
        <v>29</v>
      </c>
      <c r="B168" s="3256" t="s">
        <v>3028</v>
      </c>
      <c r="C168" s="3257">
        <v>0.128</v>
      </c>
      <c r="D168" s="3257">
        <v>0.128</v>
      </c>
      <c r="E168" s="3257">
        <v>0.123</v>
      </c>
      <c r="F168" s="3268"/>
      <c r="G168" s="3258">
        <v>0.13</v>
      </c>
    </row>
    <row r="169" spans="1:7">
      <c r="A169" s="3267" t="s">
        <v>29</v>
      </c>
      <c r="B169" s="3256" t="s">
        <v>3181</v>
      </c>
      <c r="C169" s="3273"/>
      <c r="D169" s="3273"/>
      <c r="E169" s="3273"/>
      <c r="F169" s="3257">
        <v>0.05</v>
      </c>
      <c r="G169" s="3269"/>
    </row>
    <row r="170" spans="1:7">
      <c r="A170" s="3267" t="s">
        <v>29</v>
      </c>
      <c r="B170" s="3256" t="s">
        <v>3182</v>
      </c>
      <c r="C170" s="3273"/>
      <c r="D170" s="3273"/>
      <c r="E170" s="3273"/>
      <c r="F170" s="3257">
        <v>0.05</v>
      </c>
      <c r="G170" s="3269"/>
    </row>
    <row r="171" spans="1:7">
      <c r="A171" s="3267" t="s">
        <v>29</v>
      </c>
      <c r="B171" s="3256" t="s">
        <v>3183</v>
      </c>
      <c r="C171" s="3273"/>
      <c r="D171" s="3273"/>
      <c r="E171" s="3273"/>
      <c r="F171" s="3257">
        <v>0.05</v>
      </c>
      <c r="G171" s="3274"/>
    </row>
    <row r="172" spans="1:7">
      <c r="A172" s="3267" t="s">
        <v>29</v>
      </c>
      <c r="B172" s="3256" t="s">
        <v>3184</v>
      </c>
      <c r="C172" s="3273"/>
      <c r="D172" s="3273"/>
      <c r="E172" s="3273"/>
      <c r="F172" s="3257">
        <v>0.05</v>
      </c>
      <c r="G172" s="3274"/>
    </row>
    <row r="173" spans="1:7">
      <c r="A173" s="3267" t="s">
        <v>29</v>
      </c>
      <c r="B173" s="3256" t="s">
        <v>3185</v>
      </c>
      <c r="C173" s="3273"/>
      <c r="D173" s="3273"/>
      <c r="E173" s="3273"/>
      <c r="F173" s="3257">
        <v>0.05</v>
      </c>
      <c r="G173" s="3269"/>
    </row>
    <row r="174" spans="1:7">
      <c r="A174" s="3267" t="s">
        <v>29</v>
      </c>
      <c r="B174" s="3256" t="s">
        <v>3186</v>
      </c>
      <c r="C174" s="3273"/>
      <c r="D174" s="3273"/>
      <c r="E174" s="3273"/>
      <c r="F174" s="3257">
        <v>0.05</v>
      </c>
      <c r="G174" s="3269"/>
    </row>
    <row r="175" spans="1:7">
      <c r="A175" s="3267" t="s">
        <v>29</v>
      </c>
      <c r="B175" s="3256" t="s">
        <v>3187</v>
      </c>
      <c r="C175" s="3273"/>
      <c r="D175" s="3273"/>
      <c r="E175" s="3273"/>
      <c r="F175" s="3257">
        <v>0.05</v>
      </c>
      <c r="G175" s="3269"/>
    </row>
    <row r="176" spans="1:7">
      <c r="A176" s="3267" t="s">
        <v>29</v>
      </c>
      <c r="B176" s="3256" t="s">
        <v>3188</v>
      </c>
      <c r="C176" s="3273"/>
      <c r="D176" s="3273"/>
      <c r="E176" s="3273"/>
      <c r="F176" s="3257">
        <v>0.05</v>
      </c>
      <c r="G176" s="3269"/>
    </row>
    <row r="177" spans="1:7">
      <c r="A177" s="3267" t="s">
        <v>29</v>
      </c>
      <c r="B177" s="3256" t="s">
        <v>3189</v>
      </c>
      <c r="C177" s="3268"/>
      <c r="D177" s="3268"/>
      <c r="E177" s="3268"/>
      <c r="F177" s="3257">
        <v>0.05</v>
      </c>
      <c r="G177" s="3274"/>
    </row>
    <row r="178" spans="1:7">
      <c r="A178" s="3267" t="s">
        <v>29</v>
      </c>
      <c r="B178" s="3256" t="s">
        <v>3190</v>
      </c>
      <c r="C178" s="3268"/>
      <c r="D178" s="3268"/>
      <c r="E178" s="3268"/>
      <c r="F178" s="3257">
        <v>0.05</v>
      </c>
      <c r="G178" s="3274"/>
    </row>
    <row r="179" spans="1:7">
      <c r="A179" s="3267" t="s">
        <v>29</v>
      </c>
      <c r="B179" s="3256" t="s">
        <v>3191</v>
      </c>
      <c r="C179" s="3268"/>
      <c r="D179" s="3268"/>
      <c r="E179" s="3268"/>
      <c r="F179" s="3257">
        <v>0.05</v>
      </c>
      <c r="G179" s="3274"/>
    </row>
    <row r="180" spans="1:7">
      <c r="A180" s="3267" t="s">
        <v>29</v>
      </c>
      <c r="B180" s="3256" t="s">
        <v>3192</v>
      </c>
      <c r="C180" s="3268"/>
      <c r="D180" s="3268"/>
      <c r="E180" s="3268"/>
      <c r="F180" s="3257">
        <v>0.05</v>
      </c>
      <c r="G180" s="3274"/>
    </row>
    <row r="181" spans="1:7">
      <c r="A181" s="3267" t="s">
        <v>29</v>
      </c>
      <c r="B181" s="3256" t="s">
        <v>3193</v>
      </c>
      <c r="C181" s="3268"/>
      <c r="D181" s="3268"/>
      <c r="E181" s="3268"/>
      <c r="F181" s="3257">
        <v>0.05</v>
      </c>
      <c r="G181" s="3274"/>
    </row>
    <row r="182" spans="1:7">
      <c r="A182" s="3267" t="s">
        <v>29</v>
      </c>
      <c r="B182" s="3256" t="s">
        <v>3194</v>
      </c>
      <c r="C182" s="3268"/>
      <c r="D182" s="3268"/>
      <c r="E182" s="3268"/>
      <c r="F182" s="3257">
        <v>0.05</v>
      </c>
      <c r="G182" s="3274"/>
    </row>
    <row r="183" spans="1:7">
      <c r="A183" s="3267" t="s">
        <v>29</v>
      </c>
      <c r="B183" s="3256" t="s">
        <v>3195</v>
      </c>
      <c r="C183" s="3268"/>
      <c r="D183" s="3268"/>
      <c r="E183" s="3268"/>
      <c r="F183" s="3257">
        <v>0.05</v>
      </c>
      <c r="G183" s="3274"/>
    </row>
    <row r="184" spans="1:7">
      <c r="A184" s="3267" t="s">
        <v>29</v>
      </c>
      <c r="B184" s="3256" t="s">
        <v>3196</v>
      </c>
      <c r="C184" s="3268"/>
      <c r="D184" s="3268"/>
      <c r="E184" s="3268"/>
      <c r="F184" s="3257">
        <v>0.05</v>
      </c>
      <c r="G184" s="3274"/>
    </row>
    <row r="185" spans="1:7">
      <c r="A185" s="3267" t="s">
        <v>29</v>
      </c>
      <c r="B185" s="3256" t="s">
        <v>3197</v>
      </c>
      <c r="C185" s="3268"/>
      <c r="D185" s="3268"/>
      <c r="E185" s="3268"/>
      <c r="F185" s="3257">
        <v>0.05</v>
      </c>
      <c r="G185" s="3274"/>
    </row>
    <row r="186" spans="1:7">
      <c r="A186" s="3267" t="s">
        <v>29</v>
      </c>
      <c r="B186" s="3256" t="s">
        <v>3198</v>
      </c>
      <c r="C186" s="3268"/>
      <c r="D186" s="3268"/>
      <c r="E186" s="3268"/>
      <c r="F186" s="3257">
        <v>0.05</v>
      </c>
      <c r="G186" s="3274"/>
    </row>
    <row r="187" spans="1:7">
      <c r="A187" s="3267" t="s">
        <v>29</v>
      </c>
      <c r="B187" s="3256" t="s">
        <v>3199</v>
      </c>
      <c r="C187" s="3268"/>
      <c r="D187" s="3268"/>
      <c r="E187" s="3268"/>
      <c r="F187" s="3257">
        <v>0.05</v>
      </c>
      <c r="G187" s="3274"/>
    </row>
    <row r="188" spans="1:7">
      <c r="A188" s="3267" t="s">
        <v>29</v>
      </c>
      <c r="B188" s="3256" t="s">
        <v>3200</v>
      </c>
      <c r="C188" s="3268"/>
      <c r="D188" s="3268"/>
      <c r="E188" s="3268"/>
      <c r="F188" s="3257">
        <v>0.05</v>
      </c>
      <c r="G188" s="3274"/>
    </row>
    <row r="189" spans="1:7" ht="14.25" thickBot="1">
      <c r="A189" s="3270" t="s">
        <v>29</v>
      </c>
      <c r="B189" s="3260" t="s">
        <v>3201</v>
      </c>
      <c r="C189" s="3262"/>
      <c r="D189" s="3262"/>
      <c r="E189" s="3262"/>
      <c r="F189" s="3261">
        <v>0.05</v>
      </c>
      <c r="G189" s="3275"/>
    </row>
    <row r="190" spans="1:7">
      <c r="A190" s="3266" t="s">
        <v>304</v>
      </c>
      <c r="B190" s="3252" t="s">
        <v>2857</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2893</v>
      </c>
      <c r="C199" s="3257">
        <v>0.13</v>
      </c>
      <c r="D199" s="3257">
        <v>0.13</v>
      </c>
      <c r="E199" s="3257">
        <v>0.13</v>
      </c>
      <c r="F199" s="3257">
        <v>0.13</v>
      </c>
      <c r="G199" s="3258">
        <v>0.13</v>
      </c>
    </row>
    <row r="200" spans="1:7">
      <c r="A200" s="3267" t="s">
        <v>304</v>
      </c>
      <c r="B200" s="3256" t="s">
        <v>2896</v>
      </c>
      <c r="C200" s="3273"/>
      <c r="D200" s="3273"/>
      <c r="E200" s="3273"/>
      <c r="F200" s="3257">
        <v>0.13</v>
      </c>
      <c r="G200" s="3269"/>
    </row>
    <row r="201" spans="1:7">
      <c r="A201" s="3267" t="s">
        <v>304</v>
      </c>
      <c r="B201" s="3256" t="s">
        <v>2901</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2904</v>
      </c>
      <c r="C203" s="3257">
        <v>0.129</v>
      </c>
      <c r="D203" s="3257">
        <v>0.129</v>
      </c>
      <c r="E203" s="3257">
        <v>0.13</v>
      </c>
      <c r="F203" s="3257">
        <v>0.13</v>
      </c>
      <c r="G203" s="3258">
        <v>0.13</v>
      </c>
    </row>
    <row r="204" spans="1:7">
      <c r="A204" s="3267" t="s">
        <v>304</v>
      </c>
      <c r="B204" s="3256" t="s">
        <v>2907</v>
      </c>
      <c r="C204" s="3257">
        <v>0.129</v>
      </c>
      <c r="D204" s="3257">
        <v>0.129</v>
      </c>
      <c r="E204" s="3257">
        <v>0.123</v>
      </c>
      <c r="F204" s="3257">
        <v>0.13</v>
      </c>
      <c r="G204" s="3258">
        <v>0.13</v>
      </c>
    </row>
    <row r="205" spans="1:7">
      <c r="A205" s="3267" t="s">
        <v>304</v>
      </c>
      <c r="B205" s="3256" t="s">
        <v>2909</v>
      </c>
      <c r="C205" s="3257">
        <v>0.13</v>
      </c>
      <c r="D205" s="3257">
        <v>0.13</v>
      </c>
      <c r="E205" s="3257">
        <v>0.13</v>
      </c>
      <c r="F205" s="3257">
        <v>0.13</v>
      </c>
      <c r="G205" s="3258">
        <v>0.13</v>
      </c>
    </row>
    <row r="206" spans="1:7">
      <c r="A206" s="3267" t="s">
        <v>304</v>
      </c>
      <c r="B206" s="3256" t="s">
        <v>2912</v>
      </c>
      <c r="C206" s="3257">
        <v>0.13</v>
      </c>
      <c r="D206" s="3257">
        <v>0.13</v>
      </c>
      <c r="E206" s="3257">
        <v>0.13</v>
      </c>
      <c r="F206" s="3257">
        <v>0.128</v>
      </c>
      <c r="G206" s="3258">
        <v>0.13</v>
      </c>
    </row>
    <row r="207" spans="1:7">
      <c r="A207" s="3267" t="s">
        <v>304</v>
      </c>
      <c r="B207" s="3256" t="s">
        <v>2914</v>
      </c>
      <c r="C207" s="3257">
        <v>0.13</v>
      </c>
      <c r="D207" s="3257">
        <v>0.13</v>
      </c>
      <c r="E207" s="3257">
        <v>0.13</v>
      </c>
      <c r="F207" s="3257">
        <v>0.13</v>
      </c>
      <c r="G207" s="3258">
        <v>0.13</v>
      </c>
    </row>
    <row r="208" spans="1:7">
      <c r="A208" s="3267" t="s">
        <v>304</v>
      </c>
      <c r="B208" s="3256" t="s">
        <v>2917</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2924</v>
      </c>
      <c r="C210" s="3257">
        <v>0.121</v>
      </c>
      <c r="D210" s="3257">
        <v>0.121</v>
      </c>
      <c r="E210" s="3257">
        <v>0.125</v>
      </c>
      <c r="F210" s="3257">
        <v>0.13</v>
      </c>
      <c r="G210" s="3258">
        <v>0.123</v>
      </c>
    </row>
    <row r="211" spans="1:7">
      <c r="A211" s="3267" t="s">
        <v>304</v>
      </c>
      <c r="B211" s="3256" t="s">
        <v>2927</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2939</v>
      </c>
      <c r="C214" s="3257">
        <v>0.128</v>
      </c>
      <c r="D214" s="3257">
        <v>0.128</v>
      </c>
      <c r="E214" s="3257">
        <v>0.13</v>
      </c>
      <c r="F214" s="3257">
        <v>0.13</v>
      </c>
      <c r="G214" s="3258">
        <v>0.13</v>
      </c>
    </row>
    <row r="215" spans="1:7">
      <c r="A215" s="3267" t="s">
        <v>304</v>
      </c>
      <c r="B215" s="3256" t="s">
        <v>2943</v>
      </c>
      <c r="C215" s="3257">
        <v>0.13</v>
      </c>
      <c r="D215" s="3257">
        <v>0.13</v>
      </c>
      <c r="E215" s="3257">
        <v>0.13</v>
      </c>
      <c r="F215" s="3257">
        <v>0.129</v>
      </c>
      <c r="G215" s="3258">
        <v>0.13</v>
      </c>
    </row>
    <row r="216" spans="1:7">
      <c r="A216" s="3267" t="s">
        <v>304</v>
      </c>
      <c r="B216" s="3256" t="s">
        <v>2950</v>
      </c>
      <c r="C216" s="3257">
        <v>0.13</v>
      </c>
      <c r="D216" s="3257">
        <v>0.13</v>
      </c>
      <c r="E216" s="3257">
        <v>0.13</v>
      </c>
      <c r="F216" s="3257">
        <v>0.13</v>
      </c>
      <c r="G216" s="3258">
        <v>0.13</v>
      </c>
    </row>
    <row r="217" spans="1:7">
      <c r="A217" s="3267" t="s">
        <v>304</v>
      </c>
      <c r="B217" s="3256" t="s">
        <v>2957</v>
      </c>
      <c r="C217" s="3257">
        <v>0.129</v>
      </c>
      <c r="D217" s="3257">
        <v>0.129</v>
      </c>
      <c r="E217" s="3257">
        <v>0.13</v>
      </c>
      <c r="F217" s="3257">
        <v>0.13</v>
      </c>
      <c r="G217" s="3258">
        <v>0.13</v>
      </c>
    </row>
    <row r="218" spans="1:7">
      <c r="A218" s="3267" t="s">
        <v>304</v>
      </c>
      <c r="B218" s="3256" t="s">
        <v>2963</v>
      </c>
      <c r="C218" s="3268"/>
      <c r="D218" s="3268"/>
      <c r="E218" s="3268"/>
      <c r="F218" s="3257">
        <v>0.05</v>
      </c>
      <c r="G218" s="3274"/>
    </row>
    <row r="219" spans="1:7">
      <c r="A219" s="3267" t="s">
        <v>304</v>
      </c>
      <c r="B219" s="3256" t="s">
        <v>2970</v>
      </c>
      <c r="C219" s="3268"/>
      <c r="D219" s="3268"/>
      <c r="E219" s="3268"/>
      <c r="F219" s="3257">
        <v>0.05</v>
      </c>
      <c r="G219" s="3274"/>
    </row>
    <row r="220" spans="1:7">
      <c r="A220" s="3267" t="s">
        <v>304</v>
      </c>
      <c r="B220" s="3256" t="s">
        <v>2976</v>
      </c>
      <c r="C220" s="3268"/>
      <c r="D220" s="3268"/>
      <c r="E220" s="3268"/>
      <c r="F220" s="3257">
        <v>0.05</v>
      </c>
      <c r="G220" s="3274"/>
    </row>
    <row r="221" spans="1:7">
      <c r="A221" s="3267" t="s">
        <v>304</v>
      </c>
      <c r="B221" s="3256" t="s">
        <v>2981</v>
      </c>
      <c r="C221" s="3268"/>
      <c r="D221" s="3268"/>
      <c r="E221" s="3268"/>
      <c r="F221" s="3257">
        <v>0.05</v>
      </c>
      <c r="G221" s="3274"/>
    </row>
    <row r="222" spans="1:7">
      <c r="A222" s="3267" t="s">
        <v>304</v>
      </c>
      <c r="B222" s="3256" t="s">
        <v>2985</v>
      </c>
      <c r="C222" s="3268"/>
      <c r="D222" s="3268"/>
      <c r="E222" s="3268"/>
      <c r="F222" s="3257">
        <v>0.05</v>
      </c>
      <c r="G222" s="3274"/>
    </row>
    <row r="223" spans="1:7">
      <c r="A223" s="3267" t="s">
        <v>304</v>
      </c>
      <c r="B223" s="3256" t="s">
        <v>2990</v>
      </c>
      <c r="C223" s="3268"/>
      <c r="D223" s="3268"/>
      <c r="E223" s="3268"/>
      <c r="F223" s="3257">
        <v>0.05</v>
      </c>
      <c r="G223" s="3274"/>
    </row>
    <row r="224" spans="1:7">
      <c r="A224" s="3267" t="s">
        <v>304</v>
      </c>
      <c r="B224" s="3256" t="s">
        <v>2995</v>
      </c>
      <c r="C224" s="3268"/>
      <c r="D224" s="3268"/>
      <c r="E224" s="3268"/>
      <c r="F224" s="3257">
        <v>0.05</v>
      </c>
      <c r="G224" s="3274"/>
    </row>
    <row r="225" spans="1:7">
      <c r="A225" s="3267" t="s">
        <v>304</v>
      </c>
      <c r="B225" s="3256" t="s">
        <v>3000</v>
      </c>
      <c r="C225" s="3268"/>
      <c r="D225" s="3268"/>
      <c r="E225" s="3268"/>
      <c r="F225" s="3257">
        <v>0.05</v>
      </c>
      <c r="G225" s="3274"/>
    </row>
    <row r="226" spans="1:7">
      <c r="A226" s="3267" t="s">
        <v>304</v>
      </c>
      <c r="B226" s="3256" t="s">
        <v>3202</v>
      </c>
      <c r="C226" s="3268"/>
      <c r="D226" s="3268"/>
      <c r="E226" s="3268"/>
      <c r="F226" s="3257">
        <v>0.05</v>
      </c>
      <c r="G226" s="3274"/>
    </row>
    <row r="227" spans="1:7">
      <c r="A227" s="3267" t="s">
        <v>304</v>
      </c>
      <c r="B227" s="3256" t="s">
        <v>3203</v>
      </c>
      <c r="C227" s="3268"/>
      <c r="D227" s="3268"/>
      <c r="E227" s="3268"/>
      <c r="F227" s="3257">
        <v>0.05</v>
      </c>
      <c r="G227" s="3274"/>
    </row>
    <row r="228" spans="1:7">
      <c r="A228" s="3267" t="s">
        <v>304</v>
      </c>
      <c r="B228" s="3256" t="s">
        <v>3204</v>
      </c>
      <c r="C228" s="3268"/>
      <c r="D228" s="3268"/>
      <c r="E228" s="3268"/>
      <c r="F228" s="3257">
        <v>0.05</v>
      </c>
      <c r="G228" s="3274"/>
    </row>
    <row r="229" spans="1:7">
      <c r="A229" s="3267" t="s">
        <v>304</v>
      </c>
      <c r="B229" s="3256" t="s">
        <v>3205</v>
      </c>
      <c r="C229" s="3268"/>
      <c r="D229" s="3268"/>
      <c r="E229" s="3268"/>
      <c r="F229" s="3257">
        <v>0.05</v>
      </c>
      <c r="G229" s="3274"/>
    </row>
    <row r="230" spans="1:7">
      <c r="A230" s="3267" t="s">
        <v>304</v>
      </c>
      <c r="B230" s="3256" t="s">
        <v>3206</v>
      </c>
      <c r="C230" s="3268"/>
      <c r="D230" s="3268"/>
      <c r="E230" s="3268"/>
      <c r="F230" s="3257">
        <v>0.05</v>
      </c>
      <c r="G230" s="3274"/>
    </row>
    <row r="231" spans="1:7">
      <c r="A231" s="3267" t="s">
        <v>304</v>
      </c>
      <c r="B231" s="3256" t="s">
        <v>3207</v>
      </c>
      <c r="C231" s="3268"/>
      <c r="D231" s="3268"/>
      <c r="E231" s="3268"/>
      <c r="F231" s="3257">
        <v>0.05</v>
      </c>
      <c r="G231" s="3274"/>
    </row>
    <row r="232" spans="1:7">
      <c r="A232" s="3267" t="s">
        <v>304</v>
      </c>
      <c r="B232" s="3256" t="s">
        <v>3208</v>
      </c>
      <c r="C232" s="3268"/>
      <c r="D232" s="3268"/>
      <c r="E232" s="3268"/>
      <c r="F232" s="3257">
        <v>0.05</v>
      </c>
      <c r="G232" s="3274"/>
    </row>
    <row r="233" spans="1:7" ht="14.25" thickBot="1">
      <c r="A233" s="3270" t="s">
        <v>304</v>
      </c>
      <c r="B233" s="3260" t="s">
        <v>3209</v>
      </c>
      <c r="C233" s="3262"/>
      <c r="D233" s="3262"/>
      <c r="E233" s="3262"/>
      <c r="F233" s="3261">
        <v>0.05</v>
      </c>
      <c r="G233" s="3275"/>
    </row>
    <row r="234" spans="1:7">
      <c r="A234" s="3266" t="s">
        <v>305</v>
      </c>
      <c r="B234" s="3252" t="s">
        <v>2858</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2878</v>
      </c>
      <c r="C238" s="3257">
        <v>0.14899999999999999</v>
      </c>
      <c r="D238" s="3257">
        <v>0.14899999999999999</v>
      </c>
      <c r="E238" s="3257">
        <v>0.15</v>
      </c>
      <c r="F238" s="3257">
        <v>0.15</v>
      </c>
      <c r="G238" s="3258">
        <v>0.15</v>
      </c>
    </row>
    <row r="239" spans="1:7">
      <c r="A239" s="3267" t="s">
        <v>305</v>
      </c>
      <c r="B239" s="3256" t="s">
        <v>2882</v>
      </c>
      <c r="C239" s="3257">
        <v>0.15</v>
      </c>
      <c r="D239" s="3257">
        <v>0.15</v>
      </c>
      <c r="E239" s="3257">
        <v>0.15</v>
      </c>
      <c r="F239" s="3257">
        <v>0.15</v>
      </c>
      <c r="G239" s="3258">
        <v>0.15</v>
      </c>
    </row>
    <row r="240" spans="1:7">
      <c r="A240" s="3267" t="s">
        <v>305</v>
      </c>
      <c r="B240" s="3256" t="s">
        <v>2887</v>
      </c>
      <c r="C240" s="3257">
        <v>0.15</v>
      </c>
      <c r="D240" s="3257">
        <v>0.15</v>
      </c>
      <c r="E240" s="3257">
        <v>0.15</v>
      </c>
      <c r="F240" s="3257">
        <v>0.15</v>
      </c>
      <c r="G240" s="3258">
        <v>0.15</v>
      </c>
    </row>
    <row r="241" spans="1:7">
      <c r="A241" s="3267" t="s">
        <v>305</v>
      </c>
      <c r="B241" s="3256" t="s">
        <v>2891</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2897</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2905</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2910</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2918</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2931</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2940</v>
      </c>
      <c r="C258" s="3257">
        <v>0.14299999999999999</v>
      </c>
      <c r="D258" s="3257">
        <v>0.14299999999999999</v>
      </c>
      <c r="E258" s="3257">
        <v>0.15</v>
      </c>
      <c r="F258" s="3257">
        <v>0.14799999999999999</v>
      </c>
      <c r="G258" s="3258">
        <v>0.14599999999999999</v>
      </c>
    </row>
    <row r="259" spans="1:7">
      <c r="A259" s="3267" t="s">
        <v>305</v>
      </c>
      <c r="B259" s="3256" t="s">
        <v>2944</v>
      </c>
      <c r="C259" s="3257">
        <v>0.14399999999999999</v>
      </c>
      <c r="D259" s="3257">
        <v>0.14399999999999999</v>
      </c>
      <c r="E259" s="3257">
        <v>0.14899999999999999</v>
      </c>
      <c r="F259" s="3257">
        <v>0.14699999999999999</v>
      </c>
      <c r="G259" s="3258">
        <v>0.14599999999999999</v>
      </c>
    </row>
    <row r="260" spans="1:7">
      <c r="A260" s="3267" t="s">
        <v>305</v>
      </c>
      <c r="B260" s="3256" t="s">
        <v>2951</v>
      </c>
      <c r="C260" s="3257">
        <v>0.109</v>
      </c>
      <c r="D260" s="3257">
        <v>0.111</v>
      </c>
      <c r="E260" s="3257">
        <v>0.13100000000000001</v>
      </c>
      <c r="F260" s="3257">
        <v>0.126</v>
      </c>
      <c r="G260" s="3258">
        <v>0.11899999999999999</v>
      </c>
    </row>
    <row r="261" spans="1:7">
      <c r="A261" s="3267" t="s">
        <v>305</v>
      </c>
      <c r="B261" s="3256" t="s">
        <v>2958</v>
      </c>
      <c r="C261" s="3257">
        <v>0.1</v>
      </c>
      <c r="D261" s="3257">
        <v>0.1</v>
      </c>
      <c r="E261" s="3257">
        <v>0.11799999999999999</v>
      </c>
      <c r="F261" s="3257">
        <v>0.108</v>
      </c>
      <c r="G261" s="3258">
        <v>0.107</v>
      </c>
    </row>
    <row r="262" spans="1:7">
      <c r="A262" s="3267" t="s">
        <v>305</v>
      </c>
      <c r="B262" s="3256" t="s">
        <v>2964</v>
      </c>
      <c r="C262" s="3257">
        <v>0.1</v>
      </c>
      <c r="D262" s="3257">
        <v>0.1</v>
      </c>
      <c r="E262" s="3257">
        <v>0.1</v>
      </c>
      <c r="F262" s="3257">
        <v>0.14099999999999999</v>
      </c>
      <c r="G262" s="3258">
        <v>0.1</v>
      </c>
    </row>
    <row r="263" spans="1:7">
      <c r="A263" s="3267" t="s">
        <v>305</v>
      </c>
      <c r="B263" s="3256" t="s">
        <v>2971</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2982</v>
      </c>
      <c r="C265" s="3268"/>
      <c r="D265" s="3268"/>
      <c r="E265" s="3268"/>
      <c r="F265" s="3257">
        <v>0.05</v>
      </c>
      <c r="G265" s="3274"/>
    </row>
    <row r="266" spans="1:7">
      <c r="A266" s="3267" t="s">
        <v>305</v>
      </c>
      <c r="B266" s="3256" t="s">
        <v>2986</v>
      </c>
      <c r="C266" s="3268"/>
      <c r="D266" s="3268"/>
      <c r="E266" s="3268"/>
      <c r="F266" s="3257">
        <v>0.05</v>
      </c>
      <c r="G266" s="3274"/>
    </row>
    <row r="267" spans="1:7">
      <c r="A267" s="3267" t="s">
        <v>305</v>
      </c>
      <c r="B267" s="3256" t="s">
        <v>2991</v>
      </c>
      <c r="C267" s="3268"/>
      <c r="D267" s="3268"/>
      <c r="E267" s="3268"/>
      <c r="F267" s="3257">
        <v>0.05</v>
      </c>
      <c r="G267" s="3274"/>
    </row>
    <row r="268" spans="1:7">
      <c r="A268" s="3267" t="s">
        <v>305</v>
      </c>
      <c r="B268" s="3256" t="s">
        <v>2996</v>
      </c>
      <c r="C268" s="3268"/>
      <c r="D268" s="3268"/>
      <c r="E268" s="3268"/>
      <c r="F268" s="3257">
        <v>0.05</v>
      </c>
      <c r="G268" s="3274"/>
    </row>
    <row r="269" spans="1:7">
      <c r="A269" s="3267" t="s">
        <v>305</v>
      </c>
      <c r="B269" s="3256" t="s">
        <v>3001</v>
      </c>
      <c r="C269" s="3268"/>
      <c r="D269" s="3268"/>
      <c r="E269" s="3268"/>
      <c r="F269" s="3257">
        <v>0.05</v>
      </c>
      <c r="G269" s="3274"/>
    </row>
    <row r="270" spans="1:7">
      <c r="A270" s="3267" t="s">
        <v>305</v>
      </c>
      <c r="B270" s="3256" t="s">
        <v>3006</v>
      </c>
      <c r="C270" s="3268"/>
      <c r="D270" s="3268"/>
      <c r="E270" s="3268"/>
      <c r="F270" s="3257">
        <v>0.05</v>
      </c>
      <c r="G270" s="3274"/>
    </row>
    <row r="271" spans="1:7">
      <c r="A271" s="3267" t="s">
        <v>305</v>
      </c>
      <c r="B271" s="3256" t="s">
        <v>3210</v>
      </c>
      <c r="C271" s="3268"/>
      <c r="D271" s="3268"/>
      <c r="E271" s="3268"/>
      <c r="F271" s="3257">
        <v>0.05</v>
      </c>
      <c r="G271" s="3274"/>
    </row>
    <row r="272" spans="1:7">
      <c r="A272" s="3267" t="s">
        <v>305</v>
      </c>
      <c r="B272" s="3256" t="s">
        <v>3211</v>
      </c>
      <c r="C272" s="3268"/>
      <c r="D272" s="3268"/>
      <c r="E272" s="3268"/>
      <c r="F272" s="3257">
        <v>0.05</v>
      </c>
      <c r="G272" s="3274"/>
    </row>
    <row r="273" spans="1:7">
      <c r="A273" s="3267" t="s">
        <v>305</v>
      </c>
      <c r="B273" s="3256" t="s">
        <v>3212</v>
      </c>
      <c r="C273" s="3268"/>
      <c r="D273" s="3268"/>
      <c r="E273" s="3268"/>
      <c r="F273" s="3257">
        <v>0.05</v>
      </c>
      <c r="G273" s="3274"/>
    </row>
    <row r="274" spans="1:7">
      <c r="A274" s="3267" t="s">
        <v>305</v>
      </c>
      <c r="B274" s="3256" t="s">
        <v>3213</v>
      </c>
      <c r="C274" s="3268"/>
      <c r="D274" s="3268"/>
      <c r="E274" s="3268"/>
      <c r="F274" s="3257">
        <v>0.05</v>
      </c>
      <c r="G274" s="3274"/>
    </row>
    <row r="275" spans="1:7">
      <c r="A275" s="3267" t="s">
        <v>305</v>
      </c>
      <c r="B275" s="3256" t="s">
        <v>3214</v>
      </c>
      <c r="C275" s="3268"/>
      <c r="D275" s="3268"/>
      <c r="E275" s="3268"/>
      <c r="F275" s="3257">
        <v>0.05</v>
      </c>
      <c r="G275" s="3274"/>
    </row>
    <row r="276" spans="1:7" ht="14.25" thickBot="1">
      <c r="A276" s="3270" t="s">
        <v>305</v>
      </c>
      <c r="B276" s="3260" t="s">
        <v>3215</v>
      </c>
      <c r="C276" s="3262"/>
      <c r="D276" s="3262"/>
      <c r="E276" s="3262"/>
      <c r="F276" s="3261">
        <v>0.05</v>
      </c>
      <c r="G276" s="3275"/>
    </row>
    <row r="277" spans="1:7">
      <c r="A277" s="3266" t="s">
        <v>306</v>
      </c>
      <c r="B277" s="3252" t="s">
        <v>2859</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2871</v>
      </c>
      <c r="C279" s="3257">
        <v>0.15</v>
      </c>
      <c r="D279" s="3257">
        <v>0.15</v>
      </c>
      <c r="E279" s="3257">
        <v>0.15</v>
      </c>
      <c r="F279" s="3257">
        <v>0.15</v>
      </c>
      <c r="G279" s="3258">
        <v>0.15</v>
      </c>
    </row>
    <row r="280" spans="1:7">
      <c r="A280" s="3267" t="s">
        <v>306</v>
      </c>
      <c r="B280" s="3256" t="s">
        <v>2875</v>
      </c>
      <c r="C280" s="3257">
        <v>0.15</v>
      </c>
      <c r="D280" s="3257">
        <v>0.15</v>
      </c>
      <c r="E280" s="3257">
        <v>0.15</v>
      </c>
      <c r="F280" s="3257">
        <v>0.15</v>
      </c>
      <c r="G280" s="3258">
        <v>0.15</v>
      </c>
    </row>
    <row r="281" spans="1:7">
      <c r="A281" s="3267" t="s">
        <v>306</v>
      </c>
      <c r="B281" s="3256" t="s">
        <v>2879</v>
      </c>
      <c r="C281" s="3257">
        <v>0.15</v>
      </c>
      <c r="D281" s="3257">
        <v>0.15</v>
      </c>
      <c r="E281" s="3257">
        <v>0.15</v>
      </c>
      <c r="F281" s="3257">
        <v>0.15</v>
      </c>
      <c r="G281" s="3258">
        <v>0.15</v>
      </c>
    </row>
    <row r="282" spans="1:7">
      <c r="A282" s="3267" t="s">
        <v>306</v>
      </c>
      <c r="B282" s="3256" t="s">
        <v>2883</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2898</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2903</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2913</v>
      </c>
      <c r="C293" s="3257">
        <v>0.15</v>
      </c>
      <c r="D293" s="3257">
        <v>0.15</v>
      </c>
      <c r="E293" s="3257">
        <v>0.15</v>
      </c>
      <c r="F293" s="3257">
        <v>0.14499999999999999</v>
      </c>
      <c r="G293" s="3258">
        <v>0.15</v>
      </c>
    </row>
    <row r="294" spans="1:7">
      <c r="A294" s="3267" t="s">
        <v>306</v>
      </c>
      <c r="B294" s="3256" t="s">
        <v>2915</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2932</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2945</v>
      </c>
      <c r="C302" s="3257">
        <v>0.15</v>
      </c>
      <c r="D302" s="3257">
        <v>0.15</v>
      </c>
      <c r="E302" s="3257">
        <v>0.15</v>
      </c>
      <c r="F302" s="3257">
        <v>0.14699999999999999</v>
      </c>
      <c r="G302" s="3258">
        <v>0.15</v>
      </c>
    </row>
    <row r="303" spans="1:7">
      <c r="A303" s="3267" t="s">
        <v>306</v>
      </c>
      <c r="B303" s="3256" t="s">
        <v>2952</v>
      </c>
      <c r="C303" s="3257">
        <v>0.15</v>
      </c>
      <c r="D303" s="3257">
        <v>0.15</v>
      </c>
      <c r="E303" s="3257">
        <v>0.15</v>
      </c>
      <c r="F303" s="3257">
        <v>0.14199999999999999</v>
      </c>
      <c r="G303" s="3258">
        <v>0.15</v>
      </c>
    </row>
    <row r="304" spans="1:7">
      <c r="A304" s="3267" t="s">
        <v>306</v>
      </c>
      <c r="B304" s="3256" t="s">
        <v>2959</v>
      </c>
      <c r="C304" s="3257">
        <v>0.15</v>
      </c>
      <c r="D304" s="3257">
        <v>0.15</v>
      </c>
      <c r="E304" s="3257">
        <v>0.15</v>
      </c>
      <c r="F304" s="3257">
        <v>0.14499999999999999</v>
      </c>
      <c r="G304" s="3258">
        <v>0.15</v>
      </c>
    </row>
    <row r="305" spans="1:7">
      <c r="A305" s="3267" t="s">
        <v>306</v>
      </c>
      <c r="B305" s="3256" t="s">
        <v>2965</v>
      </c>
      <c r="C305" s="3257">
        <v>0.15</v>
      </c>
      <c r="D305" s="3257">
        <v>0.15</v>
      </c>
      <c r="E305" s="3257">
        <v>0.15</v>
      </c>
      <c r="F305" s="3257">
        <v>0.111</v>
      </c>
      <c r="G305" s="3258">
        <v>0.15</v>
      </c>
    </row>
    <row r="306" spans="1:7">
      <c r="A306" s="3267" t="s">
        <v>306</v>
      </c>
      <c r="B306" s="3256" t="s">
        <v>2972</v>
      </c>
      <c r="C306" s="3257">
        <v>0.15</v>
      </c>
      <c r="D306" s="3257">
        <v>0.15</v>
      </c>
      <c r="E306" s="3257">
        <v>0.15</v>
      </c>
      <c r="F306" s="3257">
        <v>0.126</v>
      </c>
      <c r="G306" s="3258">
        <v>0.15</v>
      </c>
    </row>
    <row r="307" spans="1:7">
      <c r="A307" s="3267" t="s">
        <v>306</v>
      </c>
      <c r="B307" s="3256" t="s">
        <v>2977</v>
      </c>
      <c r="C307" s="3257">
        <v>0.15</v>
      </c>
      <c r="D307" s="3257">
        <v>0.15</v>
      </c>
      <c r="E307" s="3257">
        <v>0.15</v>
      </c>
      <c r="F307" s="3257">
        <v>0.12</v>
      </c>
      <c r="G307" s="3258">
        <v>0.15</v>
      </c>
    </row>
    <row r="308" spans="1:7">
      <c r="A308" s="3267" t="s">
        <v>306</v>
      </c>
      <c r="B308" s="3256" t="s">
        <v>2983</v>
      </c>
      <c r="C308" s="3257">
        <v>0.15</v>
      </c>
      <c r="D308" s="3257">
        <v>0.15</v>
      </c>
      <c r="E308" s="3257">
        <v>0.15</v>
      </c>
      <c r="F308" s="3257">
        <v>0.13</v>
      </c>
      <c r="G308" s="3258">
        <v>0.15</v>
      </c>
    </row>
    <row r="309" spans="1:7">
      <c r="A309" s="3267" t="s">
        <v>306</v>
      </c>
      <c r="B309" s="3256" t="s">
        <v>2987</v>
      </c>
      <c r="C309" s="3257">
        <v>0.15</v>
      </c>
      <c r="D309" s="3257">
        <v>0.15</v>
      </c>
      <c r="E309" s="3257">
        <v>0.15</v>
      </c>
      <c r="F309" s="3257">
        <v>0.14099999999999999</v>
      </c>
      <c r="G309" s="3258">
        <v>0.15</v>
      </c>
    </row>
    <row r="310" spans="1:7">
      <c r="A310" s="3267" t="s">
        <v>306</v>
      </c>
      <c r="B310" s="3256" t="s">
        <v>2992</v>
      </c>
      <c r="C310" s="3257">
        <v>0.15</v>
      </c>
      <c r="D310" s="3257">
        <v>0.15</v>
      </c>
      <c r="E310" s="3257">
        <v>0.15</v>
      </c>
      <c r="F310" s="3257">
        <v>0.15</v>
      </c>
      <c r="G310" s="3258">
        <v>0.15</v>
      </c>
    </row>
    <row r="311" spans="1:7">
      <c r="A311" s="3267" t="s">
        <v>306</v>
      </c>
      <c r="B311" s="3256" t="s">
        <v>2997</v>
      </c>
      <c r="C311" s="3257">
        <v>0.13200000000000001</v>
      </c>
      <c r="D311" s="3257">
        <v>0.13300000000000001</v>
      </c>
      <c r="E311" s="3257">
        <v>0.14499999999999999</v>
      </c>
      <c r="F311" s="3257">
        <v>0.14199999999999999</v>
      </c>
      <c r="G311" s="3258">
        <v>0.14000000000000001</v>
      </c>
    </row>
    <row r="312" spans="1:7">
      <c r="A312" s="3267" t="s">
        <v>306</v>
      </c>
      <c r="B312" s="3256" t="s">
        <v>3002</v>
      </c>
      <c r="C312" s="3257">
        <v>0.13800000000000001</v>
      </c>
      <c r="D312" s="3257">
        <v>0.14000000000000001</v>
      </c>
      <c r="E312" s="3257">
        <v>0.14599999999999999</v>
      </c>
      <c r="F312" s="3257">
        <v>0.14899999999999999</v>
      </c>
      <c r="G312" s="3258">
        <v>0.14199999999999999</v>
      </c>
    </row>
    <row r="313" spans="1:7">
      <c r="A313" s="3267" t="s">
        <v>306</v>
      </c>
      <c r="B313" s="3256" t="s">
        <v>3007</v>
      </c>
      <c r="C313" s="3257">
        <v>0.125</v>
      </c>
      <c r="D313" s="3257">
        <v>0.127</v>
      </c>
      <c r="E313" s="3257">
        <v>0.14399999999999999</v>
      </c>
      <c r="F313" s="3257">
        <v>0.115</v>
      </c>
      <c r="G313" s="3258">
        <v>0.13600000000000001</v>
      </c>
    </row>
    <row r="314" spans="1:7">
      <c r="A314" s="3267" t="s">
        <v>306</v>
      </c>
      <c r="B314" s="3256" t="s">
        <v>3216</v>
      </c>
      <c r="C314" s="3273"/>
      <c r="D314" s="3273"/>
      <c r="E314" s="3273"/>
      <c r="F314" s="3257">
        <v>0.05</v>
      </c>
      <c r="G314" s="3274"/>
    </row>
    <row r="315" spans="1:7">
      <c r="A315" s="3267" t="s">
        <v>306</v>
      </c>
      <c r="B315" s="3256" t="s">
        <v>3217</v>
      </c>
      <c r="C315" s="3273"/>
      <c r="D315" s="3273"/>
      <c r="E315" s="3273"/>
      <c r="F315" s="3257">
        <v>0.05</v>
      </c>
      <c r="G315" s="3274"/>
    </row>
    <row r="316" spans="1:7">
      <c r="A316" s="3267" t="s">
        <v>306</v>
      </c>
      <c r="B316" s="3256" t="s">
        <v>3218</v>
      </c>
      <c r="C316" s="3268"/>
      <c r="D316" s="3268"/>
      <c r="E316" s="3268"/>
      <c r="F316" s="3257">
        <v>0.05</v>
      </c>
      <c r="G316" s="3274"/>
    </row>
    <row r="317" spans="1:7">
      <c r="A317" s="3267" t="s">
        <v>306</v>
      </c>
      <c r="B317" s="3256" t="s">
        <v>3219</v>
      </c>
      <c r="C317" s="3268"/>
      <c r="D317" s="3268"/>
      <c r="E317" s="3268"/>
      <c r="F317" s="3257">
        <v>0.05</v>
      </c>
      <c r="G317" s="3274"/>
    </row>
    <row r="318" spans="1:7">
      <c r="A318" s="3267" t="s">
        <v>306</v>
      </c>
      <c r="B318" s="3256" t="s">
        <v>3220</v>
      </c>
      <c r="C318" s="3268"/>
      <c r="D318" s="3268"/>
      <c r="E318" s="3268"/>
      <c r="F318" s="3257">
        <v>0.05</v>
      </c>
      <c r="G318" s="3274"/>
    </row>
    <row r="319" spans="1:7">
      <c r="A319" s="3267" t="s">
        <v>306</v>
      </c>
      <c r="B319" s="3256" t="s">
        <v>3221</v>
      </c>
      <c r="C319" s="3268"/>
      <c r="D319" s="3268"/>
      <c r="E319" s="3268"/>
      <c r="F319" s="3257">
        <v>0.05</v>
      </c>
      <c r="G319" s="3274"/>
    </row>
    <row r="320" spans="1:7">
      <c r="A320" s="3267" t="s">
        <v>306</v>
      </c>
      <c r="B320" s="3256" t="s">
        <v>3222</v>
      </c>
      <c r="C320" s="3268"/>
      <c r="D320" s="3268"/>
      <c r="E320" s="3268"/>
      <c r="F320" s="3257">
        <v>0.05</v>
      </c>
      <c r="G320" s="3274"/>
    </row>
    <row r="321" spans="1:7">
      <c r="A321" s="3267" t="s">
        <v>306</v>
      </c>
      <c r="B321" s="3256" t="s">
        <v>3223</v>
      </c>
      <c r="C321" s="3268"/>
      <c r="D321" s="3268"/>
      <c r="E321" s="3268"/>
      <c r="F321" s="3257">
        <v>0.05</v>
      </c>
      <c r="G321" s="3274"/>
    </row>
    <row r="322" spans="1:7">
      <c r="A322" s="3267" t="s">
        <v>306</v>
      </c>
      <c r="B322" s="3256" t="s">
        <v>3224</v>
      </c>
      <c r="C322" s="3268"/>
      <c r="D322" s="3268"/>
      <c r="E322" s="3268"/>
      <c r="F322" s="3257">
        <v>0.05</v>
      </c>
      <c r="G322" s="3274"/>
    </row>
    <row r="323" spans="1:7">
      <c r="A323" s="3267" t="s">
        <v>306</v>
      </c>
      <c r="B323" s="3256" t="s">
        <v>3225</v>
      </c>
      <c r="C323" s="3268"/>
      <c r="D323" s="3268"/>
      <c r="E323" s="3268"/>
      <c r="F323" s="3257">
        <v>0.05</v>
      </c>
      <c r="G323" s="3274"/>
    </row>
    <row r="324" spans="1:7">
      <c r="A324" s="3267" t="s">
        <v>306</v>
      </c>
      <c r="B324" s="3256" t="s">
        <v>3226</v>
      </c>
      <c r="C324" s="3268"/>
      <c r="D324" s="3268"/>
      <c r="E324" s="3268"/>
      <c r="F324" s="3257">
        <v>0.05</v>
      </c>
      <c r="G324" s="3274"/>
    </row>
    <row r="325" spans="1:7">
      <c r="A325" s="3267" t="s">
        <v>306</v>
      </c>
      <c r="B325" s="3256" t="s">
        <v>3227</v>
      </c>
      <c r="C325" s="3268"/>
      <c r="D325" s="3268"/>
      <c r="E325" s="3268"/>
      <c r="F325" s="3257">
        <v>0.05</v>
      </c>
      <c r="G325" s="3274"/>
    </row>
    <row r="326" spans="1:7" ht="14.25" thickBot="1">
      <c r="A326" s="3270" t="s">
        <v>306</v>
      </c>
      <c r="B326" s="3260" t="s">
        <v>3228</v>
      </c>
      <c r="C326" s="3262"/>
      <c r="D326" s="3262"/>
      <c r="E326" s="3262"/>
      <c r="F326" s="3261">
        <v>0.05</v>
      </c>
      <c r="G326" s="3275"/>
    </row>
    <row r="327" spans="1:7">
      <c r="A327" s="3266" t="s">
        <v>307</v>
      </c>
      <c r="B327" s="3252" t="s">
        <v>2860</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2872</v>
      </c>
      <c r="C329" s="3257">
        <v>0.15</v>
      </c>
      <c r="D329" s="3257">
        <v>0.15</v>
      </c>
      <c r="E329" s="3257">
        <v>0.15</v>
      </c>
      <c r="F329" s="3257">
        <v>0.15</v>
      </c>
      <c r="G329" s="3258">
        <v>0.15</v>
      </c>
    </row>
    <row r="330" spans="1:7">
      <c r="A330" s="3267" t="s">
        <v>307</v>
      </c>
      <c r="B330" s="3256" t="s">
        <v>2876</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2884</v>
      </c>
      <c r="C332" s="3257">
        <v>0.15</v>
      </c>
      <c r="D332" s="3257">
        <v>0.15</v>
      </c>
      <c r="E332" s="3257">
        <v>0.15</v>
      </c>
      <c r="F332" s="3257">
        <v>0.15</v>
      </c>
      <c r="G332" s="3258">
        <v>0.15</v>
      </c>
    </row>
    <row r="333" spans="1:7">
      <c r="A333" s="3267" t="s">
        <v>307</v>
      </c>
      <c r="B333" s="3256" t="s">
        <v>2888</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2894</v>
      </c>
      <c r="C336" s="3257">
        <v>0.15</v>
      </c>
      <c r="D336" s="3257">
        <v>0.15</v>
      </c>
      <c r="E336" s="3257">
        <v>0.15</v>
      </c>
      <c r="F336" s="3257">
        <v>0.14199999999999999</v>
      </c>
      <c r="G336" s="3258">
        <v>0.15</v>
      </c>
    </row>
    <row r="337" spans="1:7">
      <c r="A337" s="3267" t="s">
        <v>307</v>
      </c>
      <c r="B337" s="3256" t="s">
        <v>2899</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2906</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2911</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2919</v>
      </c>
      <c r="C345" s="3257">
        <v>0.15</v>
      </c>
      <c r="D345" s="3257">
        <v>0.15</v>
      </c>
      <c r="E345" s="3257">
        <v>0.15</v>
      </c>
      <c r="F345" s="3257">
        <v>0.13800000000000001</v>
      </c>
      <c r="G345" s="3258">
        <v>0.15</v>
      </c>
    </row>
    <row r="346" spans="1:7">
      <c r="A346" s="3267" t="s">
        <v>307</v>
      </c>
      <c r="B346" s="3256" t="s">
        <v>2921</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2928</v>
      </c>
      <c r="C348" s="3257">
        <v>0.15</v>
      </c>
      <c r="D348" s="3257">
        <v>0.15</v>
      </c>
      <c r="E348" s="3257">
        <v>0.15</v>
      </c>
      <c r="F348" s="3257">
        <v>0.14399999999999999</v>
      </c>
      <c r="G348" s="3258">
        <v>0.15</v>
      </c>
    </row>
    <row r="349" spans="1:7">
      <c r="A349" s="3267" t="s">
        <v>307</v>
      </c>
      <c r="B349" s="3256" t="s">
        <v>2933</v>
      </c>
      <c r="C349" s="3257">
        <v>0.15</v>
      </c>
      <c r="D349" s="3257">
        <v>0.15</v>
      </c>
      <c r="E349" s="3257">
        <v>0.15</v>
      </c>
      <c r="F349" s="3257">
        <v>0.15</v>
      </c>
      <c r="G349" s="3258">
        <v>0.15</v>
      </c>
    </row>
    <row r="350" spans="1:7">
      <c r="A350" s="3267" t="s">
        <v>307</v>
      </c>
      <c r="B350" s="3256" t="s">
        <v>2936</v>
      </c>
      <c r="C350" s="3257">
        <v>0.15</v>
      </c>
      <c r="D350" s="3257">
        <v>0.15</v>
      </c>
      <c r="E350" s="3257">
        <v>0.15</v>
      </c>
      <c r="F350" s="3257">
        <v>0.14699999999999999</v>
      </c>
      <c r="G350" s="3258">
        <v>0.15</v>
      </c>
    </row>
    <row r="351" spans="1:7">
      <c r="A351" s="3267" t="s">
        <v>307</v>
      </c>
      <c r="B351" s="3256" t="s">
        <v>2941</v>
      </c>
      <c r="C351" s="3257">
        <v>0.15</v>
      </c>
      <c r="D351" s="3257">
        <v>0.15</v>
      </c>
      <c r="E351" s="3257">
        <v>0.15</v>
      </c>
      <c r="F351" s="3257">
        <v>0.13</v>
      </c>
      <c r="G351" s="3258">
        <v>0.15</v>
      </c>
    </row>
    <row r="352" spans="1:7">
      <c r="A352" s="3267" t="s">
        <v>307</v>
      </c>
      <c r="B352" s="3256" t="s">
        <v>2946</v>
      </c>
      <c r="C352" s="3257">
        <v>0.15</v>
      </c>
      <c r="D352" s="3257">
        <v>0.15</v>
      </c>
      <c r="E352" s="3257">
        <v>0.15</v>
      </c>
      <c r="F352" s="3257">
        <v>0.14599999999999999</v>
      </c>
      <c r="G352" s="3258">
        <v>0.15</v>
      </c>
    </row>
    <row r="353" spans="1:7">
      <c r="A353" s="3267" t="s">
        <v>307</v>
      </c>
      <c r="B353" s="3256" t="s">
        <v>2953</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2966</v>
      </c>
      <c r="C355" s="3257">
        <v>0.15</v>
      </c>
      <c r="D355" s="3257">
        <v>0.15</v>
      </c>
      <c r="E355" s="3257">
        <v>0.15</v>
      </c>
      <c r="F355" s="3257">
        <v>0.15</v>
      </c>
      <c r="G355" s="3258">
        <v>0.15</v>
      </c>
    </row>
    <row r="356" spans="1:7">
      <c r="A356" s="3267" t="s">
        <v>307</v>
      </c>
      <c r="B356" s="3256" t="s">
        <v>2973</v>
      </c>
      <c r="C356" s="3257">
        <v>0.15</v>
      </c>
      <c r="D356" s="3257">
        <v>0.15</v>
      </c>
      <c r="E356" s="3257">
        <v>0.15</v>
      </c>
      <c r="F356" s="3257">
        <v>0.15</v>
      </c>
      <c r="G356" s="3258">
        <v>0.15</v>
      </c>
    </row>
    <row r="357" spans="1:7" ht="14.25" thickBot="1">
      <c r="A357" s="3270" t="s">
        <v>307</v>
      </c>
      <c r="B357" s="3260" t="s">
        <v>2978</v>
      </c>
      <c r="C357" s="3261">
        <v>0.126</v>
      </c>
      <c r="D357" s="3261">
        <v>0.127</v>
      </c>
      <c r="E357" s="3261">
        <v>0.14299999999999999</v>
      </c>
      <c r="F357" s="3261">
        <v>0.125</v>
      </c>
      <c r="G357" s="3263">
        <v>0.129</v>
      </c>
    </row>
    <row r="358" spans="1:7">
      <c r="A358" s="3266" t="s">
        <v>2847</v>
      </c>
      <c r="B358" s="3252" t="s">
        <v>2861</v>
      </c>
      <c r="C358" s="3253">
        <v>0.15</v>
      </c>
      <c r="D358" s="3253">
        <v>0.15</v>
      </c>
      <c r="E358" s="3253">
        <v>0.15</v>
      </c>
      <c r="F358" s="3253">
        <v>0.15</v>
      </c>
      <c r="G358" s="3254">
        <v>0.15</v>
      </c>
    </row>
    <row r="359" spans="1:7">
      <c r="A359" s="3267" t="s">
        <v>2847</v>
      </c>
      <c r="B359" s="3256" t="s">
        <v>2867</v>
      </c>
      <c r="C359" s="3257">
        <v>0.1</v>
      </c>
      <c r="D359" s="3257">
        <v>0.1</v>
      </c>
      <c r="E359" s="3257">
        <v>0.1</v>
      </c>
      <c r="F359" s="3257">
        <v>0.1</v>
      </c>
      <c r="G359" s="3258">
        <v>0.1</v>
      </c>
    </row>
    <row r="360" spans="1:7">
      <c r="A360" s="3267" t="s">
        <v>2847</v>
      </c>
      <c r="B360" s="3256" t="s">
        <v>2873</v>
      </c>
      <c r="C360" s="3257">
        <v>0.15</v>
      </c>
      <c r="D360" s="3257">
        <v>0.15</v>
      </c>
      <c r="E360" s="3257">
        <v>0.15</v>
      </c>
      <c r="F360" s="3257">
        <v>0.14899999999999999</v>
      </c>
      <c r="G360" s="3258">
        <v>0.15</v>
      </c>
    </row>
    <row r="361" spans="1:7">
      <c r="A361" s="3267" t="s">
        <v>2847</v>
      </c>
      <c r="B361" s="3256" t="s">
        <v>153</v>
      </c>
      <c r="C361" s="3257">
        <v>0.15</v>
      </c>
      <c r="D361" s="3257">
        <v>0.15</v>
      </c>
      <c r="E361" s="3257">
        <v>0.15</v>
      </c>
      <c r="F361" s="3257">
        <v>0.115</v>
      </c>
      <c r="G361" s="3258">
        <v>0.15</v>
      </c>
    </row>
    <row r="362" spans="1:7">
      <c r="A362" s="3267" t="s">
        <v>2847</v>
      </c>
      <c r="B362" s="3256" t="s">
        <v>2880</v>
      </c>
      <c r="C362" s="3257">
        <v>0.15</v>
      </c>
      <c r="D362" s="3257">
        <v>0.15</v>
      </c>
      <c r="E362" s="3257">
        <v>0.15</v>
      </c>
      <c r="F362" s="3257">
        <v>0.106</v>
      </c>
      <c r="G362" s="3258">
        <v>0.15</v>
      </c>
    </row>
    <row r="363" spans="1:7">
      <c r="A363" s="3267" t="s">
        <v>2847</v>
      </c>
      <c r="B363" s="3256" t="s">
        <v>2885</v>
      </c>
      <c r="C363" s="3257">
        <v>0.15</v>
      </c>
      <c r="D363" s="3257">
        <v>0.15</v>
      </c>
      <c r="E363" s="3257">
        <v>0.15</v>
      </c>
      <c r="F363" s="3257">
        <v>0.14699999999999999</v>
      </c>
      <c r="G363" s="3258">
        <v>0.15</v>
      </c>
    </row>
    <row r="364" spans="1:7">
      <c r="A364" s="3267" t="s">
        <v>2847</v>
      </c>
      <c r="B364" s="3256" t="s">
        <v>2889</v>
      </c>
      <c r="C364" s="3257">
        <v>0.15</v>
      </c>
      <c r="D364" s="3257">
        <v>0.15</v>
      </c>
      <c r="E364" s="3257">
        <v>0.15</v>
      </c>
      <c r="F364" s="3257">
        <v>0.14799999999999999</v>
      </c>
      <c r="G364" s="3258">
        <v>0.15</v>
      </c>
    </row>
    <row r="365" spans="1:7">
      <c r="A365" s="3267" t="s">
        <v>2847</v>
      </c>
      <c r="B365" s="3256" t="s">
        <v>200</v>
      </c>
      <c r="C365" s="3257">
        <v>0.15</v>
      </c>
      <c r="D365" s="3257">
        <v>0.15</v>
      </c>
      <c r="E365" s="3257">
        <v>0.15</v>
      </c>
      <c r="F365" s="3257">
        <v>0.15</v>
      </c>
      <c r="G365" s="3258">
        <v>0.15</v>
      </c>
    </row>
    <row r="366" spans="1:7">
      <c r="A366" s="3267" t="s">
        <v>2847</v>
      </c>
      <c r="B366" s="3256" t="s">
        <v>2892</v>
      </c>
      <c r="C366" s="3257">
        <v>0.15</v>
      </c>
      <c r="D366" s="3257">
        <v>0.15</v>
      </c>
      <c r="E366" s="3257">
        <v>0.15</v>
      </c>
      <c r="F366" s="3257">
        <v>0.15</v>
      </c>
      <c r="G366" s="3258">
        <v>0.15</v>
      </c>
    </row>
    <row r="367" spans="1:7">
      <c r="A367" s="3267" t="s">
        <v>2847</v>
      </c>
      <c r="B367" s="3256" t="s">
        <v>2895</v>
      </c>
      <c r="C367" s="3257">
        <v>0.15</v>
      </c>
      <c r="D367" s="3257">
        <v>0.15</v>
      </c>
      <c r="E367" s="3257">
        <v>0.15</v>
      </c>
      <c r="F367" s="3257">
        <v>0.14699999999999999</v>
      </c>
      <c r="G367" s="3258">
        <v>0.15</v>
      </c>
    </row>
    <row r="368" spans="1:7">
      <c r="A368" s="3267" t="s">
        <v>2847</v>
      </c>
      <c r="B368" s="3256" t="s">
        <v>2900</v>
      </c>
      <c r="C368" s="3257">
        <v>0.15</v>
      </c>
      <c r="D368" s="3257">
        <v>0.15</v>
      </c>
      <c r="E368" s="3257">
        <v>0.15</v>
      </c>
      <c r="F368" s="3257">
        <v>0.13600000000000001</v>
      </c>
      <c r="G368" s="3258">
        <v>0.15</v>
      </c>
    </row>
    <row r="369" spans="1:7">
      <c r="A369" s="3267" t="s">
        <v>2847</v>
      </c>
      <c r="B369" s="3256" t="s">
        <v>214</v>
      </c>
      <c r="C369" s="3257">
        <v>0.15</v>
      </c>
      <c r="D369" s="3257">
        <v>0.15</v>
      </c>
      <c r="E369" s="3257">
        <v>0.15</v>
      </c>
      <c r="F369" s="3257">
        <v>0.14399999999999999</v>
      </c>
      <c r="G369" s="3258">
        <v>0.15</v>
      </c>
    </row>
    <row r="370" spans="1:7">
      <c r="A370" s="3267" t="s">
        <v>2847</v>
      </c>
      <c r="B370" s="3256" t="s">
        <v>221</v>
      </c>
      <c r="C370" s="3257">
        <v>0.15</v>
      </c>
      <c r="D370" s="3257">
        <v>0.15</v>
      </c>
      <c r="E370" s="3257">
        <v>0.15</v>
      </c>
      <c r="F370" s="3257">
        <v>0.14599999999999999</v>
      </c>
      <c r="G370" s="3258">
        <v>0.15</v>
      </c>
    </row>
    <row r="371" spans="1:7">
      <c r="A371" s="3267" t="s">
        <v>2847</v>
      </c>
      <c r="B371" s="3256" t="s">
        <v>229</v>
      </c>
      <c r="C371" s="3257">
        <v>0.15</v>
      </c>
      <c r="D371" s="3257">
        <v>0.15</v>
      </c>
      <c r="E371" s="3257">
        <v>0.15</v>
      </c>
      <c r="F371" s="3257">
        <v>0.12</v>
      </c>
      <c r="G371" s="3258">
        <v>0.15</v>
      </c>
    </row>
    <row r="372" spans="1:7">
      <c r="A372" s="3267" t="s">
        <v>2847</v>
      </c>
      <c r="B372" s="3256" t="s">
        <v>2908</v>
      </c>
      <c r="C372" s="3257">
        <v>0.15</v>
      </c>
      <c r="D372" s="3257">
        <v>0.15</v>
      </c>
      <c r="E372" s="3257">
        <v>0.15</v>
      </c>
      <c r="F372" s="3257">
        <v>0.14299999999999999</v>
      </c>
      <c r="G372" s="3258">
        <v>0.15</v>
      </c>
    </row>
    <row r="373" spans="1:7">
      <c r="A373" s="3267" t="s">
        <v>2847</v>
      </c>
      <c r="B373" s="3256" t="s">
        <v>258</v>
      </c>
      <c r="C373" s="3257">
        <v>0.15</v>
      </c>
      <c r="D373" s="3257">
        <v>0.15</v>
      </c>
      <c r="E373" s="3257">
        <v>0.15</v>
      </c>
      <c r="F373" s="3257">
        <v>0.14599999999999999</v>
      </c>
      <c r="G373" s="3258">
        <v>0.15</v>
      </c>
    </row>
    <row r="374" spans="1:7">
      <c r="A374" s="3267" t="s">
        <v>2847</v>
      </c>
      <c r="B374" s="3256" t="s">
        <v>266</v>
      </c>
      <c r="C374" s="3257">
        <v>0.15</v>
      </c>
      <c r="D374" s="3257">
        <v>0.15</v>
      </c>
      <c r="E374" s="3257">
        <v>0.15</v>
      </c>
      <c r="F374" s="3257">
        <v>0.14399999999999999</v>
      </c>
      <c r="G374" s="3258">
        <v>0.15</v>
      </c>
    </row>
    <row r="375" spans="1:7">
      <c r="A375" s="3267" t="s">
        <v>2847</v>
      </c>
      <c r="B375" s="3256" t="s">
        <v>2916</v>
      </c>
      <c r="C375" s="3257">
        <v>0.15</v>
      </c>
      <c r="D375" s="3257">
        <v>0.15</v>
      </c>
      <c r="E375" s="3257">
        <v>0.15</v>
      </c>
      <c r="F375" s="3257">
        <v>0.13</v>
      </c>
      <c r="G375" s="3258">
        <v>0.15</v>
      </c>
    </row>
    <row r="376" spans="1:7">
      <c r="A376" s="3267" t="s">
        <v>2847</v>
      </c>
      <c r="B376" s="3256" t="s">
        <v>277</v>
      </c>
      <c r="C376" s="3257">
        <v>0.15</v>
      </c>
      <c r="D376" s="3257">
        <v>0.15</v>
      </c>
      <c r="E376" s="3257">
        <v>0.15</v>
      </c>
      <c r="F376" s="3257">
        <v>0.14199999999999999</v>
      </c>
      <c r="G376" s="3258">
        <v>0.15</v>
      </c>
    </row>
    <row r="377" spans="1:7" ht="14.25" thickBot="1">
      <c r="A377" s="3270" t="s">
        <v>2847</v>
      </c>
      <c r="B377" s="3260" t="s">
        <v>2922</v>
      </c>
      <c r="C377" s="3261">
        <v>0.15</v>
      </c>
      <c r="D377" s="3261">
        <v>0.15</v>
      </c>
      <c r="E377" s="3261">
        <v>0.15</v>
      </c>
      <c r="F377" s="3261">
        <v>0.14000000000000001</v>
      </c>
      <c r="G377" s="3263">
        <v>0.15</v>
      </c>
    </row>
    <row r="378" spans="1:7">
      <c r="A378" s="3266" t="s">
        <v>2848</v>
      </c>
      <c r="B378" s="3252" t="s">
        <v>2862</v>
      </c>
      <c r="C378" s="3253">
        <v>0.15</v>
      </c>
      <c r="D378" s="3253">
        <v>0.15</v>
      </c>
      <c r="E378" s="3253">
        <v>0.15</v>
      </c>
      <c r="F378" s="3253">
        <v>0.107</v>
      </c>
      <c r="G378" s="3254">
        <v>0.15</v>
      </c>
    </row>
    <row r="379" spans="1:7">
      <c r="A379" s="3267" t="s">
        <v>2848</v>
      </c>
      <c r="B379" s="3256" t="s">
        <v>2868</v>
      </c>
      <c r="C379" s="3257">
        <v>0.15</v>
      </c>
      <c r="D379" s="3257">
        <v>0.15</v>
      </c>
      <c r="E379" s="3257">
        <v>0.15</v>
      </c>
      <c r="F379" s="3257">
        <v>0.115</v>
      </c>
      <c r="G379" s="3258">
        <v>0.14899999999999999</v>
      </c>
    </row>
    <row r="380" spans="1:7">
      <c r="A380" s="3267" t="s">
        <v>2848</v>
      </c>
      <c r="B380" s="3256" t="s">
        <v>2874</v>
      </c>
      <c r="C380" s="3257">
        <v>0.15</v>
      </c>
      <c r="D380" s="3257">
        <v>0.15</v>
      </c>
      <c r="E380" s="3257">
        <v>0.15</v>
      </c>
      <c r="F380" s="3257">
        <v>0.1</v>
      </c>
      <c r="G380" s="3258">
        <v>0.14799999999999999</v>
      </c>
    </row>
    <row r="381" spans="1:7">
      <c r="A381" s="3267" t="s">
        <v>2848</v>
      </c>
      <c r="B381" s="3256" t="s">
        <v>2877</v>
      </c>
      <c r="C381" s="3257">
        <v>0.15</v>
      </c>
      <c r="D381" s="3257">
        <v>0.15</v>
      </c>
      <c r="E381" s="3257">
        <v>0.15</v>
      </c>
      <c r="F381" s="3257">
        <v>0.126</v>
      </c>
      <c r="G381" s="3258">
        <v>0.15</v>
      </c>
    </row>
    <row r="382" spans="1:7">
      <c r="A382" s="3267" t="s">
        <v>2848</v>
      </c>
      <c r="B382" s="3256" t="s">
        <v>2881</v>
      </c>
      <c r="C382" s="3257">
        <v>0.15</v>
      </c>
      <c r="D382" s="3257">
        <v>0.15</v>
      </c>
      <c r="E382" s="3257">
        <v>0.15</v>
      </c>
      <c r="F382" s="3257">
        <v>0.15</v>
      </c>
      <c r="G382" s="3258">
        <v>0.15</v>
      </c>
    </row>
    <row r="383" spans="1:7">
      <c r="A383" s="3267" t="s">
        <v>2848</v>
      </c>
      <c r="B383" s="3256" t="s">
        <v>2886</v>
      </c>
      <c r="C383" s="3257">
        <v>0.15</v>
      </c>
      <c r="D383" s="3257">
        <v>0.15</v>
      </c>
      <c r="E383" s="3257">
        <v>0.15</v>
      </c>
      <c r="F383" s="3257">
        <v>0.14699999999999999</v>
      </c>
      <c r="G383" s="3258">
        <v>0.15</v>
      </c>
    </row>
    <row r="384" spans="1:7" ht="14.25" thickBot="1">
      <c r="A384" s="3277" t="s">
        <v>2848</v>
      </c>
      <c r="B384" s="3278" t="s">
        <v>2890</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794" t="s">
        <v>3229</v>
      </c>
      <c r="B1" s="3794"/>
      <c r="C1" s="3794"/>
      <c r="D1" s="3794"/>
      <c r="E1" s="3794"/>
      <c r="F1" s="3795"/>
    </row>
    <row r="2" spans="1:6">
      <c r="A2" s="3283" t="s">
        <v>3230</v>
      </c>
      <c r="B2" s="3284"/>
      <c r="C2" s="3284"/>
      <c r="D2" s="3284"/>
      <c r="E2" s="3284"/>
      <c r="F2" s="3284"/>
    </row>
    <row r="3" spans="1:6">
      <c r="A3" s="3283" t="s">
        <v>3231</v>
      </c>
      <c r="B3" s="3284"/>
      <c r="C3" s="3284"/>
      <c r="D3" s="3284"/>
      <c r="E3" s="3284"/>
      <c r="F3" s="3285" t="s">
        <v>3232</v>
      </c>
    </row>
    <row r="4" spans="1:6">
      <c r="A4" s="3286" t="s">
        <v>672</v>
      </c>
      <c r="B4" s="3286" t="s">
        <v>673</v>
      </c>
      <c r="C4" s="3286" t="s">
        <v>21</v>
      </c>
      <c r="D4" s="3286" t="s">
        <v>674</v>
      </c>
      <c r="E4" s="3286" t="s">
        <v>3</v>
      </c>
      <c r="F4" s="3286" t="s">
        <v>3233</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3">
        <f>基准地价修正!G23</f>
        <v>45160</v>
      </c>
      <c r="B1" s="3202" t="s">
        <v>2835</v>
      </c>
      <c r="C1" s="3203"/>
      <c r="D1" s="3203"/>
      <c r="E1" s="3203"/>
      <c r="F1" s="3203"/>
      <c r="G1" s="3203"/>
      <c r="H1" s="3203"/>
      <c r="I1" s="3203"/>
      <c r="J1" s="3157"/>
      <c r="K1" s="3203" t="s">
        <v>454</v>
      </c>
      <c r="L1" s="3203"/>
      <c r="M1" s="3203"/>
      <c r="N1" s="3203"/>
      <c r="O1" s="3203"/>
      <c r="P1" s="3203"/>
      <c r="Q1" s="3157"/>
      <c r="R1" s="3796" t="s">
        <v>456</v>
      </c>
      <c r="S1" s="3797"/>
      <c r="T1" s="3797"/>
      <c r="U1" s="3797"/>
      <c r="V1" s="3797"/>
      <c r="W1" s="3797"/>
      <c r="X1" s="3157"/>
      <c r="Y1" s="3796" t="s">
        <v>457</v>
      </c>
      <c r="Z1" s="3797"/>
      <c r="AA1" s="3797"/>
      <c r="AB1" s="3797"/>
      <c r="AC1" s="3797"/>
      <c r="AD1" s="3797"/>
    </row>
    <row r="2" spans="1:30" s="3135" customFormat="1" ht="14.25" thickBot="1">
      <c r="B2" s="3136"/>
      <c r="C2" s="3137"/>
      <c r="D2" s="3138" t="s">
        <v>2805</v>
      </c>
      <c r="E2" s="3139" t="s">
        <v>2806</v>
      </c>
      <c r="F2" s="3139" t="s">
        <v>2807</v>
      </c>
      <c r="G2" s="3139" t="s">
        <v>2808</v>
      </c>
      <c r="H2" s="3139" t="s">
        <v>2809</v>
      </c>
      <c r="I2" s="3139" t="s">
        <v>2626</v>
      </c>
      <c r="J2" s="3140"/>
      <c r="K2" s="3138" t="s">
        <v>2805</v>
      </c>
      <c r="L2" s="3139" t="s">
        <v>2806</v>
      </c>
      <c r="M2" s="3139" t="s">
        <v>2807</v>
      </c>
      <c r="N2" s="3139" t="s">
        <v>2808</v>
      </c>
      <c r="O2" s="3139" t="s">
        <v>2810</v>
      </c>
      <c r="P2" s="3139" t="s">
        <v>2626</v>
      </c>
      <c r="Q2" s="3140"/>
      <c r="R2" s="3138" t="s">
        <v>2805</v>
      </c>
      <c r="S2" s="3139" t="s">
        <v>2806</v>
      </c>
      <c r="T2" s="3139" t="s">
        <v>2807</v>
      </c>
      <c r="U2" s="3139" t="s">
        <v>2811</v>
      </c>
      <c r="V2" s="3139" t="s">
        <v>2812</v>
      </c>
      <c r="W2" s="3139" t="s">
        <v>2626</v>
      </c>
      <c r="X2" s="3140"/>
      <c r="Y2" s="3138" t="s">
        <v>2805</v>
      </c>
      <c r="Z2" s="3139" t="s">
        <v>2806</v>
      </c>
      <c r="AA2" s="3139" t="s">
        <v>2807</v>
      </c>
      <c r="AB2" s="3139" t="s">
        <v>2813</v>
      </c>
      <c r="AC2" s="3139" t="s">
        <v>2812</v>
      </c>
      <c r="AD2" s="3139" t="s">
        <v>2626</v>
      </c>
    </row>
    <row r="3" spans="1:30" s="3153" customFormat="1" ht="12.75">
      <c r="A3" s="3141" t="s">
        <v>2814</v>
      </c>
      <c r="B3" s="3142"/>
      <c r="C3" s="3143"/>
      <c r="D3" s="3143">
        <f>ROUND(AVERAGEIF(D4:D16,"&lt;&gt;0"),2)</f>
        <v>0.83</v>
      </c>
      <c r="E3" s="3143">
        <f t="shared" ref="E3:H3" si="0">ROUND(AVERAGEIF(E4:E16,"&lt;&gt;0"),2)</f>
        <v>0.4</v>
      </c>
      <c r="F3" s="3143">
        <f t="shared" si="0"/>
        <v>0.22</v>
      </c>
      <c r="G3" s="3143">
        <f t="shared" si="0"/>
        <v>0.9</v>
      </c>
      <c r="H3" s="3143">
        <f t="shared" si="0"/>
        <v>0.65</v>
      </c>
      <c r="I3" s="3143">
        <f>F3</f>
        <v>0.22</v>
      </c>
      <c r="J3" s="3144"/>
      <c r="K3" s="3145">
        <f>ROUND(AVERAGEIF(K4:K16,"&lt;&gt;0"),4)</f>
        <v>8.3000000000000001E-3</v>
      </c>
      <c r="L3" s="3146">
        <f t="shared" ref="L3:O3" si="1">ROUND(AVERAGEIF(L4:L16,"&lt;&gt;0"),4)</f>
        <v>4.0000000000000001E-3</v>
      </c>
      <c r="M3" s="3146">
        <f t="shared" si="1"/>
        <v>2.2000000000000001E-3</v>
      </c>
      <c r="N3" s="3146">
        <f t="shared" si="1"/>
        <v>8.9999999999999993E-3</v>
      </c>
      <c r="O3" s="3146">
        <f t="shared" si="1"/>
        <v>6.4999999999999997E-3</v>
      </c>
      <c r="P3" s="3146">
        <f>M3</f>
        <v>2.2000000000000001E-3</v>
      </c>
      <c r="Q3" s="3144"/>
      <c r="R3" s="3147">
        <f>ROUND(SUMPRODUCT(PRODUCT(1+K4:K16)),4)</f>
        <v>1.0860000000000001</v>
      </c>
      <c r="S3" s="3148">
        <f t="shared" ref="S3:V3" si="2">ROUND(SUMPRODUCT(PRODUCT(1+L4:L16)),4)</f>
        <v>1.0410999999999999</v>
      </c>
      <c r="T3" s="3148">
        <f t="shared" si="2"/>
        <v>1.0225</v>
      </c>
      <c r="U3" s="3148">
        <f t="shared" si="2"/>
        <v>1.0938000000000001</v>
      </c>
      <c r="V3" s="3148">
        <f t="shared" si="2"/>
        <v>1.0668</v>
      </c>
      <c r="W3" s="3147">
        <f>T3</f>
        <v>1.0225</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3364</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1.0755999999999999</v>
      </c>
      <c r="S5" s="3175">
        <f>ROUND(IF(项目基本情况!$B$8="出让",SUMPRODUCT(PRODUCT(1+L5:$L$16)),SUMPRODUCT(PRODUCT(1+L5:$L$15))),4)</f>
        <v>1.0395000000000001</v>
      </c>
      <c r="T5" s="3175">
        <f>ROUND(IF(项目基本情况!$B$8="出让",SUMPRODUCT(PRODUCT(1+M5:$M$16)),SUMPRODUCT(PRODUCT(1+M5:$M$15))),4)</f>
        <v>1.0250999999999999</v>
      </c>
      <c r="U5" s="3175">
        <f>ROUND(IF(项目基本情况!$B$8="出让",SUMPRODUCT(PRODUCT(1+N5:$N$16)),SUMPRODUCT(PRODUCT(1+N5:$N$15))),4)</f>
        <v>1.0818000000000001</v>
      </c>
      <c r="V5" s="3175">
        <f>ROUND(IF(项目基本情况!$B$8="出让",SUMPRODUCT(PRODUCT(1+O5:$O$16)),SUMPRODUCT(PRODUCT(1+O5:$O$15))),4)</f>
        <v>1.0629999999999999</v>
      </c>
      <c r="W5" s="3175">
        <f>T5</f>
        <v>1.0250999999999999</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3365</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1.0755999999999999</v>
      </c>
      <c r="S6" s="3175">
        <f>ROUND(IF(项目基本情况!$B$8="出让",SUMPRODUCT(PRODUCT(1+L6:$L$16)),SUMPRODUCT(PRODUCT(1+L6:$L$15))),4)</f>
        <v>1.0395000000000001</v>
      </c>
      <c r="T6" s="3175">
        <f>ROUND(IF(项目基本情况!$B$8="出让",SUMPRODUCT(PRODUCT(1+M6:$M$16)),SUMPRODUCT(PRODUCT(1+M6:$M$15))),4)</f>
        <v>1.0250999999999999</v>
      </c>
      <c r="U6" s="3175">
        <f>ROUND(IF(项目基本情况!$B$8="出让",SUMPRODUCT(PRODUCT(1+N6:$N$16)),SUMPRODUCT(PRODUCT(1+N6:$N$15))),4)</f>
        <v>1.0818000000000001</v>
      </c>
      <c r="V6" s="3175">
        <f>ROUND(IF(项目基本情况!$B$8="出让",SUMPRODUCT(PRODUCT(1+O6:$O$16)),SUMPRODUCT(PRODUCT(1+O6:$O$15))),4)</f>
        <v>1.0629999999999999</v>
      </c>
      <c r="W6" s="3175">
        <f t="shared" ref="W6:W8" si="14">T6</f>
        <v>1.0250999999999999</v>
      </c>
      <c r="X6" s="3173"/>
      <c r="Y6" s="3176"/>
      <c r="Z6" s="3176"/>
      <c r="AA6" s="3176"/>
      <c r="AB6" s="3176"/>
      <c r="AC6" s="3176"/>
      <c r="AD6" s="3176"/>
    </row>
    <row r="7" spans="1:30" s="3187" customFormat="1" ht="12.75">
      <c r="A7" s="3178" t="s">
        <v>3369</v>
      </c>
      <c r="B7" s="3179">
        <v>2023</v>
      </c>
      <c r="C7" s="3180">
        <v>2</v>
      </c>
      <c r="D7" s="3181">
        <v>0.91</v>
      </c>
      <c r="E7" s="3181">
        <v>0.66</v>
      </c>
      <c r="F7" s="3181">
        <v>0.47</v>
      </c>
      <c r="G7" s="3181">
        <v>0.96</v>
      </c>
      <c r="H7" s="3182">
        <v>0.71</v>
      </c>
      <c r="I7" s="3183">
        <f t="shared" si="4"/>
        <v>0.47</v>
      </c>
      <c r="J7" s="3184"/>
      <c r="K7" s="3185">
        <f t="shared" si="8"/>
        <v>9.1000000000000004E-3</v>
      </c>
      <c r="L7" s="3186">
        <f t="shared" si="9"/>
        <v>6.6E-3</v>
      </c>
      <c r="M7" s="3186">
        <f t="shared" si="10"/>
        <v>4.6999999999999993E-3</v>
      </c>
      <c r="N7" s="3186">
        <f t="shared" si="11"/>
        <v>9.5999999999999992E-3</v>
      </c>
      <c r="O7" s="3186">
        <f t="shared" si="12"/>
        <v>7.0999999999999995E-3</v>
      </c>
      <c r="P7" s="3186">
        <f t="shared" si="13"/>
        <v>4.6999999999999993E-3</v>
      </c>
      <c r="Q7" s="3184"/>
      <c r="R7" s="3184">
        <f>ROUND(IF(项目基本情况!$B$8="出让",SUMPRODUCT(PRODUCT(1+K7:$K$16)),SUMPRODUCT(PRODUCT(1+K7:$K$15))),4)</f>
        <v>1.0755999999999999</v>
      </c>
      <c r="S7" s="3184">
        <f>ROUND(IF(项目基本情况!$B$8="出让",SUMPRODUCT(PRODUCT(1+L7:$L$16)),SUMPRODUCT(PRODUCT(1+L7:$L$15))),4)</f>
        <v>1.0395000000000001</v>
      </c>
      <c r="T7" s="3184">
        <f>ROUND(IF(项目基本情况!$B$8="出让",SUMPRODUCT(PRODUCT(1+M7:$M$16)),SUMPRODUCT(PRODUCT(1+M7:$M$15))),4)</f>
        <v>1.0250999999999999</v>
      </c>
      <c r="U7" s="3184">
        <f>ROUND(IF(项目基本情况!$B$8="出让",SUMPRODUCT(PRODUCT(1+N7:$N$16)),SUMPRODUCT(PRODUCT(1+N7:$N$15))),4)</f>
        <v>1.0818000000000001</v>
      </c>
      <c r="V7" s="3184">
        <f>ROUND(IF(项目基本情况!$B$8="出让",SUMPRODUCT(PRODUCT(1+O7:$O$16)),SUMPRODUCT(PRODUCT(1+O7:$O$15))),4)</f>
        <v>1.0629999999999999</v>
      </c>
      <c r="W7" s="3184">
        <f t="shared" si="14"/>
        <v>1.0250999999999999</v>
      </c>
      <c r="X7" s="3184"/>
      <c r="Y7" s="3186"/>
      <c r="Z7" s="3186"/>
      <c r="AA7" s="3186"/>
      <c r="AB7" s="3186"/>
      <c r="AC7" s="3186"/>
      <c r="AD7" s="3186"/>
    </row>
    <row r="8" spans="1:30" s="3177" customFormat="1" ht="12.75">
      <c r="A8" s="3168" t="s">
        <v>3368</v>
      </c>
      <c r="B8" s="3169">
        <v>2023</v>
      </c>
      <c r="C8" s="3170">
        <v>1</v>
      </c>
      <c r="D8" s="3171">
        <v>0.89</v>
      </c>
      <c r="E8" s="3171">
        <v>0.74</v>
      </c>
      <c r="F8" s="3171">
        <v>0.56999999999999995</v>
      </c>
      <c r="G8" s="3171">
        <v>0.92</v>
      </c>
      <c r="H8" s="3188">
        <v>0.5</v>
      </c>
      <c r="I8" s="3172">
        <f t="shared" si="4"/>
        <v>0.56999999999999995</v>
      </c>
      <c r="J8" s="3173"/>
      <c r="K8" s="3174">
        <f t="shared" si="8"/>
        <v>8.8999999999999999E-3</v>
      </c>
      <c r="L8" s="3164">
        <f t="shared" si="9"/>
        <v>7.4000000000000003E-3</v>
      </c>
      <c r="M8" s="3164">
        <f t="shared" si="10"/>
        <v>5.6999999999999993E-3</v>
      </c>
      <c r="N8" s="3164">
        <f t="shared" si="11"/>
        <v>9.1999999999999998E-3</v>
      </c>
      <c r="O8" s="3164">
        <f t="shared" si="12"/>
        <v>5.0000000000000001E-3</v>
      </c>
      <c r="P8" s="3164">
        <f t="shared" si="13"/>
        <v>5.6999999999999993E-3</v>
      </c>
      <c r="Q8" s="3173"/>
      <c r="R8" s="3175">
        <f>ROUND(IF(项目基本情况!$B$8="出让",SUMPRODUCT(PRODUCT(1+K8:$K$16)),SUMPRODUCT(PRODUCT(1+K8:$K$15))),4)</f>
        <v>1.0659000000000001</v>
      </c>
      <c r="S8" s="3175">
        <f>ROUND(IF(项目基本情况!$B$8="出让",SUMPRODUCT(PRODUCT(1+L8:$L$16)),SUMPRODUCT(PRODUCT(1+L8:$L$15))),4)</f>
        <v>1.0326</v>
      </c>
      <c r="T8" s="3175">
        <f>ROUND(IF(项目基本情况!$B$8="出让",SUMPRODUCT(PRODUCT(1+M8:$M$16)),SUMPRODUCT(PRODUCT(1+M8:$M$15))),4)</f>
        <v>1.0203</v>
      </c>
      <c r="U8" s="3175">
        <f>ROUND(IF(项目基本情况!$B$8="出让",SUMPRODUCT(PRODUCT(1+N8:$N$16)),SUMPRODUCT(PRODUCT(1+N8:$N$15))),4)</f>
        <v>1.0714999999999999</v>
      </c>
      <c r="V8" s="3175">
        <f>ROUND(IF(项目基本情况!$B$8="出让",SUMPRODUCT(PRODUCT(1+O8:$O$16)),SUMPRODUCT(PRODUCT(1+O8:$O$15))),4)</f>
        <v>1.0555000000000001</v>
      </c>
      <c r="W8" s="3175">
        <f t="shared" si="14"/>
        <v>1.0203</v>
      </c>
      <c r="X8" s="3173"/>
      <c r="Y8" s="3176"/>
      <c r="Z8" s="3176"/>
      <c r="AA8" s="3176"/>
      <c r="AB8" s="3176"/>
      <c r="AC8" s="3176"/>
      <c r="AD8" s="3176"/>
    </row>
    <row r="9" spans="1:30" s="3177" customFormat="1" ht="12.75">
      <c r="A9" s="3168" t="s">
        <v>3366</v>
      </c>
      <c r="B9" s="3169">
        <v>2022</v>
      </c>
      <c r="C9" s="3170">
        <v>4</v>
      </c>
      <c r="D9" s="3171">
        <v>0.62</v>
      </c>
      <c r="E9" s="3171">
        <v>0.2</v>
      </c>
      <c r="F9" s="3171">
        <v>0.11</v>
      </c>
      <c r="G9" s="3171">
        <v>0.69</v>
      </c>
      <c r="H9" s="3188">
        <v>0.53</v>
      </c>
      <c r="I9" s="3172">
        <f t="shared" si="4"/>
        <v>0.11</v>
      </c>
      <c r="J9" s="3173"/>
      <c r="K9" s="3174">
        <f t="shared" si="5"/>
        <v>6.1999999999999998E-3</v>
      </c>
      <c r="L9" s="3164">
        <f t="shared" si="5"/>
        <v>2E-3</v>
      </c>
      <c r="M9" s="3164">
        <f t="shared" si="5"/>
        <v>1.1000000000000001E-3</v>
      </c>
      <c r="N9" s="3164">
        <f t="shared" si="5"/>
        <v>6.8999999999999999E-3</v>
      </c>
      <c r="O9" s="3164">
        <f t="shared" si="5"/>
        <v>5.3E-3</v>
      </c>
      <c r="P9" s="3164">
        <f t="shared" ref="P9:P16" si="15">M9</f>
        <v>1.1000000000000001E-3</v>
      </c>
      <c r="Q9" s="3173"/>
      <c r="R9" s="3175">
        <f>ROUND(IF([2]项目基本情况!B8="出让",SUMPRODUCT(PRODUCT(1+K9:K16)),SUMPRODUCT(PRODUCT(1+K9:K15))),4)</f>
        <v>1.0565</v>
      </c>
      <c r="S9" s="3175">
        <f>ROUND(IF([2]项目基本情况!B8="出让",SUMPRODUCT(PRODUCT(1+L9:L16)),SUMPRODUCT(PRODUCT(1+L9:L15))),4)</f>
        <v>1.0250999999999999</v>
      </c>
      <c r="T9" s="3175">
        <f>ROUND(IF([2]项目基本情况!B8="出让",SUMPRODUCT(PRODUCT(1+M9:M16)),SUMPRODUCT(PRODUCT(1+M9:M15))),4)</f>
        <v>1.0145</v>
      </c>
      <c r="U9" s="3175">
        <f>ROUND(IF([2]项目基本情况!B8="出让",SUMPRODUCT(PRODUCT(1+N9:N16)),SUMPRODUCT(PRODUCT(1+N9:N15))),4)</f>
        <v>1.0618000000000001</v>
      </c>
      <c r="V9" s="3175">
        <f>ROUND(IF([2]项目基本情况!B8="出让",SUMPRODUCT(PRODUCT(1+O9:O16)),SUMPRODUCT(PRODUCT(1+O9:O15))),4)</f>
        <v>1.0502</v>
      </c>
      <c r="W9" s="3175">
        <f t="shared" ref="W9:W16" si="16">T9</f>
        <v>1.0145</v>
      </c>
      <c r="X9" s="3173"/>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77" customFormat="1" ht="12.75">
      <c r="A10" s="3168" t="s">
        <v>3360</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f>ROUND(IF([2]项目基本情况!B8="出让",SUMPRODUCT(PRODUCT(1+K10:K16)),SUMPRODUCT(PRODUCT(1+K10:K15))),4)</f>
        <v>1.05</v>
      </c>
      <c r="S10" s="3175">
        <f>ROUND(IF([2]项目基本情况!B8="出让",SUMPRODUCT(PRODUCT(1+L10:L16)),SUMPRODUCT(PRODUCT(1+L10:L15))),4)</f>
        <v>1.0229999999999999</v>
      </c>
      <c r="T10" s="3175">
        <f>ROUND(IF([2]项目基本情况!B8="出让",SUMPRODUCT(PRODUCT(1+M10:M16)),SUMPRODUCT(PRODUCT(1+M10:M15))),4)</f>
        <v>1.0134000000000001</v>
      </c>
      <c r="U10" s="3175">
        <f>ROUND(IF([2]项目基本情况!B8="出让",SUMPRODUCT(PRODUCT(1+N10:N16)),SUMPRODUCT(PRODUCT(1+N10:N15))),4)</f>
        <v>1.0545</v>
      </c>
      <c r="V10" s="3175">
        <f>ROUND(IF([2]项目基本情况!B8="出让",SUMPRODUCT(PRODUCT(1+O10:O16)),SUMPRODUCT(PRODUCT(1+O10:O15))),4)</f>
        <v>1.0447</v>
      </c>
      <c r="W10" s="3175">
        <f t="shared" si="16"/>
        <v>1.0134000000000001</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3351</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f>ROUND(IF([2]项目基本情况!B8="出让",SUMPRODUCT(PRODUCT(1+K11:K16)),SUMPRODUCT(PRODUCT(1+K11:K15))),4)</f>
        <v>1.0430999999999999</v>
      </c>
      <c r="S11" s="3175">
        <f>ROUND(IF([2]项目基本情况!B8="出让",SUMPRODUCT(PRODUCT(1+L11:L16)),SUMPRODUCT(PRODUCT(1+L11:L15))),4)</f>
        <v>1.0197000000000001</v>
      </c>
      <c r="T11" s="3175">
        <f>ROUND(IF([2]项目基本情况!B8="出让",SUMPRODUCT(PRODUCT(1+M11:M16)),SUMPRODUCT(PRODUCT(1+M11:M15))),4)</f>
        <v>1.0109999999999999</v>
      </c>
      <c r="U11" s="3175">
        <f>ROUND(IF([2]项目基本情况!B8="出让",SUMPRODUCT(PRODUCT(1+N11:N16)),SUMPRODUCT(PRODUCT(1+N11:N15))),4)</f>
        <v>1.0468999999999999</v>
      </c>
      <c r="V11" s="3175">
        <f>ROUND(IF([2]项目基本情况!B8="出让",SUMPRODUCT(PRODUCT(1+O11:O16)),SUMPRODUCT(PRODUCT(1+O11:O15))),4)</f>
        <v>1.0382</v>
      </c>
      <c r="W11" s="3175">
        <f t="shared" si="16"/>
        <v>1.0109999999999999</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2815</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f>ROUND(IF([2]项目基本情况!B8="出让",SUMPRODUCT(PRODUCT(1+K12:K16)),SUMPRODUCT(PRODUCT(1+K12:K15))),4)</f>
        <v>1.0335000000000001</v>
      </c>
      <c r="S12" s="3175">
        <f>ROUND(IF([2]项目基本情况!B8="出让",SUMPRODUCT(PRODUCT(1+L12:L16)),SUMPRODUCT(PRODUCT(1+L12:L15))),4)</f>
        <v>1.0182</v>
      </c>
      <c r="T12" s="3175">
        <f>ROUND(IF([2]项目基本情况!B8="出让",SUMPRODUCT(PRODUCT(1+M12:M16)),SUMPRODUCT(PRODUCT(1+M12:M15))),4)</f>
        <v>1.0108999999999999</v>
      </c>
      <c r="U12" s="3175">
        <f>ROUND(IF([2]项目基本情况!B8="出让",SUMPRODUCT(PRODUCT(1+N12:N16)),SUMPRODUCT(PRODUCT(1+N12:N15))),4)</f>
        <v>1.0361</v>
      </c>
      <c r="V12" s="3175">
        <f>ROUND(IF([2]项目基本情况!B8="出让",SUMPRODUCT(PRODUCT(1+O12:O16)),SUMPRODUCT(PRODUCT(1+O12:O15))),4)</f>
        <v>1.0270999999999999</v>
      </c>
      <c r="W12" s="3175">
        <f t="shared" si="16"/>
        <v>1.0108999999999999</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2816</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f>ROUND(IF([2]项目基本情况!B8="出让",SUMPRODUCT(PRODUCT(1+K13:K16)),SUMPRODUCT(PRODUCT(1+K13:K15))),4)</f>
        <v>1.0244</v>
      </c>
      <c r="S13" s="3175">
        <f>ROUND(IF([2]项目基本情况!B8="出让",SUMPRODUCT(PRODUCT(1+L13:L16)),SUMPRODUCT(PRODUCT(1+L13:L15))),4)</f>
        <v>1.0138</v>
      </c>
      <c r="T13" s="3175">
        <f>ROUND(IF([2]项目基本情况!B8="出让",SUMPRODUCT(PRODUCT(1+M13:M16)),SUMPRODUCT(PRODUCT(1+M13:M15))),4)</f>
        <v>1.0072000000000001</v>
      </c>
      <c r="U13" s="3175">
        <f>ROUND(IF([2]项目基本情况!B8="出让",SUMPRODUCT(PRODUCT(1+N13:N16)),SUMPRODUCT(PRODUCT(1+N13:N15))),4)</f>
        <v>1.0262</v>
      </c>
      <c r="V13" s="3175">
        <f>ROUND(IF([2]项目基本情况!B8="出让",SUMPRODUCT(PRODUCT(1+O13:O16)),SUMPRODUCT(PRODUCT(1+O13:O15))),4)</f>
        <v>1.0205</v>
      </c>
      <c r="W13" s="3175">
        <f t="shared" si="16"/>
        <v>1.0072000000000001</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2817</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f>ROUND(IF([2]项目基本情况!B8="出让",SUMPRODUCT(PRODUCT(1+K14:K16)),SUMPRODUCT(PRODUCT(1+K14:K15))),4)</f>
        <v>1.0139</v>
      </c>
      <c r="S14" s="3175">
        <f>ROUND(IF([2]项目基本情况!B8="出让",SUMPRODUCT(PRODUCT(1+L14:L16)),SUMPRODUCT(PRODUCT(1+L14:L15))),4)</f>
        <v>1.0113000000000001</v>
      </c>
      <c r="T14" s="3175">
        <f>ROUND(IF([2]项目基本情况!B8="出让",SUMPRODUCT(PRODUCT(1+M14:M16)),SUMPRODUCT(PRODUCT(1+M14:M15))),4)</f>
        <v>1.0065</v>
      </c>
      <c r="U14" s="3175">
        <f>ROUND(IF([2]项目基本情况!B8="出让",SUMPRODUCT(PRODUCT(1+N14:N16)),SUMPRODUCT(PRODUCT(1+N14:N15))),4)</f>
        <v>1.0143</v>
      </c>
      <c r="V14" s="3175">
        <f>ROUND(IF([2]项目基本情况!B8="出让",SUMPRODUCT(PRODUCT(1+O14:O16)),SUMPRODUCT(PRODUCT(1+O14:O15))),4)</f>
        <v>1.0148999999999999</v>
      </c>
      <c r="W14" s="3175">
        <f t="shared" si="16"/>
        <v>1.0065</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2818</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f>ROUND(IF([2]项目基本情况!B8="出让",SUMPRODUCT(PRODUCT(1+K15:K16)),SUMPRODUCT(PRODUCT(1+K15:K15))),4)</f>
        <v>1.0092000000000001</v>
      </c>
      <c r="S15" s="3175">
        <f>ROUND(IF([2]项目基本情况!B8="出让",SUMPRODUCT(PRODUCT(1+L15:L16)),SUMPRODUCT(PRODUCT(1+L15:L15))),4)</f>
        <v>1.0072000000000001</v>
      </c>
      <c r="T15" s="3175">
        <f>ROUND(IF([2]项目基本情况!B8="出让",SUMPRODUCT(PRODUCT(1+M15:M16)),SUMPRODUCT(PRODUCT(1+M15:M15))),4)</f>
        <v>1.0041</v>
      </c>
      <c r="U15" s="3175">
        <f>ROUND(IF([2]项目基本情况!B8="出让",SUMPRODUCT(PRODUCT(1+N15:N16)),SUMPRODUCT(PRODUCT(1+N15:N15))),4)</f>
        <v>1.0095000000000001</v>
      </c>
      <c r="V15" s="3175">
        <f>ROUND(IF([2]项目基本情况!B8="出让",SUMPRODUCT(PRODUCT(1+O15:O16)),SUMPRODUCT(PRODUCT(1+O15:O15))),4)</f>
        <v>1.0101</v>
      </c>
      <c r="W15" s="3175">
        <f t="shared" si="16"/>
        <v>1.0041</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thickBot="1">
      <c r="A16" s="3189" t="s">
        <v>2819</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4.25" thickTop="1"/>
    <row r="18" spans="1:30" s="3001" customFormat="1">
      <c r="A18" s="3440" t="s">
        <v>3362</v>
      </c>
    </row>
    <row r="19" spans="1:30" s="3001" customFormat="1">
      <c r="I19" s="3200" t="s">
        <v>2820</v>
      </c>
    </row>
    <row r="20" spans="1:30" s="3001" customFormat="1"/>
    <row r="21" spans="1:30" s="3201" customFormat="1" ht="12.75">
      <c r="B21" s="3202" t="s">
        <v>2821</v>
      </c>
      <c r="C21" s="3203"/>
      <c r="D21" s="3203"/>
      <c r="E21" s="3203"/>
      <c r="F21" s="3203"/>
      <c r="G21" s="3203"/>
      <c r="H21" s="3203"/>
      <c r="I21" s="3203"/>
      <c r="J21" s="3157"/>
      <c r="K21" s="3203" t="s">
        <v>2822</v>
      </c>
      <c r="L21" s="3203"/>
      <c r="M21" s="3203"/>
      <c r="N21" s="3203"/>
      <c r="O21" s="3203"/>
      <c r="P21" s="3203"/>
      <c r="Q21" s="3157"/>
      <c r="R21" s="3796" t="s">
        <v>2823</v>
      </c>
      <c r="S21" s="3797"/>
      <c r="T21" s="3797"/>
      <c r="U21" s="3797"/>
      <c r="V21" s="3797"/>
      <c r="W21" s="3797"/>
      <c r="X21" s="3157"/>
      <c r="Y21" s="3796" t="s">
        <v>2824</v>
      </c>
      <c r="Z21" s="3797"/>
      <c r="AA21" s="3797"/>
      <c r="AB21" s="3797"/>
      <c r="AC21" s="3797"/>
      <c r="AD21" s="3797"/>
    </row>
    <row r="22" spans="1:30" s="3135" customFormat="1" ht="14.25" thickBot="1">
      <c r="B22" s="3136"/>
      <c r="C22" s="3137"/>
      <c r="D22" s="3138" t="s">
        <v>2825</v>
      </c>
      <c r="E22" s="3139" t="s">
        <v>2826</v>
      </c>
      <c r="F22" s="3139" t="s">
        <v>2827</v>
      </c>
      <c r="G22" s="3139" t="s">
        <v>2828</v>
      </c>
      <c r="H22" s="3139"/>
      <c r="I22" s="3139" t="s">
        <v>2829</v>
      </c>
      <c r="J22" s="3140"/>
      <c r="K22" s="3138" t="s">
        <v>2825</v>
      </c>
      <c r="L22" s="3139" t="s">
        <v>2826</v>
      </c>
      <c r="M22" s="3139" t="s">
        <v>2827</v>
      </c>
      <c r="N22" s="3139" t="s">
        <v>2828</v>
      </c>
      <c r="O22" s="3139"/>
      <c r="P22" s="3139" t="s">
        <v>2829</v>
      </c>
      <c r="Q22" s="3140"/>
      <c r="R22" s="3138" t="s">
        <v>2825</v>
      </c>
      <c r="S22" s="3139" t="s">
        <v>2826</v>
      </c>
      <c r="T22" s="3139" t="s">
        <v>2827</v>
      </c>
      <c r="U22" s="3139" t="s">
        <v>2828</v>
      </c>
      <c r="V22" s="3139"/>
      <c r="W22" s="3139" t="s">
        <v>2829</v>
      </c>
      <c r="X22" s="3140"/>
      <c r="Y22" s="3138" t="s">
        <v>2825</v>
      </c>
      <c r="Z22" s="3139" t="s">
        <v>2826</v>
      </c>
      <c r="AA22" s="3139" t="s">
        <v>2827</v>
      </c>
      <c r="AB22" s="3139" t="s">
        <v>2828</v>
      </c>
      <c r="AC22" s="3139"/>
      <c r="AD22" s="3139" t="s">
        <v>2829</v>
      </c>
    </row>
    <row r="23" spans="1:30" s="3153" customFormat="1" ht="12.75">
      <c r="A23" s="3141" t="s">
        <v>2830</v>
      </c>
      <c r="B23" s="3142"/>
      <c r="C23" s="3143"/>
      <c r="D23" s="3143"/>
      <c r="E23" s="3143">
        <f t="shared" ref="E23:G23" si="22">ROUND(AVERAGEIF(E24:E36,"&lt;&gt;0"),2)</f>
        <v>0.42</v>
      </c>
      <c r="F23" s="3143">
        <f t="shared" si="22"/>
        <v>0.32</v>
      </c>
      <c r="G23" s="3143">
        <f t="shared" si="22"/>
        <v>0.75</v>
      </c>
      <c r="H23" s="3143"/>
      <c r="I23" s="3143">
        <f>F23</f>
        <v>0.32</v>
      </c>
      <c r="J23" s="3144"/>
      <c r="K23" s="3145"/>
      <c r="L23" s="3146">
        <f t="shared" ref="L23:N23" si="23">ROUND(AVERAGEIF(L24:L36,"&lt;&gt;0"),4)</f>
        <v>4.1999999999999997E-3</v>
      </c>
      <c r="M23" s="3146">
        <f t="shared" si="23"/>
        <v>3.2000000000000002E-3</v>
      </c>
      <c r="N23" s="3146">
        <f t="shared" si="23"/>
        <v>7.4999999999999997E-3</v>
      </c>
      <c r="O23" s="3146"/>
      <c r="P23" s="3146">
        <f>M23</f>
        <v>3.2000000000000002E-3</v>
      </c>
      <c r="Q23" s="3144"/>
      <c r="R23" s="3147"/>
      <c r="S23" s="3148">
        <f>ROUND(SUMPRODUCT(PRODUCT(1+L24:L36)),4)</f>
        <v>1.0431999999999999</v>
      </c>
      <c r="T23" s="3148">
        <f t="shared" ref="T23:U23" si="24">ROUND(SUMPRODUCT(PRODUCT(1+M24:M36)),4)</f>
        <v>1.0319</v>
      </c>
      <c r="U23" s="3148">
        <f t="shared" si="24"/>
        <v>1.0771999999999999</v>
      </c>
      <c r="V23" s="3148"/>
      <c r="W23" s="3147">
        <f>T23</f>
        <v>1.0319</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3364</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f>ROUND(IF([2]项目基本情况!$B$8="出让",SUMPRODUCT(PRODUCT(1+L25:L$36)),SUMPRODUCT(PRODUCT(1+L25:L$35))),4)</f>
        <v>1.0396000000000001</v>
      </c>
      <c r="T25" s="3175">
        <f>ROUND(IF([2]项目基本情况!$B$8="出让",SUMPRODUCT(PRODUCT(1+M25:M$36)),SUMPRODUCT(PRODUCT(1+M25:M$35))),4)</f>
        <v>1.0269999999999999</v>
      </c>
      <c r="U25" s="3175">
        <f>ROUND(IF([2]项目基本情况!$B$8="出让",SUMPRODUCT(PRODUCT(1+N25:N$36)),SUMPRODUCT(PRODUCT(1+N25:N$35))),4)</f>
        <v>1.0668</v>
      </c>
      <c r="V25" s="3175"/>
      <c r="W25" s="3175">
        <f>T25</f>
        <v>1.0269999999999999</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3365</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f>ROUND(IF([2]项目基本情况!$B$8="出让",SUMPRODUCT(PRODUCT(1+L26:L$36)),SUMPRODUCT(PRODUCT(1+L26:L$35))),4)</f>
        <v>1.0396000000000001</v>
      </c>
      <c r="T26" s="3175">
        <f>ROUND(IF([2]项目基本情况!$B$8="出让",SUMPRODUCT(PRODUCT(1+M26:M$36)),SUMPRODUCT(PRODUCT(1+M26:M$35))),4)</f>
        <v>1.0269999999999999</v>
      </c>
      <c r="U26" s="3175">
        <f>ROUND(IF([2]项目基本情况!$B$8="出让",SUMPRODUCT(PRODUCT(1+N26:N$36)),SUMPRODUCT(PRODUCT(1+N26:N$35))),4)</f>
        <v>1.0668</v>
      </c>
      <c r="V26" s="3175"/>
      <c r="W26" s="3175">
        <f t="shared" ref="W26:W28" si="32">T26</f>
        <v>1.0269999999999999</v>
      </c>
      <c r="X26" s="3173"/>
      <c r="Y26" s="3176"/>
      <c r="Z26" s="3204"/>
      <c r="AA26" s="3441"/>
      <c r="AB26" s="3441"/>
      <c r="AC26" s="3205"/>
      <c r="AD26" s="3176"/>
    </row>
    <row r="27" spans="1:30" s="3187" customFormat="1" ht="12.75">
      <c r="A27" s="3178" t="s">
        <v>3367</v>
      </c>
      <c r="B27" s="3179">
        <v>2023</v>
      </c>
      <c r="C27" s="3180">
        <v>2</v>
      </c>
      <c r="D27" s="3181"/>
      <c r="E27" s="3181">
        <v>0.5</v>
      </c>
      <c r="F27" s="3181">
        <v>0.45</v>
      </c>
      <c r="G27" s="3181">
        <v>0.89</v>
      </c>
      <c r="H27" s="3182"/>
      <c r="I27" s="3183">
        <f t="shared" si="26"/>
        <v>0.45</v>
      </c>
      <c r="J27" s="3184"/>
      <c r="K27" s="3185"/>
      <c r="L27" s="3186">
        <f t="shared" si="28"/>
        <v>5.0000000000000001E-3</v>
      </c>
      <c r="M27" s="3186">
        <f t="shared" si="29"/>
        <v>4.5000000000000005E-3</v>
      </c>
      <c r="N27" s="3186">
        <f t="shared" si="30"/>
        <v>8.8999999999999999E-3</v>
      </c>
      <c r="O27" s="3186"/>
      <c r="P27" s="3186">
        <f t="shared" si="31"/>
        <v>4.5000000000000005E-3</v>
      </c>
      <c r="Q27" s="3184"/>
      <c r="R27" s="3184"/>
      <c r="S27" s="3184">
        <f>ROUND(IF([2]项目基本情况!$B$8="出让",SUMPRODUCT(PRODUCT(1+L27:L$36)),SUMPRODUCT(PRODUCT(1+L27:L$35))),4)</f>
        <v>1.0396000000000001</v>
      </c>
      <c r="T27" s="3184">
        <f>ROUND(IF([2]项目基本情况!$B$8="出让",SUMPRODUCT(PRODUCT(1+M27:M$36)),SUMPRODUCT(PRODUCT(1+M27:M$35))),4)</f>
        <v>1.0269999999999999</v>
      </c>
      <c r="U27" s="3184">
        <f>ROUND(IF([2]项目基本情况!$B$8="出让",SUMPRODUCT(PRODUCT(1+N27:N$36)),SUMPRODUCT(PRODUCT(1+N27:N$35))),4)</f>
        <v>1.0668</v>
      </c>
      <c r="V27" s="3184"/>
      <c r="W27" s="3184">
        <f t="shared" si="32"/>
        <v>1.0269999999999999</v>
      </c>
      <c r="X27" s="3184"/>
      <c r="Y27" s="3186"/>
      <c r="Z27" s="3207"/>
      <c r="AA27" s="3208"/>
      <c r="AB27" s="3186"/>
      <c r="AC27" s="3209"/>
      <c r="AD27" s="3186"/>
    </row>
    <row r="28" spans="1:30" s="3177" customFormat="1" ht="12.75">
      <c r="A28" s="3168" t="s">
        <v>3368</v>
      </c>
      <c r="B28" s="3169">
        <v>2023</v>
      </c>
      <c r="C28" s="3170">
        <v>1</v>
      </c>
      <c r="D28" s="3171"/>
      <c r="E28" s="3171">
        <v>0.55000000000000004</v>
      </c>
      <c r="F28" s="3171">
        <v>0.59</v>
      </c>
      <c r="G28" s="3171">
        <v>0.64</v>
      </c>
      <c r="H28" s="3188"/>
      <c r="I28" s="3172">
        <f t="shared" si="26"/>
        <v>0.59</v>
      </c>
      <c r="J28" s="3173"/>
      <c r="K28" s="3174"/>
      <c r="L28" s="3164">
        <f t="shared" si="28"/>
        <v>5.5000000000000005E-3</v>
      </c>
      <c r="M28" s="3164">
        <f t="shared" si="29"/>
        <v>5.8999999999999999E-3</v>
      </c>
      <c r="N28" s="3164">
        <f t="shared" si="30"/>
        <v>6.4000000000000003E-3</v>
      </c>
      <c r="O28" s="3164"/>
      <c r="P28" s="3164">
        <f t="shared" si="31"/>
        <v>5.8999999999999999E-3</v>
      </c>
      <c r="Q28" s="3173"/>
      <c r="R28" s="3175"/>
      <c r="S28" s="3175">
        <f>ROUND(IF([2]项目基本情况!$B$8="出让",SUMPRODUCT(PRODUCT(1+L28:L$36)),SUMPRODUCT(PRODUCT(1+L28:L$35))),4)</f>
        <v>1.0344</v>
      </c>
      <c r="T28" s="3175">
        <f>ROUND(IF([2]项目基本情况!$B$8="出让",SUMPRODUCT(PRODUCT(1+M28:M$36)),SUMPRODUCT(PRODUCT(1+M28:M$35))),4)</f>
        <v>1.0224</v>
      </c>
      <c r="U28" s="3175">
        <f>ROUND(IF([2]项目基本情况!$B$8="出让",SUMPRODUCT(PRODUCT(1+N28:N$36)),SUMPRODUCT(PRODUCT(1+N28:N$35))),4)</f>
        <v>1.0573999999999999</v>
      </c>
      <c r="V28" s="3175"/>
      <c r="W28" s="3175">
        <f t="shared" si="32"/>
        <v>1.0224</v>
      </c>
      <c r="X28" s="3173"/>
      <c r="Y28" s="3176"/>
      <c r="Z28" s="3204"/>
      <c r="AA28" s="3206"/>
      <c r="AB28" s="3176"/>
      <c r="AC28" s="3205"/>
      <c r="AD28" s="3176"/>
    </row>
    <row r="29" spans="1:30" s="3177" customFormat="1" ht="12.75">
      <c r="A29" s="3168" t="s">
        <v>3366</v>
      </c>
      <c r="B29" s="3169">
        <v>2022</v>
      </c>
      <c r="C29" s="3170">
        <v>4</v>
      </c>
      <c r="D29" s="3171"/>
      <c r="E29" s="3171">
        <v>0.45</v>
      </c>
      <c r="F29" s="3171">
        <v>0.2</v>
      </c>
      <c r="G29" s="3171">
        <v>0.38</v>
      </c>
      <c r="H29" s="3188"/>
      <c r="I29" s="3172">
        <f t="shared" si="26"/>
        <v>0.2</v>
      </c>
      <c r="J29" s="3173"/>
      <c r="K29" s="3174"/>
      <c r="L29" s="3164">
        <f t="shared" si="27"/>
        <v>4.5000000000000005E-3</v>
      </c>
      <c r="M29" s="3164">
        <f t="shared" si="27"/>
        <v>2E-3</v>
      </c>
      <c r="N29" s="3164">
        <f t="shared" si="27"/>
        <v>3.8E-3</v>
      </c>
      <c r="O29" s="3164"/>
      <c r="P29" s="3164">
        <f t="shared" ref="P29:P36" si="33">M29</f>
        <v>2E-3</v>
      </c>
      <c r="Q29" s="3173"/>
      <c r="R29" s="3175"/>
      <c r="S29" s="3175">
        <f>ROUND(IF([2]项目基本情况!$B$8="出让",SUMPRODUCT(PRODUCT(1+L29:L$36)),SUMPRODUCT(PRODUCT(1+L29:L$35))),4)</f>
        <v>1.0286999999999999</v>
      </c>
      <c r="T29" s="3175">
        <f>ROUND(IF([2]项目基本情况!$B$8="出让",SUMPRODUCT(PRODUCT(1+M29:M$36)),SUMPRODUCT(PRODUCT(1+M29:M$35))),4)</f>
        <v>1.0164</v>
      </c>
      <c r="U29" s="3175">
        <f>ROUND(IF([2]项目基本情况!$B$8="出让",SUMPRODUCT(PRODUCT(1+N29:N$36)),SUMPRODUCT(PRODUCT(1+N29:N$35))),4)</f>
        <v>1.0506</v>
      </c>
      <c r="V29" s="3175"/>
      <c r="W29" s="3175">
        <f t="shared" ref="W29:W36" si="34">T29</f>
        <v>1.0164</v>
      </c>
      <c r="X29" s="3173"/>
      <c r="Y29" s="3176"/>
      <c r="Z29" s="3204">
        <f t="shared" ref="Z29:AD36" si="35">IF(E29=0,0,ROUND(AVERAGE(E29:E37)/100,4))</f>
        <v>4.0000000000000001E-3</v>
      </c>
      <c r="AA29" s="3206">
        <f t="shared" si="35"/>
        <v>2.5999999999999999E-3</v>
      </c>
      <c r="AB29" s="3176">
        <f t="shared" si="35"/>
        <v>7.4000000000000003E-3</v>
      </c>
      <c r="AC29" s="3205"/>
      <c r="AD29" s="3176">
        <f t="shared" si="35"/>
        <v>2.5999999999999999E-3</v>
      </c>
    </row>
    <row r="30" spans="1:30" s="3177" customFormat="1" ht="12.75">
      <c r="A30" s="3168" t="s">
        <v>3361</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f>ROUND(IF([2]项目基本情况!$B$8="出让",SUMPRODUCT(PRODUCT(1+L30:L$36)),SUMPRODUCT(PRODUCT(1+L30:L$35))),4)</f>
        <v>1.0241</v>
      </c>
      <c r="T30" s="3175">
        <f>ROUND(IF([2]项目基本情况!$B$8="出让",SUMPRODUCT(PRODUCT(1+M30:M$36)),SUMPRODUCT(PRODUCT(1+M30:M$35))),4)</f>
        <v>1.0144</v>
      </c>
      <c r="U30" s="3175">
        <f>ROUND(IF([2]项目基本情况!$B$8="出让",SUMPRODUCT(PRODUCT(1+N30:N$36)),SUMPRODUCT(PRODUCT(1+N30:N$35))),4)</f>
        <v>1.0467</v>
      </c>
      <c r="V30" s="3175"/>
      <c r="W30" s="3175">
        <f t="shared" si="34"/>
        <v>1.0144</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3351</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f>ROUND(IF([2]项目基本情况!$B$8="出让",SUMPRODUCT(PRODUCT(1+L31:L$36)),SUMPRODUCT(PRODUCT(1+L31:L$35))),4)</f>
        <v>1.0210999999999999</v>
      </c>
      <c r="T31" s="3175">
        <f>ROUND(IF([2]项目基本情况!$B$8="出让",SUMPRODUCT(PRODUCT(1+M31:M$36)),SUMPRODUCT(PRODUCT(1+M31:M$35))),4)</f>
        <v>1.0114000000000001</v>
      </c>
      <c r="U31" s="3175">
        <f>ROUND(IF([2]项目基本情况!$B$8="出让",SUMPRODUCT(PRODUCT(1+N31:N$36)),SUMPRODUCT(PRODUCT(1+N31:N$35))),4)</f>
        <v>1.0381</v>
      </c>
      <c r="V31" s="3175"/>
      <c r="W31" s="3175">
        <f t="shared" si="34"/>
        <v>1.0114000000000001</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2831</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f>ROUND(IF([2]项目基本情况!$B$8="出让",SUMPRODUCT(PRODUCT(1+L32:L$36)),SUMPRODUCT(PRODUCT(1+L32:L$35))),4)</f>
        <v>1.0222</v>
      </c>
      <c r="T32" s="3175">
        <f>ROUND(IF([2]项目基本情况!$B$8="出让",SUMPRODUCT(PRODUCT(1+M32:M$36)),SUMPRODUCT(PRODUCT(1+M32:M$35))),4)</f>
        <v>1.0127999999999999</v>
      </c>
      <c r="U32" s="3175">
        <f>ROUND(IF([2]项目基本情况!$B$8="出让",SUMPRODUCT(PRODUCT(1+N32:N$36)),SUMPRODUCT(PRODUCT(1+N32:N$35))),4)</f>
        <v>1.0326</v>
      </c>
      <c r="V32" s="3175"/>
      <c r="W32" s="3175">
        <f t="shared" si="34"/>
        <v>1.0127999999999999</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2832</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f>ROUND(IF([2]项目基本情况!$B$8="出让",SUMPRODUCT(PRODUCT(1+L33:L$36)),SUMPRODUCT(PRODUCT(1+L33:L$35))),4)</f>
        <v>1.0161</v>
      </c>
      <c r="T33" s="3175">
        <f>ROUND(IF([2]项目基本情况!$B$8="出让",SUMPRODUCT(PRODUCT(1+M33:M$36)),SUMPRODUCT(PRODUCT(1+M33:M$35))),4)</f>
        <v>1.0082</v>
      </c>
      <c r="U33" s="3175">
        <f>ROUND(IF([2]项目基本情况!$B$8="出让",SUMPRODUCT(PRODUCT(1+N33:N$36)),SUMPRODUCT(PRODUCT(1+N33:N$35))),4)</f>
        <v>1.0270999999999999</v>
      </c>
      <c r="V33" s="3175"/>
      <c r="W33" s="3175">
        <f t="shared" si="34"/>
        <v>1.0082</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2833</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f>ROUND(IF([2]项目基本情况!$B$8="出让",SUMPRODUCT(PRODUCT(1+L34:L$36)),SUMPRODUCT(PRODUCT(1+L34:L$35))),4)</f>
        <v>1.0102</v>
      </c>
      <c r="T34" s="3175">
        <f>ROUND(IF([2]项目基本情况!$B$8="出让",SUMPRODUCT(PRODUCT(1+M34:M$36)),SUMPRODUCT(PRODUCT(1+M34:M$35))),4)</f>
        <v>1.0074000000000001</v>
      </c>
      <c r="U34" s="3175">
        <f>ROUND(IF([2]项目基本情况!$B$8="出让",SUMPRODUCT(PRODUCT(1+N34:N$36)),SUMPRODUCT(PRODUCT(1+N34:N$35))),4)</f>
        <v>1.0202</v>
      </c>
      <c r="V34" s="3175"/>
      <c r="W34" s="3175">
        <f t="shared" si="34"/>
        <v>1.0074000000000001</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2834</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f>ROUND(IF([2]项目基本情况!$B$8="出让",SUMPRODUCT(PRODUCT(1+L35:L$36)),SUMPRODUCT(PRODUCT(1+L35:L$35))),4)</f>
        <v>1.0055000000000001</v>
      </c>
      <c r="T35" s="3175">
        <f>ROUND(IF([2]项目基本情况!$B$8="出让",SUMPRODUCT(PRODUCT(1+M35:M$36)),SUMPRODUCT(PRODUCT(1+M35:M$35))),4)</f>
        <v>1.0045999999999999</v>
      </c>
      <c r="U35" s="3175">
        <f>ROUND(IF([2]项目基本情况!$B$8="出让",SUMPRODUCT(PRODUCT(1+N35:N$36)),SUMPRODUCT(PRODUCT(1+N35:N$35))),4)</f>
        <v>1.0109999999999999</v>
      </c>
      <c r="V35" s="3175"/>
      <c r="W35" s="3175">
        <f t="shared" si="34"/>
        <v>1.0045999999999999</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thickBot="1">
      <c r="A36" s="3189" t="s">
        <v>2819</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4.25" thickTop="1"/>
    <row r="38" spans="1:30">
      <c r="A38" s="3440"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3359</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8">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3356</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8">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3357</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8">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3358</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8">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2431</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7">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2308</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2">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2307</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1">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2306</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5">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2303</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4">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2302</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1">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0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9">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0">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9">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0">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3">
        <v>45159</v>
      </c>
      <c r="D13" s="2814">
        <v>3.45</v>
      </c>
      <c r="E13" s="2814">
        <f>D13</f>
        <v>3.45</v>
      </c>
      <c r="F13" s="2814">
        <f>D13</f>
        <v>3.45</v>
      </c>
      <c r="G13" s="2814">
        <f>D13</f>
        <v>3.45</v>
      </c>
      <c r="H13" s="2814">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08"/>
      <c r="C14" s="2810">
        <v>45097</v>
      </c>
      <c r="D14" s="2809">
        <v>3.55</v>
      </c>
      <c r="E14" s="2809">
        <f>D14</f>
        <v>3.55</v>
      </c>
      <c r="F14" s="2809">
        <f>D14</f>
        <v>3.55</v>
      </c>
      <c r="G14" s="2809">
        <f>D14</f>
        <v>3.55</v>
      </c>
      <c r="H14" s="2809">
        <v>4.2</v>
      </c>
      <c r="I14" s="2814"/>
      <c r="J14" s="2814"/>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08"/>
      <c r="C15" s="2810">
        <v>44795</v>
      </c>
      <c r="D15" s="2809">
        <v>3.65</v>
      </c>
      <c r="E15" s="2809">
        <v>3.65</v>
      </c>
      <c r="F15" s="2809">
        <v>3.65</v>
      </c>
      <c r="G15" s="2809">
        <v>3.65</v>
      </c>
      <c r="H15" s="2809">
        <v>4.3</v>
      </c>
      <c r="I15" s="2814"/>
      <c r="J15" s="2814"/>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08"/>
      <c r="C16" s="2810">
        <v>44701</v>
      </c>
      <c r="D16" s="2809">
        <v>3.7</v>
      </c>
      <c r="E16" s="2809">
        <f>D16</f>
        <v>3.7</v>
      </c>
      <c r="F16" s="2809">
        <f>D16</f>
        <v>3.7</v>
      </c>
      <c r="G16" s="2809">
        <f>D16</f>
        <v>3.7</v>
      </c>
      <c r="H16" s="2809">
        <v>4.45</v>
      </c>
      <c r="I16" s="2814"/>
      <c r="J16" s="2814"/>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08"/>
      <c r="C17" s="2810">
        <v>44581</v>
      </c>
      <c r="D17" s="2809">
        <v>3.7</v>
      </c>
      <c r="E17" s="2809">
        <f>D17</f>
        <v>3.7</v>
      </c>
      <c r="F17" s="2809">
        <f>D17</f>
        <v>3.7</v>
      </c>
      <c r="G17" s="2809">
        <f>D17</f>
        <v>3.7</v>
      </c>
      <c r="H17" s="2809">
        <v>4.5999999999999996</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3"/>
      <c r="B19" s="2809"/>
      <c r="C19" s="2810">
        <v>43941</v>
      </c>
      <c r="D19" s="2809">
        <v>3.85</v>
      </c>
      <c r="E19" s="2809">
        <v>3.85</v>
      </c>
      <c r="F19" s="2809">
        <v>3.85</v>
      </c>
      <c r="G19" s="2809">
        <v>3.85</v>
      </c>
      <c r="H19" s="2809">
        <v>4.6500000000000004</v>
      </c>
      <c r="I19" s="2809"/>
      <c r="J19" s="280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09"/>
      <c r="C20" s="2810">
        <v>43881</v>
      </c>
      <c r="D20" s="2809">
        <v>4.05</v>
      </c>
      <c r="E20" s="2809">
        <v>4.05</v>
      </c>
      <c r="F20" s="2809">
        <v>4.05</v>
      </c>
      <c r="G20" s="2809">
        <v>4.05</v>
      </c>
      <c r="H20" s="2809">
        <v>4.75</v>
      </c>
      <c r="I20" s="2809"/>
      <c r="J20" s="280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09"/>
      <c r="C21" s="2810">
        <v>43789</v>
      </c>
      <c r="D21" s="2809">
        <v>4.1500000000000004</v>
      </c>
      <c r="E21" s="2809">
        <v>4.1500000000000004</v>
      </c>
      <c r="F21" s="2809">
        <v>4.1500000000000004</v>
      </c>
      <c r="G21" s="2809">
        <v>4.1500000000000004</v>
      </c>
      <c r="H21" s="2809">
        <v>4.8</v>
      </c>
      <c r="I21" s="2809"/>
      <c r="J21" s="280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09"/>
      <c r="C22" s="2810">
        <v>43728</v>
      </c>
      <c r="D22" s="2809">
        <v>4.2</v>
      </c>
      <c r="E22" s="2809">
        <v>4.2</v>
      </c>
      <c r="F22" s="2809">
        <v>4.2</v>
      </c>
      <c r="G22" s="2809">
        <v>4.2</v>
      </c>
      <c r="H22" s="2809">
        <v>4.8499999999999996</v>
      </c>
      <c r="I22" s="2809"/>
      <c r="J22" s="280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5"/>
      <c r="B23" s="2808" t="s">
        <v>2304</v>
      </c>
      <c r="C23" s="2811">
        <v>43697</v>
      </c>
      <c r="D23" s="2812">
        <v>4.25</v>
      </c>
      <c r="E23" s="2812">
        <v>4.25</v>
      </c>
      <c r="F23" s="2812">
        <v>4.25</v>
      </c>
      <c r="G23" s="2812">
        <v>4.25</v>
      </c>
      <c r="H23" s="2812">
        <v>4.8499999999999996</v>
      </c>
      <c r="I23" s="2812"/>
      <c r="J23" s="281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16"/>
      <c r="C24" s="2817">
        <v>42301</v>
      </c>
      <c r="D24" s="2818">
        <v>4.3499999999999996</v>
      </c>
      <c r="E24" s="2818">
        <v>4.3499999999999996</v>
      </c>
      <c r="F24" s="2818">
        <v>4.75</v>
      </c>
      <c r="G24" s="2818">
        <v>4.75</v>
      </c>
      <c r="H24" s="2818">
        <v>4.9000000000000004</v>
      </c>
      <c r="I24" s="2818"/>
      <c r="J24" s="2818"/>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7" t="str">
        <f>IF(项目基本情况!B9="房地产市场价值","估价结果一览表","结果表-2")</f>
        <v>估价结果一览表</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房地产市场价值</v>
      </c>
      <c r="I2" s="3488"/>
    </row>
    <row r="3" spans="1:9" ht="15">
      <c r="A3" s="3483"/>
      <c r="B3" s="3483"/>
      <c r="C3" s="3483"/>
      <c r="D3" s="854" t="s">
        <v>925</v>
      </c>
      <c r="E3" s="854" t="s">
        <v>931</v>
      </c>
      <c r="F3" s="854" t="s">
        <v>925</v>
      </c>
      <c r="G3" s="854" t="s">
        <v>926</v>
      </c>
      <c r="H3" s="854" t="s">
        <v>925</v>
      </c>
      <c r="I3" s="854" t="s">
        <v>926</v>
      </c>
    </row>
    <row r="4" spans="1:9" ht="15">
      <c r="A4" s="1504" t="str">
        <f>项目基本情况!S2</f>
        <v>北京市房地产</v>
      </c>
      <c r="B4" s="854">
        <f>项目基本情况!C17</f>
        <v>75416.17</v>
      </c>
      <c r="C4" s="854">
        <f>项目基本情况!C18</f>
        <v>15955.89</v>
      </c>
      <c r="D4" s="854">
        <f ca="1">结果表!D118</f>
        <v>103418</v>
      </c>
      <c r="E4" s="854">
        <f ca="1">结果表!E118</f>
        <v>13713</v>
      </c>
      <c r="F4" s="854">
        <f ca="1">结果表!F118</f>
        <v>51632</v>
      </c>
      <c r="G4" s="854">
        <f ca="1">结果表!G118</f>
        <v>6846</v>
      </c>
      <c r="H4" s="854">
        <f ca="1">结果表!H118</f>
        <v>155050</v>
      </c>
      <c r="I4" s="854">
        <f ca="1">结果表!I118</f>
        <v>20559</v>
      </c>
    </row>
    <row r="5" spans="1:9" ht="30" customHeight="1">
      <c r="A5" s="3483" t="s">
        <v>927</v>
      </c>
      <c r="B5" s="3483"/>
      <c r="C5" s="3483"/>
      <c r="D5" s="3483" t="str">
        <f ca="1">结果表!D119</f>
        <v>壹拾亿叁仟肆佰壹拾捌万元整</v>
      </c>
      <c r="E5" s="3483"/>
      <c r="F5" s="3483" t="str">
        <f ca="1">结果表!F119</f>
        <v>伍亿壹仟陆佰叁拾贰万元整</v>
      </c>
      <c r="G5" s="3483"/>
      <c r="H5" s="3483" t="str">
        <f ca="1">结果表!H119</f>
        <v>壹拾伍亿伍仟零伍拾万元整</v>
      </c>
      <c r="I5" s="3483"/>
    </row>
    <row r="6" spans="1:9" ht="15.75">
      <c r="A6" s="3482" t="str">
        <f>结果表!A120</f>
        <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
      </c>
      <c r="B8" s="3482"/>
      <c r="C8" s="3482"/>
      <c r="D8" s="3482">
        <f ca="1">结果表!D122</f>
        <v>155050</v>
      </c>
      <c r="E8" s="3482"/>
      <c r="F8" s="3482"/>
      <c r="G8" s="3482"/>
      <c r="H8" s="3482"/>
      <c r="I8" s="3482"/>
    </row>
    <row r="9" spans="1:9" ht="15">
      <c r="A9" s="3483" t="s">
        <v>927</v>
      </c>
      <c r="B9" s="3483"/>
      <c r="C9" s="3483"/>
      <c r="D9" s="3483" t="str">
        <f ca="1">结果表!D123</f>
        <v>壹拾伍亿伍仟零伍拾万元整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M25" sqref="M25"/>
    </sheetView>
  </sheetViews>
  <sheetFormatPr defaultRowHeight="13.5"/>
  <cols>
    <col min="2" max="2" width="15" customWidth="1"/>
  </cols>
  <sheetData>
    <row r="1" spans="1:2">
      <c r="A1" s="3449" t="s">
        <v>3410</v>
      </c>
    </row>
    <row r="2" spans="1:2">
      <c r="A2" s="3449" t="s">
        <v>3411</v>
      </c>
      <c r="B2" s="3449" t="s">
        <v>3412</v>
      </c>
    </row>
    <row r="3" spans="1:2">
      <c r="B3" s="3449" t="s">
        <v>3413</v>
      </c>
    </row>
    <row r="4" spans="1:2">
      <c r="B4" s="3449" t="s">
        <v>3414</v>
      </c>
    </row>
    <row r="5" spans="1:2">
      <c r="A5" s="3449" t="s">
        <v>3415</v>
      </c>
      <c r="B5">
        <v>97843.941999999995</v>
      </c>
    </row>
    <row r="6" spans="1:2">
      <c r="A6" s="3449" t="s">
        <v>3416</v>
      </c>
      <c r="B6" s="3449" t="s">
        <v>3417</v>
      </c>
    </row>
    <row r="7" spans="1:2">
      <c r="B7" s="3449" t="s">
        <v>3418</v>
      </c>
    </row>
    <row r="8" spans="1:2">
      <c r="B8" s="3449" t="s">
        <v>3419</v>
      </c>
    </row>
    <row r="9" spans="1:2">
      <c r="B9" s="3449" t="s">
        <v>3420</v>
      </c>
    </row>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18"/>
  <sheetViews>
    <sheetView topLeftCell="A49" workbookViewId="0">
      <selection activeCell="U71" sqref="U71"/>
    </sheetView>
  </sheetViews>
  <sheetFormatPr defaultRowHeight="13.5"/>
  <sheetData>
    <row r="2" spans="9:11">
      <c r="I2">
        <v>4200</v>
      </c>
      <c r="J2">
        <v>57</v>
      </c>
      <c r="K2">
        <f>ROUND(I2/J2/30,1)</f>
        <v>2.5</v>
      </c>
    </row>
    <row r="3" spans="9:11">
      <c r="I3">
        <v>4690</v>
      </c>
      <c r="J3">
        <v>61.7</v>
      </c>
      <c r="K3">
        <f t="shared" ref="K3:K18" si="0">ROUND(I3/J3/30,1)</f>
        <v>2.5</v>
      </c>
    </row>
    <row r="4" spans="9:11">
      <c r="I4">
        <v>3100</v>
      </c>
      <c r="J4">
        <v>60</v>
      </c>
      <c r="K4">
        <f t="shared" si="0"/>
        <v>1.7</v>
      </c>
    </row>
    <row r="5" spans="9:11">
      <c r="I5">
        <v>4890</v>
      </c>
      <c r="J5">
        <v>99.6</v>
      </c>
      <c r="K5">
        <f t="shared" si="0"/>
        <v>1.6</v>
      </c>
    </row>
    <row r="6" spans="9:11">
      <c r="I6">
        <v>3600</v>
      </c>
      <c r="J6">
        <v>65.819999999999993</v>
      </c>
      <c r="K6">
        <f t="shared" si="0"/>
        <v>1.8</v>
      </c>
    </row>
    <row r="7" spans="9:11">
      <c r="I7">
        <v>4090</v>
      </c>
      <c r="J7">
        <v>51.62</v>
      </c>
      <c r="K7">
        <f t="shared" si="0"/>
        <v>2.6</v>
      </c>
    </row>
    <row r="8" spans="9:11">
      <c r="I8">
        <v>3200</v>
      </c>
      <c r="J8">
        <v>55.56</v>
      </c>
      <c r="K8">
        <f t="shared" si="0"/>
        <v>1.9</v>
      </c>
    </row>
    <row r="9" spans="9:11">
      <c r="I9">
        <v>4690</v>
      </c>
      <c r="J9">
        <v>63.6</v>
      </c>
      <c r="K9">
        <f t="shared" si="0"/>
        <v>2.5</v>
      </c>
    </row>
    <row r="10" spans="9:11">
      <c r="I10">
        <v>3300</v>
      </c>
      <c r="J10">
        <v>74</v>
      </c>
      <c r="K10">
        <f t="shared" si="0"/>
        <v>1.5</v>
      </c>
    </row>
    <row r="11" spans="9:11">
      <c r="I11">
        <v>4830</v>
      </c>
      <c r="J11">
        <v>61.68</v>
      </c>
      <c r="K11">
        <f t="shared" si="0"/>
        <v>2.6</v>
      </c>
    </row>
    <row r="12" spans="9:11">
      <c r="I12">
        <v>5300</v>
      </c>
      <c r="J12">
        <v>85.48</v>
      </c>
      <c r="K12">
        <f t="shared" si="0"/>
        <v>2.1</v>
      </c>
    </row>
    <row r="13" spans="9:11">
      <c r="I13">
        <v>4060</v>
      </c>
      <c r="J13">
        <v>55</v>
      </c>
      <c r="K13">
        <f t="shared" si="0"/>
        <v>2.5</v>
      </c>
    </row>
    <row r="14" spans="9:11">
      <c r="I14">
        <v>3500</v>
      </c>
      <c r="J14">
        <v>63</v>
      </c>
      <c r="K14">
        <f t="shared" si="0"/>
        <v>1.9</v>
      </c>
    </row>
    <row r="15" spans="9:11">
      <c r="I15">
        <v>4230</v>
      </c>
      <c r="J15">
        <v>58.08</v>
      </c>
      <c r="K15">
        <f t="shared" si="0"/>
        <v>2.4</v>
      </c>
    </row>
    <row r="16" spans="9:11">
      <c r="I16">
        <v>4500</v>
      </c>
      <c r="J16">
        <v>99</v>
      </c>
      <c r="K16">
        <f t="shared" si="0"/>
        <v>1.5</v>
      </c>
    </row>
    <row r="17" spans="9:11">
      <c r="I17">
        <v>50.67</v>
      </c>
      <c r="J17">
        <v>2600</v>
      </c>
      <c r="K17">
        <f t="shared" si="0"/>
        <v>0</v>
      </c>
    </row>
    <row r="18" spans="9:11">
      <c r="I18">
        <v>5000</v>
      </c>
      <c r="J18">
        <v>94</v>
      </c>
      <c r="K18">
        <f t="shared" si="0"/>
        <v>1.8</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5" t="s">
        <v>949</v>
      </c>
      <c r="B1" s="3495"/>
      <c r="C1" s="3495"/>
      <c r="D1" s="3495"/>
    </row>
    <row r="2" spans="1:4" ht="18">
      <c r="A2" s="3496" t="s">
        <v>933</v>
      </c>
      <c r="B2" s="3496"/>
      <c r="C2" s="3496"/>
      <c r="D2" s="3496"/>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496" t="s">
        <v>939</v>
      </c>
      <c r="B6" s="3496"/>
      <c r="C6" s="3496"/>
      <c r="D6" s="349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45167</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2432</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0"/>
      <c r="E18" s="3508" t="s">
        <v>2162</v>
      </c>
      <c r="F18" s="3507"/>
      <c r="G18" s="3507"/>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2433</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指标-规证</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收益法（汇总）</vt:lpstr>
      <vt:lpstr>收益法-长租公寓</vt:lpstr>
      <vt:lpstr>收益法 (元)</vt:lpstr>
      <vt:lpstr>收益法-酒店模型</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2023-08-29T07:35:00Z</dcterms:modified>
</cp:coreProperties>
</file>