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25" yWindow="30" windowWidth="17505" windowHeight="125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土地比较法-住宅、综合" sheetId="39"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收益法-商业" sheetId="15" r:id="rId38"/>
    <sheet name="收益法-车库" sheetId="80" r:id="rId39"/>
    <sheet name="租赁明细" sheetId="81"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基准地价修正" sheetId="43" r:id="rId47"/>
    <sheet name="土地案例" sheetId="82"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4">'收益法（汇总）'!$A$1:$F$13</definedName>
    <definedName name="_xlnm.Print_Area" localSheetId="38">'收益法-车库'!$A$1:$F$43,'收益法-车库'!$H$3:$M$29,'收益法-车库'!$A$46:$F$71,'收益法-车库'!$I$46:$N$65</definedName>
    <definedName name="_xlnm.Print_Area" localSheetId="37">'收益法-商业'!$A$1:$F$43,'收益法-商业'!$H$3:$M$29,'收益法-商业'!$A$46:$F$71,'收益法-商业'!$I$46:$N$65</definedName>
    <definedName name="_xlnm.Print_Area" localSheetId="13">'数据-汇总表'!$A$1:$P$32</definedName>
    <definedName name="_xlnm.Print_Area" localSheetId="31">'土地比较法-工业'!$A$1:$K$61,'土地比较法-工业'!$A$64:$M$121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7" i="1" s="1"/>
  <c r="D37" i="43"/>
  <c r="E57" i="39"/>
  <c r="E70" i="39"/>
  <c r="F70" i="39"/>
  <c r="G70" i="39" s="1"/>
  <c r="H70" i="39" s="1"/>
  <c r="I70" i="39" s="1"/>
  <c r="J70" i="39" s="1"/>
  <c r="K70" i="39" s="1"/>
  <c r="L70" i="39" s="1"/>
  <c r="M70" i="39" s="1"/>
  <c r="N70" i="39" s="1"/>
  <c r="O70" i="39" s="1"/>
  <c r="D70" i="39"/>
  <c r="I46" i="39"/>
  <c r="G46" i="39"/>
  <c r="E46" i="39"/>
  <c r="D117" i="39"/>
  <c r="I38" i="39"/>
  <c r="G38" i="39"/>
  <c r="E38" i="39"/>
  <c r="C38" i="39"/>
  <c r="I11" i="39"/>
  <c r="G11" i="39"/>
  <c r="E11" i="39"/>
  <c r="C11" i="39"/>
  <c r="C10" i="39"/>
  <c r="I7" i="39"/>
  <c r="G7" i="39"/>
  <c r="E7" i="39"/>
  <c r="I5" i="39"/>
  <c r="G5" i="39"/>
  <c r="E5" i="39"/>
  <c r="P113" i="81"/>
  <c r="U6" i="1" s="1"/>
  <c r="F118" i="81"/>
  <c r="D118" i="81"/>
  <c r="L118" i="81"/>
  <c r="Y22" i="1"/>
  <c r="X27" i="1"/>
  <c r="Y27" i="1" s="1"/>
  <c r="X26" i="1"/>
  <c r="Y26" i="1" s="1"/>
  <c r="X25" i="1"/>
  <c r="Y25" i="1" s="1"/>
  <c r="X24" i="1"/>
  <c r="Y24" i="1" s="1"/>
  <c r="X23" i="1"/>
  <c r="Y23" i="1" s="1"/>
  <c r="V27" i="1"/>
  <c r="V26" i="1"/>
  <c r="V25" i="1"/>
  <c r="V24" i="1"/>
  <c r="V23" i="1"/>
  <c r="V22" i="1"/>
  <c r="N21" i="1"/>
  <c r="W7" i="1"/>
  <c r="P5" i="81"/>
  <c r="P6" i="81"/>
  <c r="P7" i="81"/>
  <c r="P8" i="81"/>
  <c r="P9" i="81"/>
  <c r="P10" i="81"/>
  <c r="P11" i="81"/>
  <c r="P12" i="81"/>
  <c r="P13" i="81"/>
  <c r="P14" i="81"/>
  <c r="P15" i="81"/>
  <c r="P16" i="81"/>
  <c r="P17" i="81"/>
  <c r="P18" i="81"/>
  <c r="P19" i="81"/>
  <c r="P20" i="81"/>
  <c r="P21" i="81"/>
  <c r="P22" i="81"/>
  <c r="P23" i="81"/>
  <c r="P24" i="81"/>
  <c r="P25" i="81"/>
  <c r="P26" i="81"/>
  <c r="P27" i="81"/>
  <c r="P28" i="81"/>
  <c r="P29" i="81"/>
  <c r="P30" i="81"/>
  <c r="P31" i="81"/>
  <c r="P32" i="81"/>
  <c r="P33" i="81"/>
  <c r="P34" i="81"/>
  <c r="P35" i="81"/>
  <c r="P36" i="81"/>
  <c r="P37" i="81"/>
  <c r="P38" i="81"/>
  <c r="P39" i="81"/>
  <c r="P40" i="81"/>
  <c r="P41" i="81"/>
  <c r="P42" i="81"/>
  <c r="P43" i="81"/>
  <c r="P44" i="81"/>
  <c r="P45" i="81"/>
  <c r="P46" i="81"/>
  <c r="P47" i="81"/>
  <c r="P48" i="81"/>
  <c r="P49" i="81"/>
  <c r="P50" i="81"/>
  <c r="P51" i="81"/>
  <c r="P52" i="81"/>
  <c r="P53" i="81"/>
  <c r="P54" i="81"/>
  <c r="P55" i="81"/>
  <c r="P56" i="81"/>
  <c r="P57" i="81"/>
  <c r="P58" i="81"/>
  <c r="P59" i="81"/>
  <c r="P60" i="81"/>
  <c r="P61" i="81"/>
  <c r="P62" i="81"/>
  <c r="P63" i="81"/>
  <c r="P64" i="81"/>
  <c r="P65" i="81"/>
  <c r="P66" i="81"/>
  <c r="P67" i="81"/>
  <c r="P68" i="81"/>
  <c r="P69" i="81"/>
  <c r="P70" i="81"/>
  <c r="P71" i="81"/>
  <c r="P72" i="81"/>
  <c r="P73" i="81"/>
  <c r="P74" i="81"/>
  <c r="P75" i="81"/>
  <c r="P76" i="81"/>
  <c r="P77" i="81"/>
  <c r="P78" i="81"/>
  <c r="P79" i="81"/>
  <c r="P80" i="81"/>
  <c r="P81" i="81"/>
  <c r="P82" i="81"/>
  <c r="P83" i="81"/>
  <c r="P84" i="81"/>
  <c r="P85" i="81"/>
  <c r="P86" i="81"/>
  <c r="P87" i="81"/>
  <c r="P88" i="81"/>
  <c r="P89" i="81"/>
  <c r="P90" i="81"/>
  <c r="P91" i="81"/>
  <c r="P92" i="81"/>
  <c r="P93" i="81"/>
  <c r="P94" i="81"/>
  <c r="P95" i="81"/>
  <c r="P96" i="81"/>
  <c r="P97" i="81"/>
  <c r="P98" i="81"/>
  <c r="P99" i="81"/>
  <c r="P100" i="81"/>
  <c r="P101" i="81"/>
  <c r="P102" i="81"/>
  <c r="P103" i="81"/>
  <c r="P104" i="81"/>
  <c r="P105" i="81"/>
  <c r="P106" i="81"/>
  <c r="P107" i="81"/>
  <c r="P108" i="81"/>
  <c r="P109" i="81"/>
  <c r="P110" i="81"/>
  <c r="P111" i="81"/>
  <c r="P112" i="81"/>
  <c r="P4" i="81"/>
  <c r="N113" i="81"/>
  <c r="E113" i="81"/>
  <c r="D113" i="81"/>
  <c r="K112" i="81"/>
  <c r="J112" i="81"/>
  <c r="I112" i="81"/>
  <c r="L112" i="81" s="1"/>
  <c r="K111" i="81"/>
  <c r="J111" i="81"/>
  <c r="I111" i="81"/>
  <c r="L111" i="81" s="1"/>
  <c r="K110" i="81"/>
  <c r="J110" i="81"/>
  <c r="I110" i="81"/>
  <c r="L110" i="81" s="1"/>
  <c r="K109" i="81"/>
  <c r="J109" i="81"/>
  <c r="I109" i="81"/>
  <c r="L109" i="81" s="1"/>
  <c r="K108" i="81"/>
  <c r="J108" i="81"/>
  <c r="I108" i="81"/>
  <c r="L108" i="81" s="1"/>
  <c r="K107" i="81"/>
  <c r="J107" i="81"/>
  <c r="I107" i="81"/>
  <c r="L107" i="81" s="1"/>
  <c r="K106" i="81"/>
  <c r="J106" i="81"/>
  <c r="I106" i="81"/>
  <c r="L106" i="81" s="1"/>
  <c r="K105" i="81"/>
  <c r="J105" i="81"/>
  <c r="I105" i="81"/>
  <c r="L105" i="81" s="1"/>
  <c r="K104" i="81"/>
  <c r="J104" i="81"/>
  <c r="I104" i="81"/>
  <c r="L104" i="81" s="1"/>
  <c r="K103" i="81"/>
  <c r="J103" i="81"/>
  <c r="I103" i="81"/>
  <c r="L103" i="81" s="1"/>
  <c r="K102" i="81"/>
  <c r="J102" i="81"/>
  <c r="I102" i="81"/>
  <c r="L102" i="81" s="1"/>
  <c r="K101" i="81"/>
  <c r="J101" i="81"/>
  <c r="I101" i="81"/>
  <c r="L101" i="81" s="1"/>
  <c r="K100" i="81"/>
  <c r="J100" i="81"/>
  <c r="I100" i="81"/>
  <c r="L100" i="81" s="1"/>
  <c r="K99" i="81"/>
  <c r="J99" i="81"/>
  <c r="I99" i="81"/>
  <c r="L99" i="81" s="1"/>
  <c r="K98" i="81"/>
  <c r="J98" i="81"/>
  <c r="I98" i="81"/>
  <c r="L98" i="81" s="1"/>
  <c r="K97" i="81"/>
  <c r="J97" i="81"/>
  <c r="I97" i="81"/>
  <c r="L97" i="81" s="1"/>
  <c r="K96" i="81"/>
  <c r="J96" i="81"/>
  <c r="I96" i="81"/>
  <c r="L96" i="81" s="1"/>
  <c r="K95" i="81"/>
  <c r="J95" i="81"/>
  <c r="I95" i="81"/>
  <c r="L95" i="81" s="1"/>
  <c r="K94" i="81"/>
  <c r="J94" i="81"/>
  <c r="I94" i="81"/>
  <c r="L94" i="81" s="1"/>
  <c r="K93" i="81"/>
  <c r="J93" i="81"/>
  <c r="I93" i="81"/>
  <c r="L93" i="81" s="1"/>
  <c r="K92" i="81"/>
  <c r="J92" i="81"/>
  <c r="I92" i="81"/>
  <c r="L92" i="81" s="1"/>
  <c r="K91" i="81"/>
  <c r="J91" i="81"/>
  <c r="I91" i="81"/>
  <c r="L91" i="81" s="1"/>
  <c r="K90" i="81"/>
  <c r="J90" i="81"/>
  <c r="I90" i="81"/>
  <c r="L90" i="81" s="1"/>
  <c r="K89" i="81"/>
  <c r="J89" i="81"/>
  <c r="I89" i="81"/>
  <c r="L89" i="81" s="1"/>
  <c r="K88" i="81"/>
  <c r="J88" i="81"/>
  <c r="I88" i="81"/>
  <c r="L88" i="81" s="1"/>
  <c r="K87" i="81"/>
  <c r="J87" i="81"/>
  <c r="I87" i="81"/>
  <c r="L87" i="81" s="1"/>
  <c r="K86" i="81"/>
  <c r="J86" i="81"/>
  <c r="I86" i="81"/>
  <c r="L86" i="81" s="1"/>
  <c r="K85" i="81"/>
  <c r="J85" i="81"/>
  <c r="I85" i="81"/>
  <c r="L85" i="81" s="1"/>
  <c r="K84" i="81"/>
  <c r="J84" i="81"/>
  <c r="I84" i="81"/>
  <c r="L84" i="81" s="1"/>
  <c r="K83" i="81"/>
  <c r="J83" i="81"/>
  <c r="I83" i="81"/>
  <c r="L83" i="81" s="1"/>
  <c r="K82" i="81"/>
  <c r="J82" i="81"/>
  <c r="I82" i="81"/>
  <c r="L82" i="81" s="1"/>
  <c r="K81" i="81"/>
  <c r="J81" i="81"/>
  <c r="I81" i="81"/>
  <c r="L81" i="81" s="1"/>
  <c r="K80" i="81"/>
  <c r="J80" i="81"/>
  <c r="I80" i="81"/>
  <c r="L80" i="81" s="1"/>
  <c r="K79" i="81"/>
  <c r="J79" i="81"/>
  <c r="I79" i="81"/>
  <c r="L79" i="81" s="1"/>
  <c r="K78" i="81"/>
  <c r="J78" i="81"/>
  <c r="I78" i="81"/>
  <c r="L78" i="81" s="1"/>
  <c r="K77" i="81"/>
  <c r="J77" i="81"/>
  <c r="I77" i="81"/>
  <c r="L77" i="81" s="1"/>
  <c r="K76" i="81"/>
  <c r="J76" i="81"/>
  <c r="I76" i="81"/>
  <c r="L76" i="81" s="1"/>
  <c r="K75" i="81"/>
  <c r="J75" i="81"/>
  <c r="I75" i="81"/>
  <c r="L75" i="81" s="1"/>
  <c r="K74" i="81"/>
  <c r="J74" i="81"/>
  <c r="I74" i="81"/>
  <c r="L74" i="81" s="1"/>
  <c r="K73" i="81"/>
  <c r="J73" i="81"/>
  <c r="I73" i="81"/>
  <c r="L73" i="81" s="1"/>
  <c r="K72" i="81"/>
  <c r="J72" i="81"/>
  <c r="I72" i="81"/>
  <c r="L72" i="81" s="1"/>
  <c r="K71" i="81"/>
  <c r="J71" i="81"/>
  <c r="I71" i="81"/>
  <c r="L71" i="81" s="1"/>
  <c r="K70" i="81"/>
  <c r="J70" i="81"/>
  <c r="I70" i="81"/>
  <c r="L70" i="81" s="1"/>
  <c r="K69" i="81"/>
  <c r="J69" i="81"/>
  <c r="I69" i="81"/>
  <c r="L69" i="81" s="1"/>
  <c r="K68" i="81"/>
  <c r="J68" i="81"/>
  <c r="I68" i="81"/>
  <c r="L68" i="81" s="1"/>
  <c r="K67" i="81"/>
  <c r="J67" i="81"/>
  <c r="I67" i="81"/>
  <c r="L67" i="81" s="1"/>
  <c r="K66" i="81"/>
  <c r="J66" i="81"/>
  <c r="I66" i="81"/>
  <c r="L66" i="81" s="1"/>
  <c r="K65" i="81"/>
  <c r="J65" i="81"/>
  <c r="I65" i="81"/>
  <c r="L65" i="81" s="1"/>
  <c r="K64" i="81"/>
  <c r="J64" i="81"/>
  <c r="I64" i="81"/>
  <c r="L64" i="81" s="1"/>
  <c r="K63" i="81"/>
  <c r="J63" i="81"/>
  <c r="I63" i="81"/>
  <c r="L63" i="81" s="1"/>
  <c r="K62" i="81"/>
  <c r="J62" i="81"/>
  <c r="I62" i="81"/>
  <c r="L62" i="81" s="1"/>
  <c r="K61" i="81"/>
  <c r="J61" i="81"/>
  <c r="I61" i="81"/>
  <c r="L61" i="81" s="1"/>
  <c r="K60" i="81"/>
  <c r="J60" i="81"/>
  <c r="I60" i="81"/>
  <c r="L60" i="81" s="1"/>
  <c r="K59" i="81"/>
  <c r="J59" i="81"/>
  <c r="I59" i="81"/>
  <c r="L59" i="81" s="1"/>
  <c r="K58" i="81"/>
  <c r="J58" i="81"/>
  <c r="I58" i="81"/>
  <c r="L58" i="81" s="1"/>
  <c r="K57" i="81"/>
  <c r="J57" i="81"/>
  <c r="I57" i="81"/>
  <c r="L57" i="81" s="1"/>
  <c r="K56" i="81"/>
  <c r="J56" i="81"/>
  <c r="I56" i="81"/>
  <c r="L56" i="81" s="1"/>
  <c r="K55" i="81"/>
  <c r="J55" i="81"/>
  <c r="I55" i="81"/>
  <c r="L55" i="81" s="1"/>
  <c r="K54" i="81"/>
  <c r="J54" i="81"/>
  <c r="I54" i="81"/>
  <c r="L54" i="81" s="1"/>
  <c r="K53" i="81"/>
  <c r="J53" i="81"/>
  <c r="I53" i="81"/>
  <c r="L53" i="81" s="1"/>
  <c r="K52" i="81"/>
  <c r="J52" i="81"/>
  <c r="I52" i="81"/>
  <c r="L52" i="81" s="1"/>
  <c r="K51" i="81"/>
  <c r="J51" i="81"/>
  <c r="I51" i="81"/>
  <c r="L51" i="81" s="1"/>
  <c r="K50" i="81"/>
  <c r="J50" i="81"/>
  <c r="I50" i="81"/>
  <c r="L50" i="81" s="1"/>
  <c r="K49" i="81"/>
  <c r="J49" i="81"/>
  <c r="I49" i="81"/>
  <c r="L49" i="81" s="1"/>
  <c r="K48" i="81"/>
  <c r="J48" i="81"/>
  <c r="I48" i="81"/>
  <c r="L48" i="81" s="1"/>
  <c r="K47" i="81"/>
  <c r="J47" i="81"/>
  <c r="I47" i="81"/>
  <c r="L47" i="81" s="1"/>
  <c r="K46" i="81"/>
  <c r="J46" i="81"/>
  <c r="I46" i="81"/>
  <c r="L46" i="81" s="1"/>
  <c r="K45" i="81"/>
  <c r="J45" i="81"/>
  <c r="I45" i="81"/>
  <c r="L45" i="81" s="1"/>
  <c r="K44" i="81"/>
  <c r="J44" i="81"/>
  <c r="I44" i="81"/>
  <c r="L44" i="81" s="1"/>
  <c r="K43" i="81"/>
  <c r="J43" i="81"/>
  <c r="I43" i="81"/>
  <c r="L43" i="81" s="1"/>
  <c r="K42" i="81"/>
  <c r="J42" i="81"/>
  <c r="I42" i="81"/>
  <c r="L42" i="81" s="1"/>
  <c r="K41" i="81"/>
  <c r="J41" i="81"/>
  <c r="I41" i="81"/>
  <c r="L41" i="81" s="1"/>
  <c r="K40" i="81"/>
  <c r="J40" i="81"/>
  <c r="I40" i="81"/>
  <c r="L40" i="81" s="1"/>
  <c r="K39" i="81"/>
  <c r="J39" i="81"/>
  <c r="I39" i="81"/>
  <c r="L39" i="81" s="1"/>
  <c r="K38" i="81"/>
  <c r="J38" i="81"/>
  <c r="I38" i="81"/>
  <c r="L38" i="81" s="1"/>
  <c r="K37" i="81"/>
  <c r="J37" i="81"/>
  <c r="I37" i="81"/>
  <c r="L37" i="81" s="1"/>
  <c r="K36" i="81"/>
  <c r="J36" i="81"/>
  <c r="I36" i="81"/>
  <c r="L36" i="81" s="1"/>
  <c r="I35" i="81"/>
  <c r="L35" i="81" s="1"/>
  <c r="K34" i="81"/>
  <c r="J34" i="81"/>
  <c r="I34" i="81"/>
  <c r="L34" i="81" s="1"/>
  <c r="K33" i="81"/>
  <c r="J33" i="81"/>
  <c r="I33" i="81"/>
  <c r="L33" i="81" s="1"/>
  <c r="K32" i="81"/>
  <c r="J32" i="81"/>
  <c r="I32" i="81"/>
  <c r="L32" i="81" s="1"/>
  <c r="K31" i="81"/>
  <c r="J31" i="81"/>
  <c r="I31" i="81"/>
  <c r="L31" i="81" s="1"/>
  <c r="K30" i="81"/>
  <c r="J30" i="81"/>
  <c r="I30" i="81"/>
  <c r="K29" i="81"/>
  <c r="J29" i="81"/>
  <c r="L29" i="81" s="1"/>
  <c r="I29" i="81"/>
  <c r="K28" i="81"/>
  <c r="J28" i="81"/>
  <c r="L28" i="81" s="1"/>
  <c r="I28" i="81"/>
  <c r="K27" i="81"/>
  <c r="J27" i="81"/>
  <c r="L27" i="81" s="1"/>
  <c r="I27" i="81"/>
  <c r="K26" i="81"/>
  <c r="J26" i="81"/>
  <c r="L26" i="81" s="1"/>
  <c r="I26" i="81"/>
  <c r="K25" i="81"/>
  <c r="J25" i="81"/>
  <c r="L25" i="81" s="1"/>
  <c r="I25" i="81"/>
  <c r="K24" i="81"/>
  <c r="J24" i="81"/>
  <c r="L24" i="81" s="1"/>
  <c r="I24" i="81"/>
  <c r="K23" i="81"/>
  <c r="J23" i="81"/>
  <c r="L23" i="81" s="1"/>
  <c r="K22" i="81"/>
  <c r="J22" i="81"/>
  <c r="I22" i="81"/>
  <c r="L22" i="81" s="1"/>
  <c r="K21" i="81"/>
  <c r="J21" i="81"/>
  <c r="I21" i="81"/>
  <c r="L21" i="81" s="1"/>
  <c r="K20" i="81"/>
  <c r="J20" i="81"/>
  <c r="I20" i="81"/>
  <c r="L20" i="81" s="1"/>
  <c r="K19" i="81"/>
  <c r="J19" i="81"/>
  <c r="I19" i="81"/>
  <c r="L19" i="81" s="1"/>
  <c r="K18" i="81"/>
  <c r="J18" i="81"/>
  <c r="I18" i="81"/>
  <c r="L18" i="81" s="1"/>
  <c r="K17" i="81"/>
  <c r="J17" i="81"/>
  <c r="I17" i="81"/>
  <c r="L17" i="81" s="1"/>
  <c r="K16" i="81"/>
  <c r="J16" i="81"/>
  <c r="I16" i="81"/>
  <c r="L16" i="81" s="1"/>
  <c r="K15" i="81"/>
  <c r="J15" i="81"/>
  <c r="I15" i="81"/>
  <c r="L15" i="81" s="1"/>
  <c r="K14" i="81"/>
  <c r="J14" i="81"/>
  <c r="I14" i="81"/>
  <c r="L14" i="81" s="1"/>
  <c r="K13" i="81"/>
  <c r="J13" i="81"/>
  <c r="I13" i="81"/>
  <c r="L13" i="81" s="1"/>
  <c r="K12" i="81"/>
  <c r="J12" i="81"/>
  <c r="I12" i="81"/>
  <c r="L12" i="81" s="1"/>
  <c r="K11" i="81"/>
  <c r="J11" i="81"/>
  <c r="I11" i="81"/>
  <c r="L11" i="81" s="1"/>
  <c r="K10" i="81"/>
  <c r="I10" i="81"/>
  <c r="L10" i="81" s="1"/>
  <c r="K9" i="81"/>
  <c r="J9" i="81"/>
  <c r="L9" i="81" s="1"/>
  <c r="I9" i="81"/>
  <c r="K8" i="81"/>
  <c r="J8" i="81"/>
  <c r="L8" i="81" s="1"/>
  <c r="I8" i="81"/>
  <c r="K7" i="81"/>
  <c r="J7" i="81"/>
  <c r="L7" i="81" s="1"/>
  <c r="K6" i="81"/>
  <c r="J6" i="81"/>
  <c r="I6" i="81"/>
  <c r="L6" i="81" s="1"/>
  <c r="K5" i="81"/>
  <c r="J5" i="81"/>
  <c r="I5" i="81"/>
  <c r="L5" i="81" s="1"/>
  <c r="K4" i="81"/>
  <c r="K113" i="81" s="1"/>
  <c r="J4" i="81"/>
  <c r="I4" i="81"/>
  <c r="I113" i="81" s="1"/>
  <c r="N14" i="1" l="1"/>
  <c r="Y28" i="1"/>
  <c r="X28" i="1" s="1"/>
  <c r="J113" i="81"/>
  <c r="L4" i="81"/>
  <c r="L30" i="81"/>
  <c r="L113" i="81" l="1"/>
  <c r="G44" i="43" l="1"/>
  <c r="D42" i="43"/>
  <c r="U5" i="43"/>
  <c r="U4" i="43"/>
  <c r="U3" i="43"/>
  <c r="U2" i="43"/>
  <c r="Q72" i="80"/>
  <c r="Q59" i="80"/>
  <c r="K59" i="80"/>
  <c r="P74" i="80" s="1"/>
  <c r="F59" i="80"/>
  <c r="Q58" i="80"/>
  <c r="J52" i="80"/>
  <c r="Q51" i="80" s="1"/>
  <c r="J50" i="80"/>
  <c r="J49" i="80"/>
  <c r="J51" i="80" s="1"/>
  <c r="M47" i="80"/>
  <c r="D46" i="80"/>
  <c r="F34" i="80"/>
  <c r="F62" i="80" s="1"/>
  <c r="F33" i="80"/>
  <c r="F61" i="80" s="1"/>
  <c r="F32" i="80"/>
  <c r="F60" i="80" s="1"/>
  <c r="F31" i="80"/>
  <c r="F28" i="80"/>
  <c r="C28" i="80"/>
  <c r="F23" i="80"/>
  <c r="D24" i="80" s="1"/>
  <c r="D22" i="80"/>
  <c r="F21" i="80"/>
  <c r="M20" i="80"/>
  <c r="F20" i="80"/>
  <c r="M19" i="80"/>
  <c r="M18" i="80"/>
  <c r="F18" i="80"/>
  <c r="M17" i="80"/>
  <c r="F17" i="80"/>
  <c r="F15" i="80"/>
  <c r="G1" i="80"/>
  <c r="J52" i="15"/>
  <c r="J49" i="15"/>
  <c r="B35" i="1"/>
  <c r="B21" i="1"/>
  <c r="AM7" i="1"/>
  <c r="AL7" i="1"/>
  <c r="AK7" i="1"/>
  <c r="Y6" i="1"/>
  <c r="Y7" i="1" s="1"/>
  <c r="L14" i="1"/>
  <c r="N19" i="1"/>
  <c r="J7" i="1"/>
  <c r="G20" i="6"/>
  <c r="G19" i="6"/>
  <c r="F19" i="6"/>
  <c r="M24" i="80"/>
  <c r="M22" i="80"/>
  <c r="F8" i="80"/>
  <c r="C76" i="80"/>
  <c r="F9" i="80"/>
  <c r="F7" i="80"/>
  <c r="D23" i="80" l="1"/>
  <c r="F50" i="80"/>
  <c r="M7" i="80"/>
  <c r="Q71" i="80"/>
  <c r="F51" i="80"/>
  <c r="P61" i="80"/>
  <c r="M23" i="80"/>
  <c r="F42" i="80"/>
  <c r="F6" i="80"/>
  <c r="M8" i="80"/>
  <c r="F13" i="80"/>
  <c r="J15" i="80"/>
  <c r="F26" i="80"/>
  <c r="M27" i="80"/>
  <c r="F36" i="80"/>
  <c r="F38" i="80"/>
  <c r="F40" i="80"/>
  <c r="F43" i="80"/>
  <c r="L48" i="80"/>
  <c r="M6" i="80"/>
  <c r="M9" i="80"/>
  <c r="F16" i="80"/>
  <c r="M26" i="80"/>
  <c r="M29" i="80"/>
  <c r="F37" i="80"/>
  <c r="M28" i="80"/>
  <c r="L47" i="80"/>
  <c r="N59" i="80" l="1"/>
  <c r="L59" i="80"/>
  <c r="L58" i="80"/>
  <c r="F65" i="80"/>
  <c r="J6" i="80"/>
  <c r="L57" i="80"/>
  <c r="L56" i="80"/>
  <c r="J53" i="80"/>
  <c r="J57" i="80"/>
  <c r="J55" i="80" s="1"/>
  <c r="J58" i="80" s="1"/>
  <c r="Q50" i="80" s="1"/>
  <c r="I54" i="80"/>
  <c r="L60" i="80"/>
  <c r="F71" i="80"/>
  <c r="F68" i="80"/>
  <c r="F66" i="80"/>
  <c r="F64" i="80"/>
  <c r="C27" i="80"/>
  <c r="C6" i="80"/>
  <c r="C49" i="80"/>
  <c r="C17" i="80"/>
  <c r="Q66" i="80" l="1"/>
  <c r="Q57" i="80"/>
  <c r="Q60" i="80"/>
  <c r="Q73" i="80"/>
  <c r="C33" i="80"/>
  <c r="C32" i="80"/>
  <c r="Q52" i="80"/>
  <c r="F1" i="80"/>
  <c r="J19" i="80"/>
  <c r="J18" i="80"/>
  <c r="Q61" i="80"/>
  <c r="Q74" i="80"/>
  <c r="C61" i="80"/>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D87" i="71"/>
  <c r="C86" i="71"/>
  <c r="D86" i="71" s="1"/>
  <c r="D79" i="71"/>
  <c r="C78" i="71"/>
  <c r="D78" i="71"/>
  <c r="D71" i="71"/>
  <c r="C70" i="71"/>
  <c r="D70" i="71" s="1"/>
  <c r="C60" i="71"/>
  <c r="D59" i="71"/>
  <c r="C56" i="71"/>
  <c r="T56" i="71" s="1"/>
  <c r="D55" i="71"/>
  <c r="P67" i="71"/>
  <c r="E66" i="71"/>
  <c r="C52" i="71"/>
  <c r="T52" i="71" s="1"/>
  <c r="D51" i="71"/>
  <c r="C40" i="71"/>
  <c r="T40" i="71" s="1"/>
  <c r="D39" i="71"/>
  <c r="C36" i="71"/>
  <c r="T36" i="71" s="1"/>
  <c r="C32" i="71"/>
  <c r="T32" i="71" s="1"/>
  <c r="D31" i="71"/>
  <c r="C26" i="71"/>
  <c r="D26" i="71" s="1"/>
  <c r="D27" i="71"/>
  <c r="V28" i="71"/>
  <c r="P65" i="71"/>
  <c r="P66" i="71"/>
  <c r="O66" i="71"/>
  <c r="D66" i="71"/>
  <c r="O65" i="71"/>
  <c r="D32" i="71"/>
  <c r="D36" i="71"/>
  <c r="D40" i="71"/>
  <c r="D52"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c r="H36" i="39"/>
  <c r="AB36" i="39"/>
  <c r="J35" i="39"/>
  <c r="AC35" i="39"/>
  <c r="F35" i="39"/>
  <c r="AA35" i="39"/>
  <c r="J36" i="39"/>
  <c r="AC36" i="39" s="1"/>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27" i="39"/>
  <c r="AC27" i="39" s="1"/>
  <c r="F27" i="39"/>
  <c r="AA27" i="39" s="1"/>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W27" i="39"/>
  <c r="AB34"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396" i="3"/>
  <c r="AZ499" i="3"/>
  <c r="AZ509" i="3"/>
  <c r="G509" i="3"/>
  <c r="BL493" i="3"/>
  <c r="AZ491" i="3"/>
  <c r="AZ390"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U25" i="39"/>
  <c r="AB27" i="39"/>
  <c r="U31" i="39"/>
  <c r="J21" i="39"/>
  <c r="W21" i="39" s="1"/>
  <c r="F21" i="39"/>
  <c r="AA21" i="39" s="1"/>
  <c r="G94" i="39"/>
  <c r="H21" i="39"/>
  <c r="AB21" i="39" s="1"/>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U13" i="39"/>
  <c r="AB13" i="39"/>
  <c r="AA13" i="39"/>
  <c r="S13" i="39"/>
  <c r="S14" i="39"/>
  <c r="AA14" i="39"/>
  <c r="U43" i="39"/>
  <c r="AB43" i="39"/>
  <c r="AB11" i="39"/>
  <c r="U11" i="39"/>
  <c r="S27"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16" i="80"/>
  <c r="E7" i="76"/>
  <c r="F37" i="15"/>
  <c r="E9" i="76"/>
  <c r="F9" i="67"/>
  <c r="F8" i="15"/>
  <c r="D3" i="73"/>
  <c r="F40" i="15"/>
  <c r="F36" i="15"/>
  <c r="F6" i="15"/>
  <c r="F13" i="15"/>
  <c r="M22" i="67"/>
  <c r="AO13" i="1"/>
  <c r="F26" i="67"/>
  <c r="D6" i="73"/>
  <c r="M23" i="15"/>
  <c r="E2" i="68"/>
  <c r="F26" i="15"/>
  <c r="M8" i="15"/>
  <c r="D4" i="73"/>
  <c r="F38" i="15"/>
  <c r="D5" i="73"/>
  <c r="F8" i="67"/>
  <c r="E13" i="76"/>
  <c r="M8" i="67"/>
  <c r="B7" i="76"/>
  <c r="M24" i="67"/>
  <c r="F20" i="31"/>
  <c r="F4" i="73"/>
  <c r="F6" i="67"/>
  <c r="F5" i="73"/>
  <c r="J15" i="67"/>
  <c r="F36" i="67"/>
  <c r="F16" i="15"/>
  <c r="M22" i="15"/>
  <c r="M28" i="15"/>
  <c r="D7" i="73"/>
  <c r="E2" i="69"/>
  <c r="L47" i="67"/>
  <c r="E10" i="76"/>
  <c r="F37" i="67"/>
  <c r="F43" i="15"/>
  <c r="L47" i="15"/>
  <c r="M6" i="67"/>
  <c r="F9" i="15"/>
  <c r="B12" i="76"/>
  <c r="L48" i="67"/>
  <c r="F6" i="73"/>
  <c r="F13" i="67"/>
  <c r="F38" i="67"/>
  <c r="F43" i="67"/>
  <c r="M24" i="15"/>
  <c r="M28" i="67"/>
  <c r="C76" i="15"/>
  <c r="F42" i="15"/>
  <c r="J15" i="15"/>
  <c r="M23" i="67"/>
  <c r="B11" i="76"/>
  <c r="F3" i="73"/>
  <c r="C76" i="67"/>
  <c r="B13" i="76"/>
  <c r="F7" i="15"/>
  <c r="B10" i="76"/>
  <c r="L48" i="15"/>
  <c r="F7" i="67"/>
  <c r="F7" i="73"/>
  <c r="M26" i="15"/>
  <c r="M9" i="15"/>
  <c r="F40" i="67"/>
  <c r="F42" i="67"/>
  <c r="B8" i="76"/>
  <c r="E11" i="76"/>
  <c r="M29" i="15"/>
  <c r="E12" i="76"/>
  <c r="M9" i="67"/>
  <c r="B9" i="76"/>
  <c r="F16" i="67"/>
  <c r="M29" i="67"/>
  <c r="M26" i="67"/>
  <c r="M6" i="15"/>
  <c r="E8" i="76"/>
  <c r="F90" i="39" l="1"/>
  <c r="G90" i="39" s="1"/>
  <c r="F17" i="39"/>
  <c r="AA17" i="39" s="1"/>
  <c r="S11" i="39"/>
  <c r="S42" i="39"/>
  <c r="AC41" i="39"/>
  <c r="U40" i="39"/>
  <c r="F92" i="39"/>
  <c r="G92" i="39" s="1"/>
  <c r="H19" i="39"/>
  <c r="J19" i="39"/>
  <c r="F19" i="39"/>
  <c r="J17" i="39"/>
  <c r="H17" i="39"/>
  <c r="AB17" i="39" s="1"/>
  <c r="U41" i="39"/>
  <c r="AA41" i="39"/>
  <c r="S38" i="39"/>
  <c r="AC38" i="39"/>
  <c r="U32" i="39"/>
  <c r="U29" i="39"/>
  <c r="W29" i="39"/>
  <c r="W23" i="39"/>
  <c r="U21" i="39"/>
  <c r="U17" i="39"/>
  <c r="F34" i="68"/>
  <c r="M59" i="80"/>
  <c r="O7" i="1"/>
  <c r="P7" i="1" s="1"/>
  <c r="D53" i="43"/>
  <c r="D56" i="43"/>
  <c r="D58" i="43"/>
  <c r="B73" i="43"/>
  <c r="F34" i="15"/>
  <c r="F62" i="15" s="1"/>
  <c r="F34" i="67"/>
  <c r="F62" i="67" s="1"/>
  <c r="C21" i="68"/>
  <c r="G14" i="3"/>
  <c r="BA5" i="3"/>
  <c r="BL19" i="3"/>
  <c r="AZ19" i="3" s="1"/>
  <c r="BL15" i="3"/>
  <c r="AZ15" i="3" s="1"/>
  <c r="A15" i="62"/>
  <c r="B61" i="72" s="1"/>
  <c r="E19" i="71"/>
  <c r="E18" i="71" s="1"/>
  <c r="E17" i="71" s="1"/>
  <c r="E16" i="71" s="1"/>
  <c r="V20" i="71"/>
  <c r="AZ557" i="3"/>
  <c r="BL5" i="3"/>
  <c r="G5" i="3"/>
  <c r="B3" i="3" s="1"/>
  <c r="E77" i="3" s="1"/>
  <c r="S38" i="40"/>
  <c r="AA38" i="40"/>
  <c r="AZ398" i="3"/>
  <c r="AZ405" i="3"/>
  <c r="AZ407" i="3"/>
  <c r="AZ410" i="3"/>
  <c r="AZ415" i="3"/>
  <c r="AZ420" i="3"/>
  <c r="AZ426" i="3"/>
  <c r="AZ431" i="3"/>
  <c r="C16" i="71"/>
  <c r="D17" i="71"/>
  <c r="D19" i="53"/>
  <c r="B38" i="72" s="1"/>
  <c r="D16" i="53"/>
  <c r="B34" i="72" s="1"/>
  <c r="W17" i="21"/>
  <c r="U12" i="39"/>
  <c r="G28" i="6"/>
  <c r="E28" i="6" s="1"/>
  <c r="K14" i="1" s="1"/>
  <c r="F29" i="6"/>
  <c r="AA41" i="34"/>
  <c r="W32" i="40"/>
  <c r="AC32" i="40"/>
  <c r="AZ451" i="3"/>
  <c r="AZ461" i="3"/>
  <c r="AZ463" i="3"/>
  <c r="AZ466" i="3"/>
  <c r="AZ468" i="3"/>
  <c r="AZ316" i="3"/>
  <c r="AZ220" i="3"/>
  <c r="AZ264" i="3"/>
  <c r="AC11" i="35"/>
  <c r="F25" i="37"/>
  <c r="J25" i="37"/>
  <c r="F26" i="37"/>
  <c r="H26" i="37"/>
  <c r="F44" i="39"/>
  <c r="H38" i="40"/>
  <c r="J38" i="40"/>
  <c r="H39" i="40"/>
  <c r="AZ439" i="3"/>
  <c r="AZ444" i="3"/>
  <c r="AZ475" i="3"/>
  <c r="AZ385" i="3"/>
  <c r="AZ210" i="3"/>
  <c r="AZ239" i="3"/>
  <c r="AZ255" i="3"/>
  <c r="AZ277" i="3"/>
  <c r="AZ298" i="3"/>
  <c r="AZ125" i="3"/>
  <c r="AZ205" i="3"/>
  <c r="AZ18" i="3"/>
  <c r="AZ23" i="3"/>
  <c r="AZ27" i="3"/>
  <c r="AZ134" i="3"/>
  <c r="AZ137" i="3"/>
  <c r="AZ145" i="3"/>
  <c r="AZ161" i="3"/>
  <c r="AZ177" i="3"/>
  <c r="AZ48" i="3"/>
  <c r="AZ104" i="3"/>
  <c r="AZ108" i="3"/>
  <c r="AZ56" i="3"/>
  <c r="AZ60" i="3"/>
  <c r="AZ73" i="3"/>
  <c r="AZ78" i="3"/>
  <c r="AZ87" i="3"/>
  <c r="AZ91" i="3"/>
  <c r="AZ95" i="3"/>
  <c r="U18" i="36"/>
  <c r="C43" i="71"/>
  <c r="D42" i="71"/>
  <c r="C47" i="71"/>
  <c r="D47" i="71" s="1"/>
  <c r="D46" i="71"/>
  <c r="F30" i="71"/>
  <c r="F31" i="71" s="1"/>
  <c r="F32" i="71" s="1"/>
  <c r="V32" i="71" s="1"/>
  <c r="Y9" i="71"/>
  <c r="Z9" i="71" s="1"/>
  <c r="Y10" i="71"/>
  <c r="Z10" i="71" s="1"/>
  <c r="AA9" i="71"/>
  <c r="AA10" i="71"/>
  <c r="X24" i="71"/>
  <c r="AA24" i="71"/>
  <c r="Y24" i="71"/>
  <c r="Z24" i="71" s="1"/>
  <c r="AB23" i="71"/>
  <c r="AA21" i="71"/>
  <c r="X21" i="71"/>
  <c r="Y18" i="71"/>
  <c r="Z18" i="71" s="1"/>
  <c r="AA11" i="71"/>
  <c r="AB18" i="71"/>
  <c r="Y14" i="71"/>
  <c r="Z14" i="71" s="1"/>
  <c r="AB11" i="71"/>
  <c r="X9" i="71"/>
  <c r="X10" i="71"/>
  <c r="Y39" i="71"/>
  <c r="Z39" i="71" s="1"/>
  <c r="AA39" i="71"/>
  <c r="AB9" i="71"/>
  <c r="AB10" i="71"/>
  <c r="AB24" i="71"/>
  <c r="AA23" i="71"/>
  <c r="X22" i="71"/>
  <c r="AB21" i="71"/>
  <c r="X17" i="71"/>
  <c r="Y17" i="71"/>
  <c r="Z17" i="71" s="1"/>
  <c r="AA18" i="71"/>
  <c r="B67" i="71"/>
  <c r="Y23" i="71"/>
  <c r="Z23" i="71" s="1"/>
  <c r="Y22" i="71"/>
  <c r="Z22" i="71" s="1"/>
  <c r="Y21" i="71"/>
  <c r="Z21" i="71" s="1"/>
  <c r="AA22" i="71"/>
  <c r="X18" i="71"/>
  <c r="X15" i="71"/>
  <c r="AA15" i="71"/>
  <c r="AA13" i="71"/>
  <c r="X11" i="71"/>
  <c r="X14" i="71"/>
  <c r="AB12" i="71"/>
  <c r="Y12" i="71"/>
  <c r="Z12" i="71" s="1"/>
  <c r="Y13" i="71"/>
  <c r="Z13" i="71" s="1"/>
  <c r="AB15" i="71"/>
  <c r="AA17" i="71"/>
  <c r="AB17" i="71"/>
  <c r="AA12" i="71"/>
  <c r="AA14" i="71"/>
  <c r="X12" i="71"/>
  <c r="X13" i="71"/>
  <c r="AB13" i="71"/>
  <c r="AB14"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S17" i="39" l="1"/>
  <c r="AA19" i="39"/>
  <c r="S19" i="39"/>
  <c r="AB19" i="39"/>
  <c r="U19" i="39"/>
  <c r="AC19" i="39"/>
  <c r="W19" i="39"/>
  <c r="AC17" i="39"/>
  <c r="W17" i="39"/>
  <c r="M11" i="80"/>
  <c r="J10" i="80" s="1"/>
  <c r="J5" i="80" s="1"/>
  <c r="F11" i="80"/>
  <c r="E136" i="3"/>
  <c r="E461" i="3"/>
  <c r="E122" i="3"/>
  <c r="E545" i="3"/>
  <c r="E434" i="3"/>
  <c r="E181" i="3"/>
  <c r="E238" i="3"/>
  <c r="E568" i="3"/>
  <c r="E156" i="3"/>
  <c r="K16" i="1"/>
  <c r="AZ5" i="3"/>
  <c r="B15" i="71"/>
  <c r="B14" i="71" s="1"/>
  <c r="B13" i="71" s="1"/>
  <c r="B12" i="71" s="1"/>
  <c r="S16" i="71"/>
  <c r="D43" i="71"/>
  <c r="C44" i="71"/>
  <c r="AC38" i="40"/>
  <c r="W38" i="40"/>
  <c r="AA44" i="39"/>
  <c r="S44" i="39"/>
  <c r="AA26" i="37"/>
  <c r="S26" i="37"/>
  <c r="AA25" i="37"/>
  <c r="S25" i="37"/>
  <c r="C15" i="71"/>
  <c r="T16" i="71"/>
  <c r="B66" i="71"/>
  <c r="N67" i="71"/>
  <c r="AB39" i="40"/>
  <c r="U39" i="40"/>
  <c r="U38" i="40"/>
  <c r="AB38" i="40"/>
  <c r="AB26" i="37"/>
  <c r="U26" i="37"/>
  <c r="W25" i="37"/>
  <c r="AC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115" i="3"/>
  <c r="E119" i="3"/>
  <c r="E202" i="3"/>
  <c r="E242" i="3"/>
  <c r="E281" i="3"/>
  <c r="E243" i="3"/>
  <c r="E332" i="3"/>
  <c r="E391" i="3"/>
  <c r="E356" i="3"/>
  <c r="AL6" i="3"/>
  <c r="L6" i="3"/>
  <c r="E60" i="3"/>
  <c r="E43" i="3"/>
  <c r="E540" i="3"/>
  <c r="E473" i="3"/>
  <c r="E482" i="3"/>
  <c r="E412" i="3"/>
  <c r="E18" i="3"/>
  <c r="E96" i="3"/>
  <c r="E78" i="3"/>
  <c r="E129" i="3"/>
  <c r="E190" i="3"/>
  <c r="E194" i="3"/>
  <c r="E234" i="3"/>
  <c r="E219" i="3"/>
  <c r="E299" i="3"/>
  <c r="E324" i="3"/>
  <c r="E383" i="3"/>
  <c r="E342" i="3"/>
  <c r="E522" i="3"/>
  <c r="E52" i="3"/>
  <c r="E86" i="3"/>
  <c r="E34" i="3"/>
  <c r="E49" i="3"/>
  <c r="E206" i="3"/>
  <c r="E232" i="3"/>
  <c r="E251" i="3"/>
  <c r="E370" i="3"/>
  <c r="AF6" i="3"/>
  <c r="E50" i="3"/>
  <c r="E20" i="3"/>
  <c r="E62" i="3"/>
  <c r="E176" i="3"/>
  <c r="E218" i="3"/>
  <c r="E287" i="3"/>
  <c r="E308" i="3"/>
  <c r="E365" i="3"/>
  <c r="E524" i="3"/>
  <c r="E10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40" i="3"/>
  <c r="E104" i="3"/>
  <c r="E25" i="3"/>
  <c r="E41" i="3"/>
  <c r="E108" i="3"/>
  <c r="E178" i="3"/>
  <c r="E198" i="3"/>
  <c r="E139" i="3"/>
  <c r="E225" i="3"/>
  <c r="E226" i="3"/>
  <c r="E276" i="3"/>
  <c r="E346" i="3"/>
  <c r="E333" i="3"/>
  <c r="E372" i="3"/>
  <c r="E42" i="3"/>
  <c r="E94" i="3"/>
  <c r="E75" i="3"/>
  <c r="E428" i="3"/>
  <c r="E15" i="3"/>
  <c r="E455" i="3"/>
  <c r="E79" i="3"/>
  <c r="E38" i="3"/>
  <c r="E100" i="3"/>
  <c r="E170" i="3"/>
  <c r="E137" i="3"/>
  <c r="E174" i="3"/>
  <c r="E220" i="3"/>
  <c r="E275" i="3"/>
  <c r="E235" i="3"/>
  <c r="E339" i="3"/>
  <c r="E325" i="3"/>
  <c r="E392" i="3"/>
  <c r="AQ6" i="3"/>
  <c r="E35" i="3"/>
  <c r="E36" i="3"/>
  <c r="E112" i="3"/>
  <c r="E123" i="3"/>
  <c r="E147" i="3"/>
  <c r="E289" i="3"/>
  <c r="E340" i="3"/>
  <c r="E364" i="3"/>
  <c r="E102" i="3"/>
  <c r="E80" i="3"/>
  <c r="E113" i="3"/>
  <c r="E158" i="3"/>
  <c r="E265"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F41" i="80"/>
  <c r="F41" i="67"/>
  <c r="F69" i="80" l="1"/>
  <c r="C53" i="80"/>
  <c r="C48" i="80" s="1"/>
  <c r="C10" i="80"/>
  <c r="C5" i="80" s="1"/>
  <c r="L36" i="43"/>
  <c r="P36" i="43" s="1"/>
  <c r="F24" i="80"/>
  <c r="J26" i="80"/>
  <c r="J29" i="80" s="1"/>
  <c r="J24" i="80"/>
  <c r="E65" i="39"/>
  <c r="T44" i="71"/>
  <c r="D44" i="71"/>
  <c r="E11" i="71"/>
  <c r="E10" i="71" s="1"/>
  <c r="E9" i="71" s="1"/>
  <c r="E8" i="71" s="1"/>
  <c r="E7" i="71" s="1"/>
  <c r="E6" i="71" s="1"/>
  <c r="E5" i="71" s="1"/>
  <c r="V12" i="71"/>
  <c r="N65" i="71"/>
  <c r="N66" i="71"/>
  <c r="D15" i="71"/>
  <c r="C1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N36" i="43" l="1"/>
  <c r="O36" i="43"/>
  <c r="L37" i="43"/>
  <c r="P37" i="43" s="1"/>
  <c r="C66" i="80"/>
  <c r="C60" i="80"/>
  <c r="M36" i="43"/>
  <c r="Q36" i="43"/>
  <c r="C24" i="80"/>
  <c r="C38"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O37" i="43" l="1"/>
  <c r="M37" i="43"/>
  <c r="N37" i="43"/>
  <c r="Q37" i="43"/>
  <c r="H21" i="6"/>
  <c r="H25" i="6"/>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0"/>
  <c r="B6" i="76"/>
  <c r="C14" i="15"/>
  <c r="E6" i="76"/>
  <c r="C15" i="80" l="1"/>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9" i="80"/>
  <c r="C20" i="80" s="1"/>
  <c r="C26" i="80" s="1"/>
  <c r="J7" i="21"/>
  <c r="C10" i="71"/>
  <c r="D11"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23" i="80"/>
  <c r="C29" i="80"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0"/>
  <c r="M21" i="80"/>
  <c r="M21" i="67"/>
  <c r="F35" i="67"/>
  <c r="F35" i="15"/>
  <c r="M21" i="15"/>
  <c r="C57" i="80" l="1"/>
  <c r="C64" i="80" s="1"/>
  <c r="C36" i="80"/>
  <c r="C13" i="80"/>
  <c r="Q49" i="80"/>
  <c r="J14" i="80"/>
  <c r="J59" i="80"/>
  <c r="J60" i="80" s="1"/>
  <c r="J20" i="80"/>
  <c r="J17" i="80" s="1"/>
  <c r="F63" i="80"/>
  <c r="C62" i="80" s="1"/>
  <c r="C59" i="80" s="1"/>
  <c r="C34" i="80"/>
  <c r="C31" i="80"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8" i="80" l="1"/>
  <c r="L46" i="80"/>
  <c r="J22" i="80"/>
  <c r="J13" i="80"/>
  <c r="J23" i="80" s="1"/>
  <c r="C75" i="80"/>
  <c r="C37" i="80"/>
  <c r="C30" i="80" s="1"/>
  <c r="C39" i="80" s="1"/>
  <c r="Q70" i="80"/>
  <c r="C56" i="80"/>
  <c r="C65" i="80" s="1"/>
  <c r="C58" i="80" s="1"/>
  <c r="C67" i="80" s="1"/>
  <c r="C68" i="80" s="1"/>
  <c r="C71"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0"/>
  <c r="D2" i="21"/>
  <c r="J16" i="80" l="1"/>
  <c r="J25" i="80" s="1"/>
  <c r="Q69" i="80"/>
  <c r="Q68" i="80" s="1"/>
  <c r="C80" i="80"/>
  <c r="C79" i="80" s="1"/>
  <c r="C40" i="80"/>
  <c r="Q47" i="80" s="1"/>
  <c r="Q53" i="80" s="1"/>
  <c r="Q67" i="80"/>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3" i="80" l="1"/>
  <c r="C83" i="80"/>
  <c r="C82" i="80" s="1"/>
  <c r="Q65" i="80"/>
  <c r="Q75" i="80" s="1"/>
  <c r="C46" i="80"/>
  <c r="B2" i="80"/>
  <c r="B3"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M24" i="43"/>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2" i="1"/>
  <c r="AO10" i="1"/>
  <c r="AO8" i="1"/>
  <c r="AO7" i="1"/>
  <c r="AO9" i="1"/>
  <c r="AO11" i="1"/>
  <c r="AO6"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E14" i="74"/>
  <c r="F14" i="74"/>
  <c r="B5" i="74"/>
  <c r="D5" i="74" s="1"/>
  <c r="C28" i="68" l="1"/>
  <c r="C27" i="68" s="1"/>
  <c r="C25" i="68"/>
  <c r="C22" i="68" s="1"/>
  <c r="B6" i="74"/>
  <c r="D6" i="74" s="1"/>
  <c r="C31" i="68" l="1"/>
  <c r="C52" i="68" s="1"/>
  <c r="B2" i="68" l="1"/>
  <c r="C57" i="68"/>
  <c r="C56" i="68" s="1"/>
  <c r="C19" i="9"/>
  <c r="C102" i="9" l="1"/>
  <c r="C21" i="9"/>
  <c r="D22" i="9"/>
  <c r="G19" i="9"/>
  <c r="G21" i="9" s="1"/>
  <c r="B3" i="68"/>
  <c r="D35" i="9"/>
  <c r="D34" i="9"/>
  <c r="C20" i="9"/>
  <c r="C103" i="9" l="1"/>
  <c r="G20" i="9"/>
  <c r="C32" i="9" s="1"/>
  <c r="C35" i="9" l="1"/>
  <c r="H118" i="9"/>
  <c r="C104" i="9" l="1"/>
  <c r="H101" i="9"/>
  <c r="H4" i="52"/>
  <c r="I118" i="9"/>
  <c r="H119" i="9"/>
  <c r="H5" i="52" s="1"/>
  <c r="C34" i="9"/>
  <c r="D118" i="9" s="1"/>
  <c r="F118" i="9"/>
  <c r="D4" i="52" l="1"/>
  <c r="B47" i="72" s="1"/>
  <c r="D119" i="9"/>
  <c r="D5" i="52" s="1"/>
  <c r="B49" i="72" s="1"/>
  <c r="I4" i="52"/>
  <c r="C105" i="9"/>
  <c r="H102" i="9"/>
  <c r="M48" i="9"/>
  <c r="D45" i="9"/>
  <c r="D5" i="53"/>
  <c r="H107" i="9"/>
  <c r="F119" i="9"/>
  <c r="F5" i="52" s="1"/>
  <c r="B53" i="72" s="1"/>
  <c r="F4" i="52"/>
  <c r="B51" i="72" s="1"/>
  <c r="G118" i="9"/>
  <c r="G4" i="52" s="1"/>
  <c r="B52" i="72" s="1"/>
  <c r="D13" i="53" l="1"/>
  <c r="H108" i="9"/>
  <c r="D122" i="9"/>
  <c r="M49" i="9"/>
  <c r="D52" i="9"/>
  <c r="C85" i="9"/>
  <c r="C72" i="9"/>
  <c r="C93" i="9"/>
  <c r="C86" i="9" s="1"/>
  <c r="D53" i="9"/>
  <c r="C78" i="9"/>
  <c r="C73" i="9" s="1"/>
  <c r="D55" i="9"/>
  <c r="M53" i="9" s="1"/>
  <c r="C64" i="9"/>
  <c r="C63" i="9" s="1"/>
  <c r="C67" i="9" s="1"/>
  <c r="D7" i="53"/>
  <c r="B21" i="72" s="1"/>
  <c r="C5" i="74"/>
  <c r="B20" i="72"/>
  <c r="D6" i="53"/>
  <c r="B22" i="72" s="1"/>
  <c r="E118" i="9"/>
  <c r="E4" i="52" s="1"/>
  <c r="B48" i="72" s="1"/>
  <c r="D59" i="9" l="1"/>
  <c r="M55" i="9" s="1"/>
  <c r="C68" i="9"/>
  <c r="D54" i="9" s="1"/>
  <c r="C95" i="9"/>
  <c r="L63" i="9"/>
  <c r="M63" i="9" s="1"/>
  <c r="L66" i="9"/>
  <c r="M66" i="9" s="1"/>
  <c r="L68" i="9"/>
  <c r="M68" i="9" s="1"/>
  <c r="L65" i="9"/>
  <c r="M65" i="9" s="1"/>
  <c r="L64" i="9"/>
  <c r="M64" i="9" s="1"/>
  <c r="L67" i="9"/>
  <c r="M67" i="9" s="1"/>
  <c r="C6" i="74"/>
  <c r="D15" i="53"/>
  <c r="B31" i="72" s="1"/>
  <c r="C79" i="9"/>
  <c r="D8" i="52"/>
  <c r="D123" i="9"/>
  <c r="D9" i="52" s="1"/>
  <c r="B30" i="72"/>
  <c r="D14" i="53"/>
  <c r="B32" i="72" s="1"/>
  <c r="M69" i="9" l="1"/>
  <c r="N69" i="9" s="1"/>
  <c r="C80" i="9"/>
  <c r="E80" i="9" s="1"/>
  <c r="E81" i="9" s="1"/>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<sst xmlns="http://schemas.openxmlformats.org/spreadsheetml/2006/main" count="8855" uniqueCount="3820">
  <si>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</si>
  <si>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</si>
  <si>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</si>
  <si>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</si>
  <si>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</si>
  <si>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</si>
  <si>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</si>
  <si>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</si>
  <si>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</si>
  <si>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</si>
  <si>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</si>
  <si>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</si>
  <si>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</si>
  <si>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</si>
  <si>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</si>
  <si>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</si>
  <si>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</si>
  <si>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</si>
  <si>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</si>
  <si>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</si>
  <si>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</si>
  <si>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</si>
  <si>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</si>
  <si>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</si>
  <si>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</si>
  <si>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</si>
  <si>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</si>
  <si>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</si>
  <si>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</si>
  <si>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</si>
  <si>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</si>
  <si>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</si>
  <si>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</si>
  <si>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</si>
  <si>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</si>
  <si>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</si>
  <si>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</si>
  <si>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</si>
  <si>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</si>
  <si>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</si>
  <si>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</si>
  <si>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</si>
  <si>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</si>
  <si>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</si>
  <si>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</si>
  <si>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</si>
  <si>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</si>
  <si>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</si>
  <si>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</si>
  <si>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</si>
  <si>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</si>
  <si>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</si>
  <si>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</si>
  <si>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</si>
  <si>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</si>
  <si>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</si>
  <si>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</si>
  <si>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</si>
  <si>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</si>
  <si>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</si>
  <si>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</si>
  <si>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</si>
  <si>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</si>
  <si>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</si>
  <si>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</si>
  <si>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</si>
  <si>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</si>
  <si>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</si>
  <si>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</si>
  <si>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</si>
  <si>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</si>
  <si>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</si>
  <si>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</si>
  <si>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</si>
  <si>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</si>
  <si>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</si>
  <si>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</si>
  <si>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</si>
  <si>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</si>
  <si>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</si>
  <si>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</si>
  <si>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</si>
  <si>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</si>
  <si>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</si>
  <si>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</si>
  <si>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</si>
  <si>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</si>
  <si>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</si>
  <si>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</si>
  <si>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</si>
  <si>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</si>
  <si>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</si>
  <si>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</si>
  <si>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</si>
  <si>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</si>
  <si>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</si>
  <si>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</si>
  <si>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</si>
  <si>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</si>
  <si>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</si>
  <si>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</si>
  <si>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</si>
  <si>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</si>
  <si>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</si>
  <si>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</si>
  <si>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</si>
  <si>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</si>
  <si>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</si>
  <si>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</si>
  <si>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</si>
  <si>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</si>
  <si>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</si>
  <si>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</si>
  <si>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</si>
  <si>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</si>
  <si>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</si>
  <si>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</si>
  <si>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</si>
  <si>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</si>
  <si>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</si>
  <si>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</si>
  <si>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</si>
  <si>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</si>
  <si>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</si>
  <si>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</si>
  <si>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</si>
  <si>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</si>
  <si>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</si>
  <si>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</si>
  <si>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</si>
  <si>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</si>
  <si>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</si>
  <si>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</si>
  <si>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</si>
  <si>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</si>
  <si>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</si>
  <si>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</si>
  <si>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</si>
  <si>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</si>
  <si>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</si>
  <si>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</si>
  <si>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</si>
  <si>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</si>
  <si>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</si>
  <si>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</si>
  <si>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</si>
  <si>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</si>
  <si>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</si>
  <si>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</si>
  <si>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</si>
  <si>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</si>
  <si>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</si>
  <si>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</si>
  <si>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</si>
  <si>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</si>
  <si>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</si>
  <si>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</si>
  <si>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</si>
  <si>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</si>
  <si>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</si>
  <si>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</si>
  <si>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</si>
  <si>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</si>
  <si>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</si>
  <si>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</si>
  <si>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</si>
  <si>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</si>
  <si>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</si>
  <si>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</si>
  <si>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</si>
  <si>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</si>
  <si>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</si>
  <si>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</si>
  <si>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</si>
  <si>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</si>
  <si>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</si>
  <si>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</si>
  <si>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</si>
  <si>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</si>
  <si>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</si>
  <si>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</si>
  <si>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</si>
  <si>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</si>
  <si>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</si>
  <si>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</si>
  <si>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</si>
  <si>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</si>
  <si>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</si>
  <si>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</si>
  <si>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</si>
  <si>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</si>
  <si>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</si>
  <si>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</si>
  <si>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</si>
  <si>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</si>
  <si>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</si>
  <si>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</si>
  <si>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</si>
  <si>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</si>
  <si>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</si>
  <si>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</si>
  <si>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</si>
  <si>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</si>
  <si>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</si>
  <si>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</si>
  <si>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</si>
  <si>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</si>
  <si>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</si>
  <si>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</si>
  <si>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</si>
  <si>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</si>
  <si>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</si>
  <si>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</si>
  <si>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</si>
  <si>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</si>
  <si>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</si>
  <si>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</si>
  <si>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</si>
  <si>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</si>
  <si>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</si>
  <si>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</si>
  <si>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</si>
  <si>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</si>
  <si>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</si>
  <si>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</si>
  <si>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</si>
  <si>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</si>
  <si>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</si>
  <si>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</si>
  <si>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</si>
  <si>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</si>
  <si>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</si>
  <si>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</si>
  <si>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</si>
  <si>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</si>
  <si>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</si>
  <si>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</si>
  <si>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</si>
  <si>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</si>
  <si>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</si>
  <si>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</si>
  <si>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</si>
  <si>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</si>
  <si>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</si>
  <si>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</si>
  <si>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</si>
  <si>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</si>
  <si>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</si>
  <si>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</si>
  <si>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</si>
  <si>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</si>
  <si>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</si>
  <si>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</si>
  <si>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</si>
  <si>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</si>
  <si>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</si>
  <si>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</si>
  <si>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</si>
  <si>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</si>
  <si>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</si>
  <si>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</si>
  <si>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</si>
  <si>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</si>
  <si>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</si>
  <si>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</si>
  <si>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</si>
  <si>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</si>
  <si>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</si>
  <si>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</si>
  <si>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</si>
  <si>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</si>
  <si>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</si>
  <si>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</si>
  <si>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</si>
  <si>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</si>
  <si>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</si>
  <si>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</si>
  <si>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</si>
  <si>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</si>
  <si>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</si>
  <si>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</si>
  <si>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</si>
  <si>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</si>
  <si>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</si>
  <si>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</si>
  <si>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</si>
  <si>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</si>
  <si>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</si>
  <si>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</si>
  <si>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</si>
  <si>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</si>
  <si>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</si>
  <si>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</si>
  <si>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</si>
  <si>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</si>
  <si>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</si>
  <si>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</si>
  <si>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</si>
  <si>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</si>
  <si>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</si>
  <si>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</si>
  <si>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</si>
  <si>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</si>
  <si>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</si>
  <si>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</si>
  <si>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</si>
  <si>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</si>
  <si>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</si>
  <si>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</si>
  <si>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</si>
  <si>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</si>
  <si>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</si>
  <si>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</si>
  <si>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</si>
  <si>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</si>
  <si>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</si>
  <si>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</si>
  <si>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</si>
  <si>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</si>
  <si>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</si>
  <si>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</si>
  <si>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</si>
  <si>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</si>
  <si>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</si>
  <si>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</si>
  <si>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</si>
  <si>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</si>
  <si>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</si>
  <si>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</si>
  <si>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</si>
  <si>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</si>
  <si>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</si>
  <si>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</si>
  <si>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</si>
  <si>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</si>
  <si>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</si>
  <si>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</si>
  <si>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</si>
  <si>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</si>
  <si>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</si>
  <si>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</si>
  <si>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</si>
  <si>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</si>
  <si>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</si>
  <si>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</si>
  <si>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</si>
  <si>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</si>
  <si>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</si>
  <si>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</si>
  <si>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</si>
  <si>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</si>
  <si>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</si>
  <si>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</si>
  <si>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</si>
  <si>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</si>
  <si>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</si>
  <si>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</si>
  <si>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</si>
  <si>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</si>
  <si>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</si>
  <si>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</si>
  <si>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</si>
  <si>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</si>
  <si>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</si>
  <si>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</si>
  <si>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</si>
  <si>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</si>
  <si>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</si>
  <si>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</si>
  <si>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</si>
  <si>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</si>
  <si>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</si>
  <si>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</si>
  <si>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</si>
  <si>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</si>
  <si>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</si>
  <si>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</si>
  <si>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</si>
  <si>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</si>
  <si>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</si>
  <si>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</si>
  <si>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</si>
  <si>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</si>
  <si>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</si>
  <si>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</si>
  <si>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</si>
  <si>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</si>
  <si>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</si>
  <si>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</si>
  <si>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</si>
  <si>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</si>
  <si>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</si>
  <si>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</si>
  <si>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</si>
  <si>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</si>
  <si>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</si>
  <si>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</si>
  <si>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</si>
  <si>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</si>
  <si>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</si>
  <si>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</si>
  <si>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</si>
  <si>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</si>
  <si>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</si>
  <si>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</si>
  <si>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</si>
  <si>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</si>
  <si>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</si>
  <si>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</si>
  <si>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</si>
  <si>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</si>
  <si>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</si>
  <si>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</si>
  <si>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</si>
  <si>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</si>
  <si>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</si>
  <si>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</si>
  <si>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</si>
  <si>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</si>
  <si>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</si>
  <si>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</si>
  <si>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</si>
  <si>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</si>
  <si>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</si>
  <si>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</si>
  <si>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</si>
  <si>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</si>
  <si>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</si>
  <si>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</si>
  <si>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</si>
  <si>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</si>
  <si>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</si>
  <si>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</si>
  <si>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</si>
  <si>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</si>
  <si>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</si>
  <si>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</si>
  <si>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</si>
  <si>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</si>
  <si>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</si>
  <si>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</si>
  <si>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</si>
  <si>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</si>
  <si>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</si>
  <si>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</si>
  <si>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</si>
  <si>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</si>
  <si>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</si>
  <si>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</si>
  <si>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</si>
  <si>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</si>
  <si>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</si>
  <si>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</si>
  <si>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</si>
  <si>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</si>
  <si>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</si>
  <si>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</si>
  <si>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</si>
  <si>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</si>
  <si>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</si>
  <si>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</si>
  <si>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</si>
  <si>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</si>
  <si>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</si>
  <si>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</si>
  <si>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</si>
  <si>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</si>
  <si>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</si>
  <si>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</si>
  <si>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</si>
  <si>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</si>
  <si>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</si>
  <si>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</si>
  <si>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</si>
  <si>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</si>
  <si>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</si>
  <si>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</si>
  <si>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</si>
  <si>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</si>
  <si>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</si>
  <si>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</si>
  <si>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</si>
  <si>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</si>
  <si>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</si>
  <si>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</si>
  <si>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</si>
  <si>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</si>
  <si>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</si>
  <si>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</si>
  <si>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</si>
  <si>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</si>
  <si>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</si>
  <si>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</si>
  <si>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</si>
  <si>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</si>
  <si>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</si>
  <si>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</si>
  <si>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</si>
  <si>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</si>
  <si>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</si>
  <si>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</si>
  <si>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</si>
  <si>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</si>
  <si>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</si>
  <si>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</si>
  <si>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</si>
  <si>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</si>
  <si>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</si>
  <si>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</si>
  <si>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</si>
  <si>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</si>
  <si>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</si>
  <si>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</si>
  <si>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</si>
  <si>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</si>
  <si>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</si>
  <si>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</si>
  <si>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</si>
  <si>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</si>
  <si>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</si>
  <si>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</si>
  <si>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</si>
  <si>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</si>
  <si>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</si>
  <si>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</si>
  <si>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</si>
  <si>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</si>
  <si>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</si>
  <si>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</si>
  <si>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</si>
  <si>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</si>
  <si>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</si>
  <si>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</si>
  <si>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</si>
  <si>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</si>
  <si>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</si>
  <si>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</si>
  <si>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</si>
  <si>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</si>
  <si>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</si>
  <si>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</si>
  <si>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</si>
  <si>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</si>
  <si>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</si>
  <si>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</si>
  <si>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</si>
  <si>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</si>
  <si>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</si>
  <si>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</si>
  <si>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</si>
  <si>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</si>
  <si>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</si>
  <si>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</si>
  <si>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</si>
  <si>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</si>
  <si>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</si>
  <si>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</si>
  <si>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</si>
  <si>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</si>
  <si>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</si>
  <si>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</si>
  <si>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</si>
  <si>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</si>
  <si>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</si>
  <si>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</si>
  <si>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</si>
  <si>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</si>
  <si>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</si>
  <si>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</si>
  <si>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</si>
  <si>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</si>
  <si>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</si>
  <si>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</si>
  <si>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</si>
  <si>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</si>
  <si>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</si>
  <si>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</si>
  <si>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</si>
  <si>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</si>
  <si>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</si>
  <si>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</si>
  <si>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</si>
  <si>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</si>
  <si>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</si>
  <si>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</si>
  <si>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</si>
  <si>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</si>
  <si>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</si>
  <si>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</si>
  <si>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</si>
  <si>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</si>
  <si>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</si>
  <si>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</si>
  <si>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</si>
  <si>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</si>
  <si>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</si>
  <si>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</si>
  <si>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</si>
  <si>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</si>
  <si>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</si>
  <si>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</si>
  <si>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</si>
  <si>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</si>
  <si>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</si>
  <si>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</si>
  <si>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</si>
  <si>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</si>
  <si>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</si>
  <si>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</si>
  <si>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</si>
  <si>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</si>
  <si>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</si>
  <si>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</si>
  <si>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</si>
  <si>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</si>
  <si>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</si>
  <si>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</si>
  <si>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</si>
  <si>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</si>
  <si>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</si>
  <si>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</si>
  <si>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</si>
  <si>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</si>
  <si>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</si>
  <si>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</si>
  <si>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</si>
  <si>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</si>
  <si>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</si>
  <si>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</si>
  <si>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</si>
  <si>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</si>
  <si>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</si>
  <si>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</si>
  <si>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</si>
  <si>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</si>
  <si>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</si>
  <si>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</si>
  <si>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</si>
  <si>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</si>
  <si>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</si>
  <si>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</si>
  <si>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</si>
  <si>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</si>
  <si>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</si>
  <si>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</si>
  <si>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</si>
  <si>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</si>
  <si>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</si>
  <si>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</si>
  <si>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</si>
  <si>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</si>
  <si>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</si>
  <si>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</si>
  <si>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</si>
  <si>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</si>
  <si>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</si>
  <si>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</si>
  <si>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</si>
  <si>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</si>
  <si>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</si>
  <si>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</si>
  <si>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</si>
  <si>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</si>
  <si>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</si>
  <si>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</si>
  <si>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</si>
  <si>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</si>
  <si>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</si>
  <si>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</si>
  <si>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</si>
  <si>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</si>
  <si>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</si>
  <si>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</si>
  <si>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</si>
  <si>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</si>
  <si>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</si>
  <si>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</si>
  <si>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</si>
  <si>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</si>
  <si>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</si>
  <si>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</si>
  <si>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</si>
  <si>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</si>
  <si>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</si>
  <si>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</si>
  <si>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</si>
  <si>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</si>
  <si>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</si>
  <si>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</si>
  <si>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</si>
  <si>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</si>
  <si>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</si>
  <si>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</si>
  <si>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</si>
  <si>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</si>
  <si>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</si>
  <si>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</si>
  <si>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</si>
  <si>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</si>
  <si>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</si>
  <si>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</si>
  <si>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</si>
  <si>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</si>
  <si>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</si>
  <si>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</si>
  <si>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</si>
  <si>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</si>
  <si>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</si>
  <si>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</si>
  <si>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</si>
  <si>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</si>
  <si>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</si>
  <si>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</si>
  <si>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</si>
  <si>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</si>
  <si>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</si>
  <si>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</si>
  <si>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</si>
  <si>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</si>
  <si>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</si>
  <si>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</si>
  <si>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</si>
  <si>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</si>
  <si>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</si>
  <si>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</si>
  <si>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</si>
  <si>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</si>
  <si>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</si>
  <si>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</si>
  <si>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</si>
  <si>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</si>
  <si>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</si>
  <si>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</si>
  <si>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</si>
  <si>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</si>
  <si>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</si>
  <si>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</si>
  <si>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</si>
  <si>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</si>
  <si>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</si>
  <si>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</si>
  <si>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</si>
  <si>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</si>
  <si>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</si>
  <si>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</si>
  <si>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</si>
  <si>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</si>
  <si>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</si>
  <si>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</si>
  <si>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</si>
  <si>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</si>
  <si>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</si>
  <si>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</si>
  <si>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</si>
  <si>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</si>
  <si>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</si>
  <si>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</si>
  <si>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</si>
  <si>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</si>
  <si>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</si>
  <si>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</si>
  <si>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</si>
  <si>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</si>
  <si>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</si>
  <si>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</si>
  <si>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</si>
  <si>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</si>
  <si>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</si>
  <si>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</si>
  <si>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</si>
  <si>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</si>
  <si>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</si>
  <si>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</si>
  <si>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</si>
  <si>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</si>
  <si>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</si>
  <si>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</si>
  <si>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</si>
  <si>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</si>
  <si>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</si>
  <si>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</si>
  <si>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</si>
  <si>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</si>
  <si>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</si>
  <si>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</si>
  <si>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</si>
  <si>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</si>
  <si>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</si>
  <si>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</si>
  <si>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</si>
  <si>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</si>
  <si>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</si>
  <si>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</si>
  <si>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</si>
  <si>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</si>
  <si>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</si>
  <si>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</si>
  <si>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</si>
  <si>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</si>
  <si>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</si>
  <si>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</si>
  <si>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</si>
  <si>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</si>
  <si>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</si>
  <si>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</si>
  <si>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</si>
  <si>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</si>
  <si>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</si>
  <si>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</si>
  <si>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</si>
  <si>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</si>
  <si>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</si>
  <si>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</si>
  <si>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</si>
  <si>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</si>
  <si>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</si>
  <si>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</si>
  <si>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</si>
  <si>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</si>
  <si>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</si>
  <si>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</si>
  <si>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</si>
  <si>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</si>
  <si>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</si>
  <si>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</si>
  <si>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</si>
  <si>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</si>
  <si>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</si>
  <si>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</si>
  <si>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</si>
  <si>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</si>
  <si>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</si>
  <si>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</si>
  <si>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</si>
  <si>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</si>
  <si>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</si>
  <si>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</si>
  <si>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</si>
  <si>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</si>
  <si>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</si>
  <si>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</si>
  <si>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</si>
  <si>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</si>
  <si>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</si>
  <si>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</si>
  <si>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</si>
  <si>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</si>
  <si>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</si>
  <si>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</si>
  <si>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</si>
  <si>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</si>
  <si>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</si>
  <si>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</si>
  <si>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</si>
  <si>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</si>
  <si>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</si>
  <si>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</si>
  <si>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</si>
  <si>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</si>
  <si>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</si>
  <si>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</si>
  <si>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</si>
  <si>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</si>
  <si>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</si>
  <si>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</si>
  <si>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</si>
  <si>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</si>
  <si>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</si>
  <si>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</si>
  <si>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</si>
  <si>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</si>
  <si>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</si>
  <si>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</si>
  <si>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</si>
  <si>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</si>
  <si>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</si>
  <si>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</si>
  <si>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</si>
  <si>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</si>
  <si>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</si>
  <si>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</si>
  <si>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</si>
  <si>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</si>
  <si>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</si>
  <si>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</si>
  <si>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</si>
  <si>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</si>
  <si>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</si>
  <si>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</si>
  <si>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</si>
  <si>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</si>
  <si>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</si>
  <si>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</si>
  <si>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</si>
  <si>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</si>
  <si>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</si>
  <si>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</si>
  <si>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</si>
  <si>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</si>
  <si>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</si>
  <si>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</si>
  <si>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</si>
  <si>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</si>
  <si>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</si>
  <si>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</si>
  <si>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</si>
  <si>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</si>
  <si>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</si>
  <si>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</si>
  <si>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</si>
  <si>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</si>
  <si>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</si>
  <si>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</si>
  <si>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</si>
  <si>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</si>
  <si>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</si>
  <si>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</si>
  <si>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</si>
  <si>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</si>
  <si>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</si>
  <si>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</si>
  <si>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</si>
  <si>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</si>
  <si>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</si>
  <si>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</si>
  <si>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</si>
  <si>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</si>
  <si>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</si>
  <si>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</si>
  <si>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</si>
  <si>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</si>
  <si>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</si>
  <si>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</si>
  <si>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</si>
  <si>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</si>
  <si>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</si>
  <si>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</si>
  <si>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</si>
  <si>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</si>
  <si>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</si>
  <si>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</si>
  <si>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</si>
  <si>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</si>
  <si>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</si>
  <si>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</si>
  <si>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</si>
  <si>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</si>
  <si>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</si>
  <si>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</si>
  <si>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</si>
  <si>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</si>
  <si>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</si>
  <si>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</si>
  <si>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</si>
  <si>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</si>
  <si>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</si>
  <si>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</si>
  <si>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</si>
  <si>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</si>
  <si>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</si>
  <si>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</si>
  <si>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</si>
  <si>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</si>
  <si>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</si>
  <si>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</si>
  <si>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</si>
  <si>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</si>
  <si>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</si>
  <si>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</si>
  <si>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</si>
  <si>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</si>
  <si>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</si>
  <si>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</si>
  <si>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</si>
  <si>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</si>
  <si>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</si>
  <si>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</si>
  <si>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</si>
  <si>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</si>
  <si>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</si>
  <si>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</si>
  <si>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</si>
  <si>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</si>
  <si>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</si>
  <si>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</si>
  <si>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</si>
  <si>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</si>
  <si>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</si>
  <si>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</si>
  <si>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</si>
  <si>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</si>
  <si>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</si>
  <si>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</si>
  <si>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</si>
  <si>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</si>
  <si>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</si>
  <si>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</si>
  <si>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</si>
  <si>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</si>
  <si>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</si>
  <si>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</si>
  <si>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</si>
  <si>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</si>
  <si>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</si>
  <si>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</si>
  <si>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</si>
  <si>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</si>
  <si>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</si>
  <si>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</si>
  <si>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</si>
  <si>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</si>
  <si>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</si>
  <si>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</si>
  <si>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</si>
  <si>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</si>
  <si>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</si>
  <si>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</si>
  <si>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</si>
  <si>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</si>
  <si>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</si>
  <si>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</si>
  <si>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</si>
  <si>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</si>
  <si>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</si>
  <si>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</si>
  <si>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</si>
  <si>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</si>
  <si>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</si>
  <si>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</si>
  <si>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</si>
  <si>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</si>
  <si>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</si>
  <si>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</si>
  <si>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</si>
  <si>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</si>
  <si>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</si>
  <si>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</si>
  <si>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</si>
  <si>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</si>
  <si>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</si>
  <si>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</si>
  <si>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</si>
  <si>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</si>
  <si>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</si>
  <si>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</si>
  <si>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</si>
  <si>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</si>
  <si>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</si>
  <si>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</si>
  <si>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</si>
  <si>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</si>
  <si>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</si>
  <si>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</si>
  <si>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</si>
  <si>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</si>
  <si>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</si>
  <si>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</si>
  <si>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</si>
  <si>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</si>
  <si>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</si>
  <si>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</si>
  <si>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</si>
  <si>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</si>
  <si>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</si>
  <si>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</si>
  <si>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</si>
  <si>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</si>
  <si>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</si>
  <si>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</si>
  <si>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</si>
  <si>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</si>
  <si>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</si>
  <si>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</si>
  <si>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</si>
  <si>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</si>
  <si>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</si>
  <si>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</si>
  <si>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</si>
  <si>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</si>
  <si>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</si>
  <si>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</si>
  <si>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</si>
  <si>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</si>
  <si>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</si>
  <si>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</si>
  <si>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</si>
  <si>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</si>
  <si>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</si>
  <si>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</si>
  <si>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</si>
  <si>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</si>
  <si>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</si>
  <si>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</si>
  <si>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</si>
  <si>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</si>
  <si>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</si>
  <si>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</si>
  <si>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</si>
  <si>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</si>
  <si>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</si>
  <si>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</si>
  <si>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</si>
  <si>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</si>
  <si>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</si>
  <si>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</si>
  <si>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</si>
  <si>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</si>
  <si>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</si>
  <si>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</si>
  <si>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</si>
  <si>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</si>
  <si>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</si>
  <si>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</si>
  <si>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</si>
  <si>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</si>
  <si>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</si>
  <si>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</si>
  <si>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</si>
  <si>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</si>
  <si>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</si>
  <si>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</si>
  <si>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</si>
  <si>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</si>
  <si>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</si>
  <si>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</si>
  <si>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</si>
  <si>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</si>
  <si>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</si>
  <si>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</si>
  <si>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</si>
  <si>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</si>
  <si>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</si>
  <si>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</si>
  <si>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</si>
  <si>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</si>
  <si>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</si>
  <si>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</si>
  <si>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</si>
  <si>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</si>
  <si>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</si>
  <si>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</si>
  <si>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</si>
  <si>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</si>
  <si>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</si>
  <si>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</si>
  <si>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</si>
  <si>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</si>
  <si>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</si>
  <si>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</si>
  <si>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</si>
  <si>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</si>
  <si>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</si>
  <si>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</si>
  <si>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</si>
  <si>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</si>
  <si>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</si>
  <si>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</si>
  <si>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</si>
  <si>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</si>
  <si>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</si>
  <si>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</si>
  <si>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</si>
  <si>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</si>
  <si>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</si>
  <si>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</si>
  <si>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</si>
  <si>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</si>
  <si>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</si>
  <si>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</si>
  <si>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</si>
  <si>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</si>
  <si>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</si>
  <si>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</si>
  <si>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</si>
  <si>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</si>
  <si>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</si>
  <si>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</si>
  <si>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</si>
  <si>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</si>
  <si>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</si>
  <si>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</si>
  <si>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</si>
  <si>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</si>
  <si>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</si>
  <si>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</si>
  <si>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</si>
  <si>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</si>
  <si>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</si>
  <si>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</si>
  <si>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</si>
  <si>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</si>
  <si>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</si>
  <si>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</si>
  <si>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</si>
  <si>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</si>
  <si>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</si>
  <si>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</si>
  <si>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</si>
  <si>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</si>
  <si>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</si>
  <si>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</si>
  <si>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</si>
  <si>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</si>
  <si>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</si>
  <si>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</si>
  <si>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</si>
  <si>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</si>
  <si>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</si>
  <si>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</si>
  <si>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</si>
  <si>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</si>
  <si>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</si>
  <si>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</si>
  <si>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</si>
  <si>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</si>
  <si>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</si>
  <si>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</si>
  <si>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</si>
  <si>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</si>
  <si>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</si>
  <si>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</si>
  <si>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</si>
  <si>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</si>
  <si>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</si>
  <si>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</si>
  <si>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</si>
  <si>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</si>
  <si>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</si>
  <si>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</si>
  <si>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</si>
  <si>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</si>
  <si>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</si>
  <si>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</si>
  <si>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</si>
  <si>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</si>
  <si>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</si>
  <si>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</si>
  <si>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</si>
  <si>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</si>
  <si>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</si>
  <si>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</si>
  <si>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</si>
  <si>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</si>
  <si>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</si>
  <si>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</si>
  <si>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</si>
  <si>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</si>
  <si>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</si>
  <si>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</si>
  <si>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</si>
  <si>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</si>
  <si>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</si>
  <si>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</si>
  <si>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</si>
  <si>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</si>
  <si>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</si>
  <si>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</si>
  <si>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</si>
  <si>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</si>
  <si>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</si>
  <si>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</si>
  <si>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</si>
  <si>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</si>
  <si>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</si>
  <si>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</si>
  <si>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</si>
  <si>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</si>
  <si>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</si>
  <si>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</si>
  <si>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</si>
  <si>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</si>
  <si>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</si>
  <si>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</si>
  <si>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</si>
  <si>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</si>
  <si>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</si>
  <si>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</si>
  <si>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</si>
  <si>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</si>
  <si>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</si>
  <si>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</si>
  <si>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</si>
  <si>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</si>
  <si>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</si>
  <si>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</si>
  <si>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</si>
  <si>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</si>
  <si>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</si>
  <si>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</si>
  <si>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</si>
  <si>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</si>
  <si>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</si>
  <si>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</si>
  <si>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</si>
  <si>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</si>
  <si>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</si>
  <si>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</si>
  <si>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</si>
  <si>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</si>
  <si>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</si>
  <si>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</si>
  <si>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</si>
  <si>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</si>
  <si>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</si>
  <si>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</si>
  <si>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</si>
  <si>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</si>
  <si>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</si>
  <si>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</si>
  <si>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</si>
  <si>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</si>
  <si>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</si>
  <si>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</si>
  <si>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</si>
  <si>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</si>
  <si>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</si>
  <si>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</si>
  <si>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</si>
  <si>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</si>
  <si>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</si>
  <si>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</si>
  <si>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</si>
  <si>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</si>
  <si>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</si>
  <si>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</si>
  <si>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</si>
  <si>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</si>
  <si>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</si>
  <si>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</si>
  <si>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</si>
  <si>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</si>
  <si>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</si>
  <si>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</si>
  <si>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</si>
  <si>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</si>
  <si>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</si>
  <si>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</si>
  <si>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</si>
  <si>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</si>
  <si>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</si>
  <si>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</si>
  <si>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</si>
  <si>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</si>
  <si>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</si>
  <si>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</si>
  <si>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</si>
  <si>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</si>
  <si>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</si>
  <si>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</si>
  <si>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</si>
  <si>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</si>
  <si>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</si>
  <si>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</si>
  <si>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</si>
  <si>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</si>
  <si>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</si>
  <si>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</si>
  <si>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</si>
  <si>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</si>
  <si>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</si>
  <si>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</si>
  <si>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</si>
  <si>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</si>
  <si>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</si>
  <si>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</si>
  <si>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</si>
  <si>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</si>
  <si>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</si>
  <si>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</si>
  <si>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</si>
  <si>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</si>
  <si>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</si>
  <si>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</si>
  <si>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</si>
  <si>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</si>
  <si>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</si>
  <si>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</si>
  <si>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</si>
  <si>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</si>
  <si>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</si>
  <si>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</si>
  <si>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</si>
  <si>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</si>
  <si>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</si>
  <si>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</si>
  <si>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</si>
  <si>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</si>
  <si>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</si>
  <si>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</si>
  <si>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</si>
  <si>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</si>
  <si>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</si>
  <si>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</si>
  <si>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</si>
  <si>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</si>
  <si>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</si>
  <si>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</si>
  <si>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</si>
  <si>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</si>
  <si>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</si>
  <si>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</si>
  <si>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</si>
  <si>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</si>
  <si>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</si>
  <si>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</si>
  <si>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</si>
  <si>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</si>
  <si>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</si>
  <si>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</si>
  <si>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</si>
  <si>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</si>
  <si>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</si>
  <si>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</si>
  <si>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</si>
  <si>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</si>
  <si>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</si>
  <si>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</si>
  <si>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</si>
  <si>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</si>
  <si>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</si>
  <si>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</si>
  <si>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</si>
  <si>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</si>
  <si>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</si>
  <si>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</si>
  <si>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</si>
  <si>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</si>
  <si>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</si>
  <si>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</si>
  <si>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</si>
  <si>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</si>
  <si>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</si>
  <si>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</si>
  <si>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</si>
  <si>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</si>
  <si>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</si>
  <si>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</si>
  <si>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</si>
  <si>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</si>
  <si>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</si>
  <si>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</si>
  <si>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</si>
  <si>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</si>
  <si>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</si>
  <si>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</si>
  <si>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</si>
  <si>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</si>
  <si>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</si>
  <si>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</si>
  <si>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</si>
  <si>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</si>
  <si>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</si>
  <si>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</si>
  <si>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</si>
  <si>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</si>
  <si>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</si>
  <si>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</si>
  <si>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</si>
  <si>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</si>
  <si>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</si>
  <si>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</si>
  <si>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</si>
  <si>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</si>
  <si>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</si>
  <si>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</si>
  <si>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</si>
  <si>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</si>
  <si>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</si>
  <si>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</si>
  <si>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</si>
  <si>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</si>
  <si>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</si>
  <si>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</si>
  <si>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</si>
  <si>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</si>
  <si>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</si>
  <si>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</si>
  <si>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</si>
  <si>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</si>
  <si>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</si>
  <si>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</si>
  <si>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</si>
  <si>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</si>
  <si>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</si>
  <si>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</si>
  <si>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</si>
  <si>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</si>
  <si>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</si>
  <si>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</si>
  <si>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</si>
  <si>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</si>
  <si>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</si>
  <si>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</si>
  <si>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</si>
  <si>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</si>
  <si>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</si>
  <si>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</si>
  <si>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</si>
  <si>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</si>
  <si>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</si>
  <si>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</si>
  <si>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</si>
  <si>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</si>
  <si>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</si>
  <si>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</si>
  <si>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</si>
  <si>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</si>
  <si>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</si>
  <si>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</si>
  <si>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</si>
  <si>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</si>
  <si>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</si>
  <si>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</si>
  <si>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</si>
  <si>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</si>
  <si>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</si>
  <si>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</si>
  <si>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</si>
  <si>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</si>
  <si>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</si>
  <si>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</si>
  <si>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</si>
  <si>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</si>
  <si>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</si>
  <si>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</si>
  <si>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</si>
  <si>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</si>
  <si>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</si>
  <si>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</si>
  <si>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</si>
  <si>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</si>
  <si>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</si>
  <si>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</si>
  <si>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</si>
  <si>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</si>
  <si>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</si>
  <si>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</si>
  <si>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</si>
  <si>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</si>
  <si>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</si>
  <si>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</si>
  <si>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</si>
  <si>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</si>
  <si>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</si>
  <si>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</si>
  <si>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</si>
  <si>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</si>
  <si>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</si>
  <si>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</si>
  <si>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</si>
  <si>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</si>
  <si>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</si>
  <si>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</si>
  <si>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</si>
  <si>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</si>
  <si>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</si>
  <si>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</si>
  <si>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</si>
  <si>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</si>
  <si>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</si>
  <si>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</si>
  <si>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</si>
  <si>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</si>
  <si>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</si>
  <si>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</si>
  <si>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</si>
  <si>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</si>
  <si>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</si>
  <si>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</si>
  <si>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</si>
  <si>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</si>
  <si>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</si>
  <si>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</si>
  <si>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</si>
  <si>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</si>
  <si>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</si>
  <si>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</si>
  <si>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</si>
  <si>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</si>
  <si>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</si>
  <si>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</si>
  <si>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</si>
  <si>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</si>
  <si>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</si>
  <si>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</si>
  <si>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</si>
  <si>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</si>
  <si>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</si>
  <si>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</si>
  <si>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</si>
  <si>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</si>
  <si>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</si>
  <si>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</si>
  <si>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</si>
  <si>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</si>
  <si>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</si>
  <si>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</si>
  <si>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</si>
  <si>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</si>
  <si>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</si>
  <si>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</si>
  <si>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</si>
  <si>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</si>
  <si>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</si>
  <si>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</si>
  <si>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</si>
  <si>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</si>
  <si>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</si>
  <si>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</si>
  <si>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</si>
  <si>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</si>
  <si>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</si>
  <si>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</si>
  <si>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</si>
  <si>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</si>
  <si>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</si>
  <si>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</si>
  <si>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</si>
  <si>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</si>
  <si>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</si>
  <si>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</si>
  <si>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</si>
  <si>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</si>
  <si>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</si>
  <si>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</si>
  <si>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</si>
  <si>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</si>
  <si>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</si>
  <si>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</si>
  <si>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</si>
  <si>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</si>
  <si>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</si>
  <si>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</si>
  <si>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</si>
  <si>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</si>
  <si>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</si>
  <si>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</si>
  <si>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</si>
  <si>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</si>
  <si>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</si>
  <si>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</si>
  <si>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</si>
  <si>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</si>
  <si>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</si>
  <si>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</si>
  <si>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</si>
  <si>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</si>
  <si>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</si>
  <si>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</si>
  <si>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</si>
  <si>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</si>
  <si>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</si>
  <si>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</si>
  <si>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</si>
  <si>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</si>
  <si>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</si>
  <si>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</si>
  <si>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</si>
  <si>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</si>
  <si>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</si>
  <si>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</si>
  <si>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</si>
  <si>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</si>
  <si>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</si>
  <si>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</si>
  <si>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</si>
  <si>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</si>
  <si>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</si>
  <si>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</si>
  <si>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</si>
  <si>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</si>
  <si>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</si>
  <si>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</si>
  <si>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</si>
  <si>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</si>
  <si>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</si>
  <si>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</si>
  <si>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</si>
  <si>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</si>
  <si>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</si>
  <si>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</si>
  <si>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</si>
  <si>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</si>
  <si>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</si>
  <si>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</si>
  <si>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</si>
  <si>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</si>
  <si>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</si>
  <si>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</si>
  <si>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</si>
  <si>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</si>
  <si>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</si>
  <si>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</si>
  <si>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</si>
  <si>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</si>
  <si>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</si>
  <si>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</si>
  <si>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</si>
  <si>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</si>
  <si>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</si>
  <si>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</si>
  <si>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</si>
  <si>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</si>
  <si>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</si>
  <si>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</si>
  <si>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</si>
  <si>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</si>
  <si>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</si>
  <si>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</si>
  <si>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</si>
  <si>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</si>
  <si>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</si>
  <si>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</si>
  <si>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</si>
  <si>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</si>
  <si>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</si>
  <si>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</si>
  <si>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</si>
  <si>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</si>
  <si>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</si>
  <si>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</si>
  <si>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</si>
  <si>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</si>
  <si>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</si>
  <si>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</si>
  <si>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</si>
  <si>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</si>
  <si>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</si>
  <si>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</si>
  <si>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</si>
  <si>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</si>
  <si>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</si>
  <si>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</si>
  <si>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</si>
  <si>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</si>
  <si>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</si>
  <si>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</si>
  <si>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</si>
  <si>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</si>
  <si>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</si>
  <si>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</si>
  <si>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</si>
  <si>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</si>
  <si>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</si>
  <si>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</si>
  <si>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</si>
  <si>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</si>
  <si>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</si>
  <si>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</si>
  <si>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</si>
  <si>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</si>
  <si>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</si>
  <si>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</si>
  <si>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</si>
  <si>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</si>
  <si>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</si>
  <si>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</si>
  <si>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</si>
  <si>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</si>
  <si>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</si>
  <si>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</si>
  <si>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</si>
  <si>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</si>
  <si>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</si>
  <si>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</si>
  <si>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</si>
  <si>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</si>
  <si>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</si>
  <si>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</si>
  <si>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</si>
  <si>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</si>
  <si>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</si>
  <si>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</si>
  <si>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</si>
  <si>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</si>
  <si>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</si>
  <si>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</si>
  <si>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</si>
  <si>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</si>
  <si>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</si>
  <si>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</si>
  <si>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</si>
  <si>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</si>
  <si>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</si>
  <si>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</si>
  <si>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</si>
  <si>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</si>
  <si>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</si>
  <si>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</si>
  <si>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</si>
  <si>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</si>
  <si>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</si>
  <si>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</si>
  <si>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</si>
  <si>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</si>
  <si>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</si>
  <si>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</si>
  <si>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</si>
  <si>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</si>
  <si>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</si>
  <si>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</si>
  <si>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</si>
  <si>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</si>
  <si>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</si>
  <si>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</si>
  <si>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</si>
  <si>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</si>
  <si>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</si>
  <si>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</si>
  <si>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</si>
  <si>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</si>
  <si>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</si>
  <si>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</si>
  <si>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</si>
  <si>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</si>
  <si>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</si>
  <si>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</si>
  <si>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</si>
  <si>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</si>
  <si>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</si>
  <si>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</si>
  <si>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</si>
  <si>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</si>
  <si>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</si>
  <si>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</si>
  <si>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</si>
  <si>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</si>
  <si>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</si>
  <si>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</si>
  <si>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</si>
  <si>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</si>
  <si>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</si>
  <si>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</si>
  <si>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</si>
  <si>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</si>
  <si>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</si>
  <si>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</si>
  <si>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</si>
  <si>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</si>
  <si>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</si>
  <si>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</si>
  <si>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</si>
  <si>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</si>
  <si>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</si>
  <si>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</si>
  <si>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</si>
  <si>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</si>
  <si>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</si>
  <si>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</si>
  <si>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</si>
  <si>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</si>
  <si>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</si>
  <si>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</si>
  <si>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</si>
  <si>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</si>
  <si>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</si>
  <si>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</si>
  <si>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</si>
  <si>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</si>
  <si>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</si>
  <si>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</si>
  <si>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</si>
  <si>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</si>
  <si>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</si>
  <si>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</si>
  <si>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</si>
  <si>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</si>
  <si>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</si>
  <si>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</si>
  <si>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</si>
  <si>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</si>
  <si>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</si>
  <si>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</si>
  <si>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</si>
  <si>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</si>
  <si>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</si>
  <si>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</si>
  <si>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</si>
  <si>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</si>
  <si>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</si>
  <si>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</si>
  <si>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</si>
  <si>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</si>
  <si>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</si>
  <si>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</si>
  <si>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</si>
  <si>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</si>
  <si>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</si>
  <si>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</si>
  <si>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</si>
  <si>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</si>
  <si>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</si>
  <si>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</si>
  <si>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</si>
  <si>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</si>
  <si>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</si>
  <si>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</si>
  <si>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</si>
  <si>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</si>
  <si>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</si>
  <si>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</si>
  <si>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</si>
  <si>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</si>
  <si>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</si>
  <si>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</si>
  <si>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</si>
  <si>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</si>
  <si>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</si>
  <si>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</si>
  <si>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</si>
  <si>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</si>
  <si>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</si>
  <si>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</si>
  <si>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</si>
  <si>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</si>
  <si>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</si>
  <si>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</si>
  <si>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</si>
  <si>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</si>
  <si>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</si>
  <si>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</si>
  <si>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</si>
  <si>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</si>
  <si>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</si>
  <si>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</si>
  <si>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</si>
  <si>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</si>
  <si>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</si>
  <si>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</si>
  <si>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</si>
  <si>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</si>
  <si>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</si>
  <si>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</si>
  <si>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</si>
  <si>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</si>
  <si>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</si>
  <si>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</si>
  <si>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</si>
  <si>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</si>
  <si>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</si>
  <si>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</si>
  <si>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</si>
  <si>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</si>
  <si>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</si>
  <si>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</si>
  <si>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</si>
  <si>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</si>
  <si>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</si>
  <si>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</si>
  <si>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</si>
  <si>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</si>
  <si>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</si>
  <si>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</si>
  <si>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</si>
  <si>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</si>
  <si>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</si>
  <si>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</si>
  <si>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</si>
  <si>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</si>
  <si>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</si>
  <si>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</si>
  <si>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</si>
  <si>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</si>
  <si>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</si>
  <si>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</si>
  <si>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</si>
  <si>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</si>
  <si>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</si>
  <si>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</si>
  <si>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</si>
  <si>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</si>
  <si>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</si>
  <si>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</si>
  <si>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</si>
  <si>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</si>
  <si>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</si>
  <si>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</si>
  <si>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</si>
  <si>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</si>
  <si>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</si>
  <si>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</si>
  <si>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</si>
  <si>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</si>
  <si>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</si>
  <si>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</si>
  <si>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</si>
  <si>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</si>
  <si>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</si>
  <si>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</si>
  <si>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</si>
  <si>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</si>
  <si>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</si>
  <si>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</si>
  <si>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</si>
  <si>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</si>
  <si>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</si>
  <si>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</si>
  <si>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</si>
  <si>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</si>
  <si>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</si>
  <si>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</si>
  <si>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</si>
  <si>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</si>
  <si>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</si>
  <si>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</si>
  <si>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</si>
  <si>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</si>
  <si>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</si>
  <si>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</si>
  <si>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</si>
  <si>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</si>
  <si>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</si>
  <si>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</si>
  <si>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</si>
  <si>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</si>
  <si>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</si>
  <si>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</si>
  <si>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</si>
  <si>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</si>
  <si>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</si>
  <si>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</si>
  <si>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</si>
  <si>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</si>
  <si>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</si>
  <si>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</si>
  <si>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</si>
  <si>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</si>
  <si>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</si>
  <si>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</si>
  <si>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</si>
  <si>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</si>
  <si>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</si>
  <si>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</si>
  <si>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</si>
  <si>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</si>
  <si>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</si>
  <si>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</si>
  <si>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</si>
  <si>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</si>
  <si>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</si>
  <si>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</si>
  <si>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</si>
  <si>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</si>
  <si>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</si>
  <si>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</si>
  <si>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</si>
  <si>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</si>
  <si>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</si>
  <si>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</si>
  <si>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</si>
  <si>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</si>
  <si>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</si>
  <si>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</si>
  <si>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</si>
  <si>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</si>
  <si>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</si>
  <si>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</si>
  <si>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</si>
  <si>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</si>
  <si>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</si>
  <si>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</si>
  <si>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</si>
  <si>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</si>
  <si>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</si>
  <si>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</si>
  <si>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</si>
  <si>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</si>
  <si>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</si>
  <si>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</si>
  <si>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</si>
  <si>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</si>
  <si>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</si>
  <si>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</si>
  <si>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</si>
  <si>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</si>
  <si>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</si>
  <si>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</si>
  <si>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</si>
  <si>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</si>
  <si>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</si>
  <si>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</si>
  <si>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</si>
  <si>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</si>
  <si>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</si>
  <si>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</si>
  <si>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</si>
  <si>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</si>
  <si>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</si>
  <si>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</si>
  <si>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</si>
  <si>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</si>
  <si>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</si>
  <si>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</si>
  <si>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</si>
  <si>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</si>
  <si>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</si>
  <si>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</si>
  <si>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</si>
  <si>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</si>
  <si>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</si>
  <si>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</si>
  <si>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</si>
  <si>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</si>
  <si>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</si>
  <si>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</si>
  <si>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</si>
  <si>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</si>
  <si>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</si>
  <si>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</si>
  <si>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</si>
  <si>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</si>
  <si>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</si>
  <si>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</si>
  <si>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</si>
  <si>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</si>
  <si>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</si>
  <si>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</si>
  <si>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</si>
  <si>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</si>
  <si>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</si>
  <si>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</si>
  <si>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</si>
  <si>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</si>
  <si>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</si>
  <si>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</si>
  <si>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</si>
  <si>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</si>
  <si>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</si>
  <si>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</si>
  <si>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</si>
  <si>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</si>
  <si>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</si>
  <si>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</si>
  <si>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</si>
  <si>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</si>
  <si>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</si>
  <si>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</si>
  <si>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</si>
  <si>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</si>
  <si>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</si>
  <si>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</si>
  <si>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</si>
  <si>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</si>
  <si>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</si>
  <si>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</si>
  <si>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</si>
  <si>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</si>
  <si>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</si>
  <si>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</si>
  <si>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</si>
  <si>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</si>
  <si>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</si>
  <si>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</si>
  <si>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</si>
  <si>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</si>
  <si>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</si>
  <si>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</si>
  <si>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</si>
  <si>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</si>
  <si>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</si>
  <si>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</si>
  <si>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</si>
  <si>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</si>
  <si>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</si>
  <si>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</si>
  <si>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</si>
  <si>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</si>
  <si>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</si>
  <si>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</si>
  <si>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</si>
  <si>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</si>
  <si>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</si>
  <si>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</si>
  <si>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</si>
  <si>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</si>
  <si>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</si>
  <si>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</si>
  <si>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</si>
  <si>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</si>
  <si>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</si>
  <si>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</si>
  <si>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</si>
  <si>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</si>
  <si>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</si>
  <si>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</si>
  <si>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</si>
  <si>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</si>
  <si>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</si>
  <si>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</si>
  <si>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</si>
  <si>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</si>
  <si>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</si>
  <si>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</si>
  <si>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</si>
  <si>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</si>
  <si>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</si>
  <si>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</si>
  <si>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</si>
  <si>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</si>
  <si>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</si>
  <si>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</si>
  <si>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</si>
  <si>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</si>
  <si>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</si>
  <si>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</si>
  <si>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</si>
  <si>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</si>
  <si>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</si>
  <si>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</si>
  <si>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</si>
  <si>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</si>
  <si>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</si>
  <si>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</si>
  <si>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</si>
  <si>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</si>
  <si>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</si>
  <si>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</si>
  <si>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</si>
  <si>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</si>
  <si>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</si>
  <si>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</si>
  <si>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</si>
  <si>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</si>
  <si>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</si>
  <si>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</si>
  <si>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</si>
  <si>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</si>
  <si>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</si>
  <si>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</si>
  <si>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</si>
  <si>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</si>
  <si>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</si>
  <si>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</si>
  <si>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</si>
  <si>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</si>
  <si>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</si>
  <si>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</si>
  <si>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</si>
  <si>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</si>
  <si>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</si>
  <si>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</si>
  <si>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</si>
  <si>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</si>
  <si>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</si>
  <si>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</si>
  <si>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</si>
  <si>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</si>
  <si>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</si>
  <si>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</si>
  <si>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</si>
  <si>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</si>
  <si>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</si>
  <si>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</si>
  <si>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</si>
  <si>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</si>
  <si>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</si>
  <si>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</si>
  <si>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</si>
  <si>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</si>
  <si>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</si>
  <si>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</si>
  <si>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</si>
  <si>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</si>
  <si>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</si>
  <si>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</si>
  <si>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</si>
  <si>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</si>
  <si>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</si>
  <si>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</si>
  <si>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</si>
  <si>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</si>
  <si>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</si>
  <si>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</si>
  <si>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</si>
  <si>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</si>
  <si>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</si>
  <si>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</si>
  <si>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</si>
  <si>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</si>
  <si>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</si>
  <si>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</si>
  <si>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</si>
  <si>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</si>
  <si>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</si>
  <si>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</si>
  <si>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</si>
  <si>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</si>
  <si>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</si>
  <si>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</si>
  <si>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</si>
  <si>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</si>
  <si>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</si>
  <si>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</si>
  <si>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</si>
  <si>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</si>
  <si>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</si>
  <si>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</si>
  <si>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</si>
  <si>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</si>
  <si>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</si>
  <si>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</si>
  <si>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</si>
  <si>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</si>
  <si>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</si>
  <si>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</si>
  <si>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</si>
  <si>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</si>
  <si>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</si>
  <si>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</si>
  <si>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</si>
  <si>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</si>
  <si>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</si>
  <si>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</si>
  <si>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</si>
  <si>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</si>
  <si>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</si>
  <si>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</si>
  <si>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</si>
  <si>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</si>
  <si>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</si>
  <si>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</si>
  <si>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</si>
  <si>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</si>
  <si>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</si>
  <si>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</si>
  <si>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</si>
  <si>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</si>
  <si>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</si>
  <si>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</si>
  <si>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</si>
  <si>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</si>
  <si>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</si>
  <si>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</si>
  <si>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</si>
  <si>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</si>
  <si>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</si>
  <si>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</si>
  <si>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</si>
  <si>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</si>
  <si>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</si>
  <si>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</si>
  <si>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</si>
  <si>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</si>
  <si>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</si>
  <si>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</si>
  <si>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</si>
  <si>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</si>
  <si>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</si>
  <si>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</si>
  <si>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</si>
  <si>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</si>
  <si>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</si>
  <si>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</si>
  <si>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</si>
  <si>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</si>
  <si>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</si>
  <si>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</si>
  <si>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</si>
  <si>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</si>
  <si>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</si>
  <si>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</si>
  <si>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</si>
  <si>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</si>
  <si>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</si>
  <si>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</si>
  <si>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</si>
  <si>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</si>
  <si>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</si>
  <si>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</si>
  <si>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</si>
  <si>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</si>
  <si>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</si>
  <si>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</si>
  <si>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</si>
  <si>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</si>
  <si>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</si>
  <si>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</si>
  <si>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</si>
  <si>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</si>
  <si>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</si>
  <si>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</si>
  <si>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</si>
  <si>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</si>
  <si>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</si>
  <si>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</si>
  <si>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</si>
  <si>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</si>
  <si>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</si>
  <si>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</si>
  <si>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</si>
  <si>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</si>
  <si>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</si>
  <si>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</si>
  <si>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</si>
  <si>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</si>
  <si>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</si>
  <si>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</si>
  <si>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</si>
  <si>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</si>
  <si>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</si>
  <si>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</si>
  <si>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</si>
  <si>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</si>
  <si>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</si>
  <si>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</si>
  <si>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</si>
  <si>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</si>
  <si>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</si>
  <si>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</si>
  <si>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</si>
  <si>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</si>
  <si>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</si>
  <si>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</si>
  <si>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</si>
  <si>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</si>
  <si>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</si>
  <si>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</si>
  <si>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</si>
  <si>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</si>
  <si>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</si>
  <si>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</si>
  <si>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</si>
  <si>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</si>
  <si>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</si>
  <si>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</si>
  <si>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</si>
  <si>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</si>
  <si>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</si>
  <si>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</si>
  <si>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</si>
  <si>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</si>
  <si>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</si>
  <si>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</si>
  <si>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</si>
  <si>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</si>
  <si>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</si>
  <si>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</si>
  <si>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</si>
  <si>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</si>
  <si>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</si>
  <si>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</si>
  <si>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</si>
  <si>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</si>
  <si>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</si>
  <si>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</si>
  <si>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</si>
  <si>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</si>
  <si>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</si>
  <si>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</si>
  <si>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</si>
  <si>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</si>
  <si>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</si>
  <si>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</si>
  <si>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</si>
  <si>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</si>
  <si>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</si>
  <si>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</si>
  <si>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</si>
  <si>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</si>
  <si>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</si>
  <si>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</si>
  <si>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</si>
  <si>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</si>
  <si>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</si>
  <si>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</si>
  <si>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</si>
  <si>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</si>
  <si>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</si>
  <si>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</si>
  <si>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</si>
  <si>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</si>
  <si>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</si>
  <si>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</si>
  <si>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</si>
  <si>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</si>
  <si>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</si>
  <si>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</si>
  <si>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</si>
  <si>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</si>
  <si>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</si>
  <si>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</si>
  <si>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</si>
  <si>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</si>
  <si>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</si>
  <si>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</si>
  <si>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</si>
  <si>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</si>
  <si>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</si>
  <si>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</si>
  <si>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</si>
  <si>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</si>
  <si>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</si>
  <si>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</si>
  <si>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</si>
  <si>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</si>
  <si>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</si>
  <si>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</si>
  <si>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</si>
  <si>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</si>
  <si>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</si>
  <si>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</si>
  <si>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</si>
  <si>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</si>
  <si>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</si>
  <si>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</si>
  <si>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</si>
  <si>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</si>
  <si>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</si>
  <si>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</si>
  <si>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</si>
  <si>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</si>
  <si>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</si>
  <si>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</si>
  <si>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</si>
  <si>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</si>
  <si>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</si>
  <si>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</si>
  <si>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</si>
  <si>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</si>
  <si>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</si>
  <si>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</si>
  <si>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</si>
  <si>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</si>
  <si>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</si>
  <si>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</si>
  <si>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</si>
  <si>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</si>
  <si>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</si>
  <si>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</si>
  <si>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</si>
  <si>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</si>
  <si>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</si>
  <si>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</si>
  <si>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</si>
  <si>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</si>
  <si>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</si>
  <si>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</si>
  <si>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</si>
  <si>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</si>
  <si>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</si>
  <si>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</si>
  <si>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</si>
  <si>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</si>
  <si>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</si>
  <si>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</si>
  <si>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</si>
  <si>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</si>
  <si>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</si>
  <si>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</si>
  <si>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</si>
  <si>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</si>
  <si>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</si>
  <si>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</si>
  <si>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</si>
  <si>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</si>
  <si>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</si>
  <si>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</si>
  <si>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</si>
  <si>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</si>
  <si>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</si>
  <si>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</si>
  <si>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</si>
  <si>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</si>
  <si>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</si>
  <si>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</si>
  <si>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</si>
  <si>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</si>
  <si>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</si>
  <si>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</si>
  <si>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</si>
  <si>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</si>
  <si>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</si>
  <si>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</si>
  <si>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</si>
  <si>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</si>
  <si>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</si>
  <si>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</si>
  <si>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</si>
  <si>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</si>
  <si>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</si>
  <si>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</si>
  <si>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</si>
  <si>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</si>
  <si>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</si>
  <si>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</si>
  <si>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</si>
  <si>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</si>
  <si>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</si>
  <si>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</si>
  <si>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</si>
  <si>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</si>
  <si>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</si>
  <si>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</si>
  <si>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</si>
  <si>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</si>
  <si>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</si>
  <si>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</si>
  <si>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</si>
  <si>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</si>
  <si>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</si>
  <si>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</si>
  <si>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</si>
  <si>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</si>
  <si>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</si>
  <si>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</si>
  <si>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</si>
  <si>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</si>
  <si>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</si>
  <si>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</si>
  <si>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</si>
  <si>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</si>
  <si>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</si>
  <si>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</si>
  <si>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</si>
  <si>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</si>
  <si>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</si>
  <si>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</si>
  <si>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</si>
  <si>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</si>
  <si>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</si>
  <si>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</si>
  <si>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</si>
  <si>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</si>
  <si>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</si>
  <si>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</si>
  <si>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</si>
  <si>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</si>
  <si>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</si>
  <si>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</si>
  <si>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</si>
  <si>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</si>
  <si>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</si>
  <si>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</si>
  <si>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</si>
  <si>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</si>
  <si>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</si>
  <si>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</si>
  <si>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</si>
  <si>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</si>
  <si>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</si>
  <si>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</si>
  <si>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</si>
  <si>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</si>
  <si>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</si>
  <si>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</si>
  <si>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</si>
  <si>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</si>
  <si>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</si>
  <si>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</si>
  <si>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</si>
  <si>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</si>
  <si>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</si>
  <si>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</si>
  <si>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</si>
  <si>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</si>
  <si>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</si>
  <si>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</si>
  <si>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</si>
  <si>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</si>
  <si>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</si>
  <si>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</si>
  <si>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</si>
  <si>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</si>
  <si>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</si>
  <si>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</si>
  <si>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</si>
  <si>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</si>
  <si>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</si>
  <si>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</si>
  <si>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</si>
  <si>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</si>
  <si>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</si>
  <si>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</si>
  <si>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</si>
  <si>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</si>
  <si>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</si>
  <si>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</si>
  <si>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</si>
  <si>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</si>
  <si>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</si>
  <si>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</si>
  <si>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</si>
  <si>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</si>
  <si>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</si>
  <si>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</si>
  <si>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</si>
  <si>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</si>
  <si>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</si>
  <si>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</si>
  <si>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</si>
  <si>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</si>
  <si>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</si>
  <si>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</si>
  <si>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</si>
  <si>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</si>
  <si>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</si>
  <si>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</si>
  <si>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</si>
  <si>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</si>
  <si>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</si>
  <si>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</si>
  <si>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</si>
  <si>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</si>
  <si>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</si>
  <si>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</si>
  <si>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</si>
  <si>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</si>
  <si>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</si>
  <si>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</si>
  <si>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</si>
  <si>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</si>
  <si>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</si>
  <si>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</si>
  <si>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</si>
  <si>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</si>
  <si>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</si>
  <si>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</si>
  <si>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</si>
  <si>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</si>
  <si>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</si>
  <si>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</si>
  <si>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</si>
  <si>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</si>
  <si>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</si>
  <si>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</si>
  <si>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</si>
  <si>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</si>
  <si>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</si>
  <si>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</si>
  <si>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</si>
  <si>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</si>
  <si>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</si>
  <si>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</si>
  <si>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</si>
  <si>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</si>
  <si>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</si>
  <si>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</si>
  <si>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</si>
  <si>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</si>
  <si>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</si>
  <si>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</si>
  <si>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</si>
  <si>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</si>
  <si>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</si>
  <si>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</si>
  <si>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</si>
  <si>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</si>
  <si>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</si>
  <si>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</si>
  <si>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</si>
  <si>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</si>
  <si>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</si>
  <si>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</si>
  <si>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</si>
  <si>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</si>
  <si>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</si>
  <si>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</si>
  <si>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</si>
  <si>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</si>
  <si>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</si>
  <si>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</si>
  <si>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</si>
  <si>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</si>
  <si>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</si>
  <si>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</si>
  <si>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</si>
  <si>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</si>
  <si>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</si>
  <si>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</si>
  <si>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</si>
  <si>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</si>
  <si>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</si>
  <si>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</si>
  <si>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</si>
  <si>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</si>
  <si>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</si>
  <si>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</si>
  <si>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</si>
  <si>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</si>
  <si>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</si>
  <si>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</si>
  <si>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</si>
  <si>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</si>
  <si>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</si>
  <si>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</si>
  <si>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</si>
  <si>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</si>
  <si>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</si>
  <si>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</si>
  <si>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</si>
  <si>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</si>
  <si>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</si>
  <si>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</si>
  <si>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</si>
  <si>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</si>
  <si>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</si>
  <si>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</si>
  <si>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</si>
  <si>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</si>
  <si>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</si>
  <si>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</si>
  <si>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</si>
  <si>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</si>
  <si>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</si>
  <si>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</si>
  <si>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</si>
  <si>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</si>
  <si>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</si>
  <si>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</si>
  <si>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</si>
  <si>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</si>
  <si>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</si>
  <si>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</si>
  <si>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</si>
  <si>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</si>
  <si>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</si>
  <si>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</si>
  <si>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</si>
  <si>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</si>
  <si>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</si>
  <si>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</si>
  <si>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</si>
  <si>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</si>
  <si>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</si>
  <si>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</si>
  <si>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</si>
  <si>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</si>
  <si>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</si>
  <si>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</si>
  <si>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</si>
  <si>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</si>
  <si>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</si>
  <si>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</si>
  <si>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</si>
  <si>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</si>
  <si>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</si>
  <si>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</si>
  <si>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</si>
  <si>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</si>
  <si>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</si>
  <si>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</si>
  <si>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</si>
  <si>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</si>
  <si>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</si>
  <si>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</si>
  <si>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</si>
  <si>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</si>
  <si>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</si>
  <si>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</si>
  <si>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</si>
  <si>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</si>
  <si>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</si>
  <si>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</si>
  <si>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</si>
  <si>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</si>
  <si>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</si>
  <si>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</si>
  <si>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</si>
  <si>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</si>
  <si>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</si>
  <si>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</si>
  <si>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</si>
  <si>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</si>
  <si>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</si>
  <si>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</si>
  <si>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</si>
  <si>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</si>
  <si>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</si>
  <si>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</si>
  <si>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</si>
  <si>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</si>
  <si>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</si>
  <si>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</si>
  <si>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</si>
  <si>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</si>
  <si>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</si>
  <si>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</si>
  <si>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</si>
  <si>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</si>
  <si>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</si>
  <si>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</si>
  <si>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</si>
  <si>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</si>
  <si>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</si>
  <si>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</si>
  <si>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</si>
  <si>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</si>
  <si>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</si>
  <si>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</si>
  <si>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</si>
  <si>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</si>
  <si>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</si>
  <si>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</si>
  <si>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</si>
  <si>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</si>
  <si>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</si>
  <si>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</si>
  <si>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</si>
  <si>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</si>
  <si>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</si>
  <si>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</si>
  <si>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</si>
  <si>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</si>
  <si>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</si>
  <si>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</si>
  <si>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</si>
  <si>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</si>
  <si>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</si>
  <si>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</si>
  <si>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</si>
  <si>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</si>
  <si>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</si>
  <si>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</si>
  <si>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</si>
  <si>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</si>
  <si>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</si>
  <si>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</si>
  <si>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</si>
  <si>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</si>
  <si>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</si>
  <si>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</si>
  <si>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</si>
  <si>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</si>
  <si>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</si>
  <si>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</si>
  <si>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</si>
  <si>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</si>
  <si>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</si>
  <si>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</si>
  <si>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</si>
  <si>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</si>
  <si>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</si>
  <si>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</si>
  <si>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</si>
  <si>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</si>
  <si>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</si>
  <si>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</si>
  <si>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</si>
  <si>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</si>
  <si>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</si>
  <si>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</si>
  <si>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</si>
  <si>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</si>
  <si>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</si>
  <si>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</si>
  <si>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</si>
  <si>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</si>
  <si>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</si>
  <si>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</si>
  <si>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</si>
  <si>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</si>
  <si>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</si>
  <si>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</si>
  <si>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</si>
  <si>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</si>
  <si>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</si>
  <si>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</si>
  <si>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</si>
  <si>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</si>
  <si>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</si>
  <si>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</si>
  <si>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</si>
  <si>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</si>
  <si>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</si>
  <si>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</si>
  <si>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</si>
  <si>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</si>
  <si>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</si>
  <si>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</si>
  <si>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</si>
  <si>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</si>
  <si>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</si>
  <si>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</si>
  <si>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</si>
  <si>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</si>
  <si>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</si>
  <si>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</si>
  <si>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</si>
  <si>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</si>
  <si>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</si>
  <si>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</si>
  <si>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</si>
  <si>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</si>
  <si>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</si>
  <si>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</si>
  <si>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</si>
  <si>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</si>
  <si>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</si>
  <si>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</si>
  <si>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</si>
  <si>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</si>
  <si>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</si>
  <si>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</si>
  <si>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</si>
  <si>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</si>
  <si>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</si>
  <si>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</si>
  <si>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</si>
  <si>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</si>
  <si>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</si>
  <si>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</si>
  <si>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</si>
  <si>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</si>
  <si>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</si>
  <si>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</si>
  <si>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</si>
  <si>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</si>
  <si>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</si>
  <si>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</si>
  <si>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</si>
  <si>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</si>
  <si>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</si>
  <si>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</si>
  <si>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</si>
  <si>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</si>
  <si>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</si>
  <si>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</si>
  <si>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</si>
  <si>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</si>
  <si>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</si>
  <si>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</si>
  <si>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</si>
  <si>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</si>
  <si>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</si>
  <si>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</si>
  <si>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</si>
  <si>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</si>
  <si>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</si>
  <si>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</si>
  <si>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</si>
  <si>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</si>
  <si>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</si>
  <si>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</si>
  <si>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</si>
  <si>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</si>
  <si>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</si>
  <si>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</si>
  <si>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</si>
  <si>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</si>
  <si>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</si>
  <si>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</si>
  <si>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</si>
  <si>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</si>
  <si>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</si>
  <si>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</si>
  <si>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</si>
  <si>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</si>
  <si>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</si>
  <si>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</si>
  <si>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</si>
  <si>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</si>
  <si>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</si>
  <si>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</si>
  <si>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</si>
  <si>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</si>
  <si>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</si>
  <si>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</si>
  <si>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</si>
  <si>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</si>
  <si>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</si>
  <si>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</si>
  <si>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</si>
  <si>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</si>
  <si>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</si>
  <si>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</si>
  <si>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</si>
  <si>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</si>
  <si>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</si>
  <si>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</si>
  <si>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</si>
  <si>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</si>
  <si>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</si>
  <si>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</si>
  <si>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</si>
  <si>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</si>
  <si>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</si>
  <si>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</si>
  <si>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</si>
  <si>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</si>
  <si>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</si>
  <si>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</si>
  <si>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</si>
  <si>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</si>
  <si>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</si>
  <si>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</si>
  <si>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</si>
  <si>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</si>
  <si>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</si>
  <si>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</si>
  <si>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</si>
  <si>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</si>
  <si>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</si>
  <si>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</si>
  <si>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</si>
  <si>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</si>
  <si>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</si>
  <si>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</si>
  <si>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</si>
  <si>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</si>
  <si>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</si>
  <si>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</si>
  <si>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</si>
  <si>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</si>
  <si>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</si>
  <si>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</si>
  <si>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</si>
  <si>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</si>
  <si>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</si>
  <si>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</si>
  <si>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</si>
  <si>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</si>
  <si>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</si>
  <si>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</si>
  <si>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</si>
  <si>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</si>
  <si>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</si>
  <si>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</si>
  <si>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</si>
  <si>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</si>
  <si>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</si>
  <si>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</si>
  <si>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</si>
  <si>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</si>
  <si>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</si>
  <si>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</si>
  <si>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</si>
  <si>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</si>
  <si>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</si>
  <si>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</si>
  <si>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</si>
  <si>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</si>
  <si>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</si>
  <si>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</si>
  <si>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</si>
  <si>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</si>
  <si>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</si>
  <si>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</si>
  <si>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</si>
  <si>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</si>
  <si>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</si>
  <si>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</si>
  <si>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</si>
  <si>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</si>
  <si>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</si>
  <si>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</si>
  <si>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</si>
  <si>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</si>
  <si>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</si>
  <si>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</si>
  <si>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</si>
  <si>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</si>
  <si>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</si>
  <si>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</si>
  <si>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</si>
  <si>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</si>
  <si>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</si>
  <si>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</si>
  <si>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</si>
  <si>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</si>
  <si>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</si>
  <si>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</si>
  <si>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</si>
  <si>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</si>
  <si>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</si>
  <si>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</si>
  <si>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</si>
  <si>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</si>
  <si>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</si>
  <si>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</si>
  <si>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</si>
  <si>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</si>
  <si>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</si>
  <si>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</si>
  <si>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</si>
  <si>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</si>
  <si>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</si>
  <si>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</si>
  <si>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</si>
  <si>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</si>
  <si>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</si>
  <si>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</si>
  <si>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</si>
  <si>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</si>
  <si>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</si>
  <si>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</si>
  <si>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</si>
  <si>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</si>
  <si>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</si>
  <si>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</si>
  <si>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</si>
  <si>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</si>
  <si>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</si>
  <si>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</si>
  <si>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</si>
  <si>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</si>
  <si>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</si>
  <si>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</si>
  <si>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</si>
  <si>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</si>
  <si>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</si>
  <si>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</si>
  <si>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</si>
  <si>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</si>
  <si>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</si>
  <si>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</si>
  <si>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</si>
  <si>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</si>
  <si>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</si>
  <si>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</si>
  <si>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</si>
  <si>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</si>
  <si>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</si>
  <si>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</si>
  <si>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</si>
  <si>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</si>
  <si>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</si>
  <si>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</si>
  <si>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</si>
  <si>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</si>
  <si>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</si>
  <si>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</si>
  <si>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</si>
  <si>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</si>
  <si>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</si>
  <si>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</si>
  <si>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</si>
  <si>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</si>
  <si>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</si>
  <si>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</si>
  <si>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</si>
  <si>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</si>
  <si>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</si>
  <si>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</si>
  <si>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</si>
  <si>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</si>
  <si>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</si>
  <si>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</si>
  <si>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</si>
  <si>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</si>
  <si>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</si>
  <si>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</si>
  <si>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</si>
  <si>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</si>
  <si>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</si>
  <si>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</si>
  <si>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</si>
  <si>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</si>
  <si>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</si>
  <si>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</si>
  <si>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</si>
  <si>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</si>
  <si>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</si>
  <si>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</si>
  <si>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</si>
  <si>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</si>
  <si>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</si>
  <si>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</si>
  <si>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</si>
  <si>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</si>
  <si>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</si>
  <si>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</si>
  <si>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</si>
  <si>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</si>
  <si>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</si>
  <si>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</si>
  <si>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</si>
  <si>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</si>
  <si>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</si>
  <si>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</si>
  <si>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</si>
  <si>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</si>
  <si>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</si>
  <si>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</si>
  <si>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</si>
  <si>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</si>
  <si>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</si>
  <si>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</si>
  <si>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</si>
  <si>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</si>
  <si>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</si>
  <si>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</si>
  <si>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</si>
  <si>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</si>
  <si>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</si>
  <si>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</si>
  <si>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</si>
  <si>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</si>
  <si>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</si>
  <si>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</si>
  <si>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</si>
  <si>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</si>
  <si>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</si>
  <si>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</si>
  <si>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</si>
  <si>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</si>
  <si>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</si>
  <si>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</si>
  <si>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</si>
  <si>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</si>
  <si>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</si>
  <si>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</si>
  <si>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</si>
  <si>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</si>
  <si>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</si>
  <si>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</si>
  <si>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</si>
  <si>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</si>
  <si>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</si>
  <si>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</si>
  <si>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</si>
  <si>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</si>
  <si>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</si>
  <si>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</si>
  <si>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</si>
  <si>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</si>
  <si>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</si>
  <si>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</si>
  <si>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</si>
  <si>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</si>
  <si>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</si>
  <si>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</si>
  <si>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</si>
  <si>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</si>
  <si>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</si>
  <si>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</si>
  <si>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</si>
  <si>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</si>
  <si>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</si>
  <si>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</si>
  <si>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</si>
  <si>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</si>
  <si>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</si>
  <si>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</si>
  <si>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</si>
  <si>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</si>
  <si>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</si>
  <si>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</si>
  <si>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</si>
  <si>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</si>
  <si>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</si>
  <si>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</si>
  <si>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</si>
  <si>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</si>
  <si>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</si>
  <si>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</si>
  <si>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</si>
  <si>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</si>
  <si>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</si>
  <si>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</si>
  <si>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</si>
  <si>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</si>
  <si>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</si>
  <si>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</si>
  <si>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</si>
  <si>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</si>
  <si>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</si>
  <si>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</si>
  <si>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</si>
  <si>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</si>
  <si>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</si>
  <si>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</si>
  <si>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</si>
  <si>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</si>
  <si>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</si>
  <si>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</si>
  <si>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</si>
  <si>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</si>
  <si>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</si>
  <si>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</si>
  <si>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</si>
  <si>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欧红伟</t>
  </si>
  <si>
    <t>崔锴</t>
  </si>
  <si>
    <t>上海浦东发展银行</t>
    <phoneticPr fontId="7" type="noConversion"/>
  </si>
  <si>
    <t>抵押</t>
  </si>
  <si>
    <t>房地产抵押价值</t>
  </si>
  <si>
    <t>北京市</t>
  </si>
  <si>
    <r>
      <rPr>
        <sz val="10"/>
        <color theme="9" tint="-0.249977111117893"/>
        <rFont val="宋体"/>
        <family val="3"/>
        <charset val="134"/>
      </rPr>
      <t>昌平区黄平路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号楼商业及地下车库用房</t>
    </r>
    <phoneticPr fontId="7" type="noConversion"/>
  </si>
  <si>
    <t>企业</t>
  </si>
  <si>
    <t>北京市泰华房地产开发集团有限公司</t>
    <phoneticPr fontId="7" type="noConversion"/>
  </si>
  <si>
    <t>是</t>
  </si>
  <si>
    <t>否</t>
  </si>
  <si>
    <t>复印件</t>
  </si>
  <si>
    <t>商业项目</t>
  </si>
  <si>
    <t>无</t>
  </si>
  <si>
    <t>现房</t>
  </si>
  <si>
    <t>通路</t>
  </si>
  <si>
    <t>通电</t>
  </si>
  <si>
    <t>通讯</t>
  </si>
  <si>
    <t>通上水</t>
  </si>
  <si>
    <t>通下水</t>
  </si>
  <si>
    <t>燃气</t>
  </si>
  <si>
    <t>平整</t>
  </si>
  <si>
    <t>1层</t>
  </si>
  <si>
    <t>2层</t>
  </si>
  <si>
    <t>3层</t>
  </si>
  <si>
    <t>4层</t>
  </si>
  <si>
    <t>-1层</t>
  </si>
  <si>
    <t>-1夹层</t>
  </si>
  <si>
    <t>-2层</t>
  </si>
  <si>
    <t>地上</t>
  </si>
  <si>
    <t>独立商业</t>
  </si>
  <si>
    <t>地下</t>
  </si>
  <si>
    <t>底商</t>
  </si>
  <si>
    <t>车库—商业</t>
  </si>
  <si>
    <t>商业</t>
    <phoneticPr fontId="8" type="noConversion"/>
  </si>
  <si>
    <t>车库</t>
    <phoneticPr fontId="8" type="noConversion"/>
  </si>
  <si>
    <t>建成</t>
    <phoneticPr fontId="4" type="noConversion"/>
  </si>
  <si>
    <t>直线</t>
    <phoneticPr fontId="4" type="noConversion"/>
  </si>
  <si>
    <t>观察</t>
    <phoneticPr fontId="4" type="noConversion"/>
  </si>
  <si>
    <t>成新度</t>
  </si>
  <si>
    <t>面积</t>
    <phoneticPr fontId="4" type="noConversion"/>
  </si>
  <si>
    <t>租金</t>
    <phoneticPr fontId="4" type="noConversion"/>
  </si>
  <si>
    <t>小计</t>
    <phoneticPr fontId="4" type="noConversion"/>
  </si>
  <si>
    <t>利息：取LPR加浮动点数</t>
  </si>
  <si>
    <t>押一</t>
  </si>
  <si>
    <t>钢混</t>
  </si>
  <si>
    <t>非生产用房</t>
  </si>
  <si>
    <t>收益法-商业</t>
  </si>
  <si>
    <t>收益法-商业</t>
    <phoneticPr fontId="17" type="noConversion"/>
  </si>
  <si>
    <t>收益法-车库</t>
  </si>
  <si>
    <t>收益法-车库</t>
    <phoneticPr fontId="17" type="noConversion"/>
  </si>
  <si>
    <t>去年</t>
    <phoneticPr fontId="9" type="noConversion"/>
  </si>
  <si>
    <t>不临65条商业街</t>
  </si>
  <si>
    <t>与级别开发程度不一致</t>
  </si>
  <si>
    <t>中心城区以外</t>
  </si>
  <si>
    <t>估价对象容积率</t>
  </si>
  <si>
    <t>较好</t>
  </si>
  <si>
    <t>较好</t>
    <phoneticPr fontId="41" type="noConversion"/>
  </si>
  <si>
    <t>一般</t>
  </si>
  <si>
    <t>一般</t>
    <phoneticPr fontId="25" type="noConversion"/>
  </si>
  <si>
    <t>一般</t>
    <phoneticPr fontId="41" type="noConversion"/>
  </si>
  <si>
    <t>较好</t>
    <phoneticPr fontId="41" type="noConversion"/>
  </si>
  <si>
    <t>七通</t>
  </si>
  <si>
    <t>七通</t>
    <phoneticPr fontId="25" type="noConversion"/>
  </si>
  <si>
    <t>好</t>
  </si>
  <si>
    <t>楼层修正</t>
  </si>
  <si>
    <t>未包含在土地购买价格中</t>
  </si>
  <si>
    <t>已包含在土地取得成本中</t>
  </si>
  <si>
    <t>成本法</t>
  </si>
  <si>
    <t>收益法（汇总）</t>
  </si>
  <si>
    <t>3#楼台账（2022.3.31）</t>
    <phoneticPr fontId="248" type="noConversion"/>
  </si>
  <si>
    <t>位置</t>
    <phoneticPr fontId="248" type="noConversion"/>
  </si>
  <si>
    <t>商户</t>
    <phoneticPr fontId="248" type="noConversion"/>
  </si>
  <si>
    <t>建筑面积</t>
    <phoneticPr fontId="248" type="noConversion"/>
  </si>
  <si>
    <t>计租面积</t>
    <phoneticPr fontId="248" type="noConversion"/>
  </si>
  <si>
    <t>租金单价</t>
    <phoneticPr fontId="248" type="noConversion"/>
  </si>
  <si>
    <t>物业费单价</t>
    <phoneticPr fontId="248" type="noConversion"/>
  </si>
  <si>
    <t>管理费单价</t>
    <phoneticPr fontId="248" type="noConversion"/>
  </si>
  <si>
    <t>租金</t>
    <phoneticPr fontId="248" type="noConversion"/>
  </si>
  <si>
    <t xml:space="preserve"> 物业费 </t>
    <phoneticPr fontId="248" type="noConversion"/>
  </si>
  <si>
    <t>管理费</t>
    <phoneticPr fontId="248" type="noConversion"/>
  </si>
  <si>
    <t xml:space="preserve"> 合计 </t>
    <phoneticPr fontId="248" type="noConversion"/>
  </si>
  <si>
    <t>备注</t>
    <phoneticPr fontId="248" type="noConversion"/>
  </si>
  <si>
    <t>截止2023.3.31
欠款金额</t>
    <phoneticPr fontId="248" type="noConversion"/>
  </si>
  <si>
    <t>地下一层至地上一层</t>
  </si>
  <si>
    <t>北京永辉超市有限公司</t>
    <phoneticPr fontId="248" type="noConversion"/>
  </si>
  <si>
    <t>物业费：5元/平/月
取暖费：43元/平/季</t>
  </si>
  <si>
    <t>B1-005、006、007、008、009</t>
  </si>
  <si>
    <t>北京爱兴美容美发中心/北京木北企业管理有限公司</t>
    <phoneticPr fontId="248" type="noConversion"/>
  </si>
  <si>
    <t>B1-016～018</t>
  </si>
  <si>
    <t>北京惠仁丽泽科技有限公司</t>
    <phoneticPr fontId="248" type="noConversion"/>
  </si>
  <si>
    <t>F1-A-001</t>
  </si>
  <si>
    <t>中国工商银行股份有限公司北京昌平支行</t>
    <phoneticPr fontId="248" type="noConversion"/>
  </si>
  <si>
    <t xml:space="preserve"> 2854829.25/年 </t>
    <phoneticPr fontId="248" type="noConversion"/>
  </si>
  <si>
    <t>F1-022</t>
  </si>
  <si>
    <t>北京麦当劳食品有限公司</t>
    <phoneticPr fontId="248" type="noConversion"/>
  </si>
  <si>
    <t xml:space="preserve"> 193146.25/季 </t>
    <phoneticPr fontId="248" type="noConversion"/>
  </si>
  <si>
    <t>180000元/年</t>
  </si>
  <si>
    <t>36789.75/季</t>
  </si>
  <si>
    <t>F1-B-023</t>
  </si>
  <si>
    <t>北京屈臣氏个人用品连锁商店有限公司</t>
    <phoneticPr fontId="248" type="noConversion"/>
  </si>
  <si>
    <t>F1-A-016</t>
  </si>
  <si>
    <t>北京吉野家快餐有限公司1</t>
    <phoneticPr fontId="248" type="noConversion"/>
  </si>
  <si>
    <t>40935元/年</t>
    <phoneticPr fontId="248" type="noConversion"/>
  </si>
  <si>
    <t>F1-A-014</t>
  </si>
  <si>
    <t>北京吉野家快餐有限公司2</t>
    <phoneticPr fontId="248" type="noConversion"/>
  </si>
  <si>
    <t>F1-A-017</t>
  </si>
  <si>
    <t>北京达世文餐饮管理有限公司</t>
    <phoneticPr fontId="248" type="noConversion"/>
  </si>
  <si>
    <t>F1-B-008</t>
  </si>
  <si>
    <t>北京富家鼎晟商贸有限公司</t>
    <phoneticPr fontId="248" type="noConversion"/>
  </si>
  <si>
    <t>F1-B-009</t>
  </si>
  <si>
    <t>北京富家鼎晟商贸有限公司1</t>
    <phoneticPr fontId="248" type="noConversion"/>
  </si>
  <si>
    <t>F1-A-009</t>
  </si>
  <si>
    <t>北京达美乐比萨饼有限公司</t>
    <phoneticPr fontId="248" type="noConversion"/>
  </si>
  <si>
    <t>F1-A-004</t>
  </si>
  <si>
    <t>北京亨通达科技有限公司</t>
    <phoneticPr fontId="248" type="noConversion"/>
  </si>
  <si>
    <t>F2-013</t>
  </si>
  <si>
    <t>北京冰洁丽人美容中心</t>
    <phoneticPr fontId="248" type="noConversion"/>
  </si>
  <si>
    <t>F2-A-008</t>
  </si>
  <si>
    <t>北京兴洋港式茶餐厅/北京大卫船长优选餐饮管理有限公司</t>
    <phoneticPr fontId="248" type="noConversion"/>
  </si>
  <si>
    <t>F2-A-015</t>
  </si>
  <si>
    <t>北京玖溪造型美发有限公司</t>
    <phoneticPr fontId="248" type="noConversion"/>
  </si>
  <si>
    <t>F2-A-016、017</t>
  </si>
  <si>
    <t>北京开心杰米教育咨询有限公司</t>
    <phoneticPr fontId="248" type="noConversion"/>
  </si>
  <si>
    <t>F2-C-006/F2-C-007</t>
  </si>
  <si>
    <t>北京润禾益智教育科技有限公司2</t>
    <phoneticPr fontId="248" type="noConversion"/>
  </si>
  <si>
    <t>F2-C-008、009、010、015</t>
  </si>
  <si>
    <t>北京乐友达康商贸有限公司2</t>
    <phoneticPr fontId="248" type="noConversion"/>
  </si>
  <si>
    <t>F3-001</t>
  </si>
  <si>
    <t>保利影业投资有限公司北京龙旗广场影城</t>
    <phoneticPr fontId="248" type="noConversion"/>
  </si>
  <si>
    <t xml:space="preserve"> 390万/年</t>
    <phoneticPr fontId="248" type="noConversion"/>
  </si>
  <si>
    <t>物业费：7.1平米/月
制冷费：16万/年</t>
    <phoneticPr fontId="248" type="noConversion"/>
  </si>
  <si>
    <t>F3-008</t>
  </si>
  <si>
    <t>北京多米乐餐饮有限公司</t>
    <phoneticPr fontId="248" type="noConversion"/>
  </si>
  <si>
    <t>3层及4层部分建筑物</t>
  </si>
  <si>
    <t>北京童言童话商业咨询有限公司</t>
    <phoneticPr fontId="248" type="noConversion"/>
  </si>
  <si>
    <t>F3-004</t>
  </si>
  <si>
    <t>北京新辣道餐饮管理有限公司</t>
    <phoneticPr fontId="248" type="noConversion"/>
  </si>
  <si>
    <t>F3-005-02</t>
  </si>
  <si>
    <t>北京隆旗豪尚豪牛排馆</t>
    <phoneticPr fontId="248" type="noConversion"/>
  </si>
  <si>
    <t>F3-005-01</t>
  </si>
  <si>
    <t>北京市新宏状元餐饮管理有限公司</t>
    <phoneticPr fontId="248" type="noConversion"/>
  </si>
  <si>
    <t>F3-005-04</t>
  </si>
  <si>
    <t>北京金渝仁和餐饮有限公司昌平第一分公司</t>
    <phoneticPr fontId="248" type="noConversion"/>
  </si>
  <si>
    <t>F3-005-03</t>
  </si>
  <si>
    <t>呷哺呷哺餐饮管理有限公司</t>
    <phoneticPr fontId="248" type="noConversion"/>
  </si>
  <si>
    <t>F3-011</t>
  </si>
  <si>
    <t>北京阿杜餐饮有限公司</t>
    <phoneticPr fontId="248" type="noConversion"/>
  </si>
  <si>
    <t>F3-002</t>
  </si>
  <si>
    <t>北京小潇湘府餐饮有限公司第二分公司</t>
    <phoneticPr fontId="248" type="noConversion"/>
  </si>
  <si>
    <t>F3-029</t>
  </si>
  <si>
    <t>北京云尊府餐饮有限责任公司回龙观店</t>
    <phoneticPr fontId="248" type="noConversion"/>
  </si>
  <si>
    <t>F3-015</t>
  </si>
  <si>
    <t>北京吾味浓情餐饮有限公司</t>
    <phoneticPr fontId="248" type="noConversion"/>
  </si>
  <si>
    <t>F4-001、002、003</t>
  </si>
  <si>
    <t>北京乐活康体体育发展有限公司</t>
    <phoneticPr fontId="248" type="noConversion"/>
  </si>
  <si>
    <t xml:space="preserve"> 561120/年</t>
    <phoneticPr fontId="248" type="noConversion"/>
  </si>
  <si>
    <t>132000/年</t>
    <phoneticPr fontId="248" type="noConversion"/>
  </si>
  <si>
    <t>106880/年</t>
    <phoneticPr fontId="248" type="noConversion"/>
  </si>
  <si>
    <t>三层F3-030</t>
  </si>
  <si>
    <t>北京麒艺果教育咨询有限公司</t>
    <phoneticPr fontId="248" type="noConversion"/>
  </si>
  <si>
    <t>F2-A-013、014、026</t>
  </si>
  <si>
    <t>北京艺海同声琴行有限公司2</t>
    <phoneticPr fontId="248" type="noConversion"/>
  </si>
  <si>
    <t>B1-002</t>
  </si>
  <si>
    <t>北京宏远常青印刷设计有限公司</t>
    <phoneticPr fontId="248" type="noConversion"/>
  </si>
  <si>
    <t>F3-006、F3-020</t>
  </si>
  <si>
    <t>海鸿达（北京）餐饮管理有限公司</t>
    <phoneticPr fontId="248" type="noConversion"/>
  </si>
  <si>
    <t>F3-007</t>
  </si>
  <si>
    <t>北京天天木屋餐饮管理有限公司</t>
    <phoneticPr fontId="248" type="noConversion"/>
  </si>
  <si>
    <t>F2-A-020/021</t>
  </si>
  <si>
    <t>北京长天万里科技有限公司</t>
    <phoneticPr fontId="248" type="noConversion"/>
  </si>
  <si>
    <t>F3-027</t>
  </si>
  <si>
    <t>北京江南谣餐饮有限公司/予源餐饮有限公司</t>
    <phoneticPr fontId="248" type="noConversion"/>
  </si>
  <si>
    <t>B1-010-014</t>
  </si>
  <si>
    <t>北京三王记餐饮管理有限公司（王圆圆）</t>
    <phoneticPr fontId="248" type="noConversion"/>
  </si>
  <si>
    <t>F2-B-004</t>
  </si>
  <si>
    <t>北京月薇薇商贸中心(ruichen.vivi)</t>
    <phoneticPr fontId="248" type="noConversion"/>
  </si>
  <si>
    <t>F2-B-025</t>
  </si>
  <si>
    <t>北京艾履信达商贸有限公司三店/北京常乐利达商贸有限公司</t>
    <phoneticPr fontId="248" type="noConversion"/>
  </si>
  <si>
    <t>F1-B-025</t>
  </si>
  <si>
    <t>北京兄弟博文眼镜店</t>
    <phoneticPr fontId="248" type="noConversion"/>
  </si>
  <si>
    <t>F1-B-016</t>
  </si>
  <si>
    <t>北京瑞爱特商贸有限公司</t>
  </si>
  <si>
    <t>F1-B-021/022</t>
  </si>
  <si>
    <t>北京金至缘商贸有限公司</t>
    <phoneticPr fontId="248" type="noConversion"/>
  </si>
  <si>
    <t>F2-A-018/019</t>
  </si>
  <si>
    <t>北京旗龙昌华商贸有限公司/北京德立隆商贸有限公司</t>
    <phoneticPr fontId="248" type="noConversion"/>
  </si>
  <si>
    <t>F2-A-023/024</t>
  </si>
  <si>
    <t>北京龙回昌旗商贸有限公司</t>
    <phoneticPr fontId="248" type="noConversion"/>
  </si>
  <si>
    <t>F1-B-012</t>
  </si>
  <si>
    <t>北京昌平爱启珠宝有限公司</t>
    <phoneticPr fontId="248" type="noConversion"/>
  </si>
  <si>
    <t>F2-A-035</t>
    <phoneticPr fontId="135" type="noConversion"/>
  </si>
  <si>
    <t>北京青丝秀发商贸有限公司</t>
    <phoneticPr fontId="248" type="noConversion"/>
  </si>
  <si>
    <t>F1-A-003</t>
  </si>
  <si>
    <t>赵艳华</t>
    <phoneticPr fontId="248" type="noConversion"/>
  </si>
  <si>
    <t>F1-B-014</t>
  </si>
  <si>
    <t>北京信宇通达商贸有限公司</t>
    <phoneticPr fontId="248" type="noConversion"/>
  </si>
  <si>
    <t>F2-B-011</t>
  </si>
  <si>
    <t>北京青山百世服装有限公司</t>
    <phoneticPr fontId="248" type="noConversion"/>
  </si>
  <si>
    <t>F1-A-010/011</t>
  </si>
  <si>
    <t>北京和信懋业商贸有限公司(TOP)</t>
    <phoneticPr fontId="248" type="noConversion"/>
  </si>
  <si>
    <t>F2-B-012</t>
  </si>
  <si>
    <t>江阴衣品汇服饰有限公司/海澜之家（北京）销售有限公司</t>
    <phoneticPr fontId="248" type="noConversion"/>
  </si>
  <si>
    <t>F2-B-017</t>
  </si>
  <si>
    <t>北京顺势通达科技有限公司</t>
    <phoneticPr fontId="248" type="noConversion"/>
  </si>
  <si>
    <t>F2-B-013</t>
  </si>
  <si>
    <t>北京常乐利达商贸有限公司（千佰莉）</t>
    <phoneticPr fontId="248" type="noConversion"/>
  </si>
  <si>
    <t>F2-B-021</t>
  </si>
  <si>
    <t>北京狮沃德科技有限公司</t>
    <phoneticPr fontId="248" type="noConversion"/>
  </si>
  <si>
    <t>F2-B-020</t>
  </si>
  <si>
    <t>于会忠（巴布豆）</t>
    <phoneticPr fontId="248" type="noConversion"/>
  </si>
  <si>
    <t>F1-A-012/013</t>
  </si>
  <si>
    <t>北京热风时尚贸易有限公司</t>
    <phoneticPr fontId="248" type="noConversion"/>
  </si>
  <si>
    <t>F2-B-008</t>
  </si>
  <si>
    <t>北京财瑞盛世商贸有限公司/北京丽人天商贸中心</t>
    <phoneticPr fontId="248" type="noConversion"/>
  </si>
  <si>
    <t>F1-B-003</t>
  </si>
  <si>
    <t>北京首铭科贸有限公司</t>
    <phoneticPr fontId="248" type="noConversion"/>
  </si>
  <si>
    <t>F2-B-022</t>
  </si>
  <si>
    <t>东利汇（北京）商贸有限公司</t>
    <phoneticPr fontId="248" type="noConversion"/>
  </si>
  <si>
    <t>F1-A-008</t>
  </si>
  <si>
    <t>北京梦想蜂连锁商业有限公司</t>
    <phoneticPr fontId="248" type="noConversion"/>
  </si>
  <si>
    <t>9555/月</t>
  </si>
  <si>
    <t>2100/月</t>
    <phoneticPr fontId="248" type="noConversion"/>
  </si>
  <si>
    <t>4095/月</t>
    <phoneticPr fontId="248" type="noConversion"/>
  </si>
  <si>
    <t>F2-B-023</t>
  </si>
  <si>
    <t>北京尚姿芳华商贸有限公司</t>
    <phoneticPr fontId="248" type="noConversion"/>
  </si>
  <si>
    <t>F1-B-010</t>
  </si>
  <si>
    <t>北京周大福珠宝金行有限公司</t>
    <phoneticPr fontId="248" type="noConversion"/>
  </si>
  <si>
    <t>B1-003/004</t>
  </si>
  <si>
    <t>北京柏思芊美容养生有限公司</t>
    <phoneticPr fontId="248" type="noConversion"/>
  </si>
  <si>
    <t>F1-B-017</t>
  </si>
  <si>
    <t>杨婷/秦雪迎</t>
    <phoneticPr fontId="248" type="noConversion"/>
  </si>
  <si>
    <t>F1-A-005</t>
  </si>
  <si>
    <t>拼铂（北京）科贸有限公司</t>
    <phoneticPr fontId="248" type="noConversion"/>
  </si>
  <si>
    <t>B1-015</t>
  </si>
  <si>
    <t>北京惠仁丽泽科技有限公司B1-015</t>
    <phoneticPr fontId="248" type="noConversion"/>
  </si>
  <si>
    <t>F1-B-005</t>
  </si>
  <si>
    <t>卢武</t>
    <phoneticPr fontId="248" type="noConversion"/>
  </si>
  <si>
    <t>F2-B-001</t>
  </si>
  <si>
    <t>吴琼/美姿链（北京）科技有限公司</t>
    <phoneticPr fontId="248" type="noConversion"/>
  </si>
  <si>
    <t>F1-B-006</t>
  </si>
  <si>
    <t>北京松昌龙服饰有限公司/北京松松拾柒林服饰有限公司</t>
    <phoneticPr fontId="248" type="noConversion"/>
  </si>
  <si>
    <t>F1-D-001</t>
  </si>
  <si>
    <t>北京凑合一口餐饮管理有限公司</t>
    <phoneticPr fontId="248" type="noConversion"/>
  </si>
  <si>
    <t>F1-B-007</t>
  </si>
  <si>
    <t>张玲（多乐之日）/北京云启阁餐饮管理有限公司</t>
    <phoneticPr fontId="248" type="noConversion"/>
  </si>
  <si>
    <t>F2-B-002</t>
  </si>
  <si>
    <t>北京伊穆风商贸有限公司</t>
    <phoneticPr fontId="248" type="noConversion"/>
  </si>
  <si>
    <t>F2-C-012</t>
  </si>
  <si>
    <t>北京芯果科技有限公司</t>
    <phoneticPr fontId="248" type="noConversion"/>
  </si>
  <si>
    <t>F2-B-003</t>
  </si>
  <si>
    <t>北京恒元铭成商贸有限公司（探路者）/北京龙旗探路百货店</t>
    <phoneticPr fontId="248" type="noConversion"/>
  </si>
  <si>
    <t>F1-D-005</t>
  </si>
  <si>
    <t>牛牛欢乐（北京）商贸有限公司</t>
    <phoneticPr fontId="248" type="noConversion"/>
  </si>
  <si>
    <t>F2-C-001/002/003</t>
  </si>
  <si>
    <t>上海蓝草家居有限公司</t>
    <phoneticPr fontId="248" type="noConversion"/>
  </si>
  <si>
    <t>F2-B-018/019</t>
  </si>
  <si>
    <t>北京瑞雪天兆商贸有限公司018/019</t>
    <phoneticPr fontId="248" type="noConversion"/>
  </si>
  <si>
    <t>F1-B-001</t>
  </si>
  <si>
    <t>绫致时装（天津）有限公司-JJ</t>
    <phoneticPr fontId="248" type="noConversion"/>
  </si>
  <si>
    <t xml:space="preserve"> 13%/17% </t>
  </si>
  <si>
    <t>F1-B-002</t>
  </si>
  <si>
    <t>绫致时装（天津）有限公司-VM</t>
    <phoneticPr fontId="248" type="noConversion"/>
  </si>
  <si>
    <t xml:space="preserve"> 13%/9% </t>
  </si>
  <si>
    <t>F1-A-006/007</t>
  </si>
  <si>
    <t>绫致时装（天津）有限公司-ONLY</t>
    <phoneticPr fontId="248" type="noConversion"/>
  </si>
  <si>
    <t>F1-B-028</t>
  </si>
  <si>
    <t>北京捷宏通科技发展有限责任公司</t>
    <phoneticPr fontId="248" type="noConversion"/>
  </si>
  <si>
    <t>F2-B-015</t>
  </si>
  <si>
    <t>北京毅得东海商贸有限责任公司</t>
    <phoneticPr fontId="248" type="noConversion"/>
  </si>
  <si>
    <t>F3-009</t>
  </si>
  <si>
    <t>北京博凡餐饮有限公司</t>
    <phoneticPr fontId="248" type="noConversion"/>
  </si>
  <si>
    <t>F3-009‘</t>
  </si>
  <si>
    <t>北京龙旗有渔餐饮有限公司</t>
    <phoneticPr fontId="248" type="noConversion"/>
  </si>
  <si>
    <t>F2-B-005</t>
  </si>
  <si>
    <t>北京展乐体育用品有限公司</t>
    <phoneticPr fontId="248" type="noConversion"/>
  </si>
  <si>
    <t>F3-021</t>
  </si>
  <si>
    <t>北京励创体育发展有限公司</t>
    <phoneticPr fontId="248" type="noConversion"/>
  </si>
  <si>
    <t>F1-B-024</t>
  </si>
  <si>
    <t>徐春荣</t>
    <phoneticPr fontId="248" type="noConversion"/>
  </si>
  <si>
    <t>F3-003</t>
  </si>
  <si>
    <t>韩超</t>
    <phoneticPr fontId="248" type="noConversion"/>
  </si>
  <si>
    <t>F3-026</t>
  </si>
  <si>
    <t>北京遇见小面餐饮管理有限公司</t>
    <phoneticPr fontId="248" type="noConversion"/>
  </si>
  <si>
    <t>F2-B-010</t>
  </si>
  <si>
    <t>北京吉兴成服装科贸有限责任公司</t>
    <phoneticPr fontId="248" type="noConversion"/>
  </si>
  <si>
    <t>F3-019</t>
  </si>
  <si>
    <t>北京君湛餐饮管理有限公司</t>
    <phoneticPr fontId="248" type="noConversion"/>
  </si>
  <si>
    <t>F1-B-011</t>
  </si>
  <si>
    <t>北京瑞幸咖啡有限公司</t>
    <phoneticPr fontId="248" type="noConversion"/>
  </si>
  <si>
    <t>F2-B-006</t>
  </si>
  <si>
    <t>北京昌洪永泰商贸有限公司2层</t>
    <phoneticPr fontId="248" type="noConversion"/>
  </si>
  <si>
    <t>F2-A-030</t>
  </si>
  <si>
    <t>王雪梅/爱阅宝（北京）科技有限公司龙旗分公司（公益图书）</t>
    <phoneticPr fontId="248" type="noConversion"/>
  </si>
  <si>
    <t>F2-A-005/006</t>
  </si>
  <si>
    <t>北京腾越未来科技有限公司/北京爱记艺文化科技有限公司</t>
  </si>
  <si>
    <t>F2-A-009</t>
  </si>
  <si>
    <t>王鸿业/北京环途体育文化有限公司</t>
  </si>
  <si>
    <t>F2-A-011</t>
  </si>
  <si>
    <t>北京北方山水文化有限公司</t>
  </si>
  <si>
    <t>F2-A-012</t>
  </si>
  <si>
    <t>北京阿莫氏科技开发有限公司</t>
  </si>
  <si>
    <t>F2-B-007</t>
  </si>
  <si>
    <t>北京希小白科技有限公司</t>
  </si>
  <si>
    <t>F2-B-014</t>
  </si>
  <si>
    <t>北京哎哎吖吖服装商贸有限公司</t>
  </si>
  <si>
    <t>F3-012</t>
  </si>
  <si>
    <t>陈晓霞/北京味甄美餐饮有限公司</t>
  </si>
  <si>
    <t>F1-A-002</t>
  </si>
  <si>
    <t>北京丞吉食品有限公司</t>
  </si>
  <si>
    <t>2023-6-1起租</t>
    <phoneticPr fontId="248" type="noConversion"/>
  </si>
  <si>
    <t>F2-A-001、002、003</t>
  </si>
  <si>
    <t>严辉云</t>
  </si>
  <si>
    <t>2023-6-20起租</t>
    <phoneticPr fontId="248" type="noConversion"/>
  </si>
  <si>
    <t>F2-A-022</t>
  </si>
  <si>
    <t>丁庆兵</t>
  </si>
  <si>
    <t>2023-5-1起租</t>
    <phoneticPr fontId="248" type="noConversion"/>
  </si>
  <si>
    <t>F2-B-009/016</t>
  </si>
  <si>
    <t>北京丽人天商贸中心（巴拉巴拉）</t>
  </si>
  <si>
    <t>F3-022</t>
  </si>
  <si>
    <t>陈军</t>
  </si>
  <si>
    <t>综合</t>
    <phoneticPr fontId="4" type="noConversion"/>
  </si>
  <si>
    <t>系数</t>
    <phoneticPr fontId="4" type="noConversion"/>
  </si>
  <si>
    <t>1层</t>
    <phoneticPr fontId="135" type="noConversion"/>
  </si>
  <si>
    <t>总价</t>
  </si>
  <si>
    <t>地块名称</t>
  </si>
  <si>
    <t>区县</t>
  </si>
  <si>
    <t>板块</t>
  </si>
  <si>
    <t>土地位置</t>
  </si>
  <si>
    <t>用地性质</t>
  </si>
  <si>
    <t>建设用地面积(㎡)</t>
  </si>
  <si>
    <t>规划建筑面积(㎡)</t>
  </si>
  <si>
    <t>容积率</t>
  </si>
  <si>
    <t>详细规划</t>
  </si>
  <si>
    <t>成交日期</t>
  </si>
  <si>
    <t>公告编号</t>
  </si>
  <si>
    <t>成交状态</t>
  </si>
  <si>
    <t>受让单位</t>
  </si>
  <si>
    <t>拿地企业</t>
  </si>
  <si>
    <t>企业性质</t>
  </si>
  <si>
    <t>成交价(万元)</t>
  </si>
  <si>
    <t>成交每亩价(万元/亩)</t>
  </si>
  <si>
    <t>成交楼面价(元/㎡)</t>
  </si>
  <si>
    <t>溢价率(%)</t>
  </si>
  <si>
    <t>出让年限(年)</t>
  </si>
  <si>
    <t>北京市海淀区西北旺镇永丰产业基地(新)HD00-0403-009地块F3其他类多功能用地</t>
  </si>
  <si>
    <t xml:space="preserve"> 海淀区</t>
  </si>
  <si>
    <t xml:space="preserve"> 温泉</t>
  </si>
  <si>
    <t xml:space="preserve"> 海淀区永丰产业基地</t>
  </si>
  <si>
    <t xml:space="preserve"> 商业/办公用地</t>
  </si>
  <si>
    <t xml:space="preserve"> F3其他类多功能用地</t>
  </si>
  <si>
    <t xml:space="preserve"> --</t>
  </si>
  <si>
    <t xml:space="preserve"> 京土储挂(海)[2022]063号</t>
  </si>
  <si>
    <t xml:space="preserve"> 已成交</t>
  </si>
  <si>
    <t xml:space="preserve"> 北京永丰数字融汇科技有限责任公司  </t>
  </si>
  <si>
    <t xml:space="preserve"> 北京实创科技园</t>
  </si>
  <si>
    <t xml:space="preserve"> 地方国有企业</t>
  </si>
  <si>
    <t xml:space="preserve"> 商业40年办公50年</t>
  </si>
  <si>
    <t>北京市海淀区西北旺镇永丰产业基地(新)HD00-0403-001地块F3其他类多功能用地</t>
  </si>
  <si>
    <t xml:space="preserve"> 京土储挂(海)[2022]062号</t>
  </si>
  <si>
    <t xml:space="preserve"> 北京永丰数字先行科技有限责任公司  </t>
  </si>
  <si>
    <t>北京市海淀区西北旺镇永丰产业基地(新)HD00-0403-024地块F3其他类多功能用地</t>
  </si>
  <si>
    <t xml:space="preserve"> 海淀区永丰产业基地(新)一级开发组团J地块内</t>
  </si>
  <si>
    <t xml:space="preserve"> 京土整储挂(海)[2021] 082号</t>
  </si>
  <si>
    <t xml:space="preserve"> 北京永丰数字共享科技有限责任公司  </t>
  </si>
  <si>
    <t xml:space="preserve"> 商业40年,办公50年</t>
  </si>
  <si>
    <t>北京市海淀区西北旺镇永丰产业基地(新)HD00-0403-011地块F3其他类多功能用地</t>
  </si>
  <si>
    <t xml:space="preserve"> 京土整储挂(海)[2021] 081号</t>
  </si>
  <si>
    <t xml:space="preserve"> 北京永丰数字融合科技有限责任公司  </t>
  </si>
  <si>
    <t>北京市海淀区西北旺镇永丰产业基地(新)HD00-0403-003地块F3其他类多功能用地</t>
  </si>
  <si>
    <t xml:space="preserve"> 京土整储挂(海)[2021] 080号</t>
  </si>
  <si>
    <t xml:space="preserve"> 北京永丰数字先导科技有限责任公司  </t>
  </si>
  <si>
    <t>北京市海淀区西八里庄0711-652、640、641地块B4综合性商业金融服务业用地</t>
  </si>
  <si>
    <t xml:space="preserve"> 定慧寺</t>
  </si>
  <si>
    <t xml:space="preserve"> 海淀区玲珑巷地区</t>
  </si>
  <si>
    <t xml:space="preserve"> 0711一652≤4.5,0711一640≤1.7,0711一641≤1.3</t>
  </si>
  <si>
    <t xml:space="preserve"> B4综合性商业金融服务业用地</t>
  </si>
  <si>
    <t xml:space="preserve"> 京土整储挂(海)[2020]042号</t>
  </si>
  <si>
    <t xml:space="preserve"> 中国电建地产集团有限公司  </t>
  </si>
  <si>
    <t xml:space="preserve"> 电建地产</t>
  </si>
  <si>
    <t xml:space="preserve"> 中央国有企业</t>
  </si>
  <si>
    <t xml:space="preserve"> 商业40年、办公50年</t>
  </si>
  <si>
    <t>北京市昌平区朱辛庄新区(二期)土地一级开发项目ZXZ-010地块F3其他类多功能用地</t>
  </si>
  <si>
    <t xml:space="preserve"> 昌平区</t>
  </si>
  <si>
    <t xml:space="preserve"> 回龙观</t>
  </si>
  <si>
    <t xml:space="preserve"> 昌平区朱辛庄</t>
  </si>
  <si>
    <t xml:space="preserve"> ≤3</t>
  </si>
  <si>
    <t xml:space="preserve"> 京土整储挂(昌)[2020]005号</t>
  </si>
  <si>
    <t xml:space="preserve"> 北京裕聪置业有限公司  </t>
  </si>
  <si>
    <t xml:space="preserve"> 裕聪置业</t>
  </si>
  <si>
    <t xml:space="preserve"> 民营企业</t>
  </si>
  <si>
    <t>北京市海淀区学院路北端A、B、C、J地块B4综合性商业金融服务业用地、B23研发设计用地</t>
  </si>
  <si>
    <t xml:space="preserve"> 学清路</t>
  </si>
  <si>
    <t xml:space="preserve"> 海淀区学院路北端</t>
  </si>
  <si>
    <t xml:space="preserve"> ≤4.04</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</si>
  <si>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</si>
  <si>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</si>
  <si>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</si>
  <si>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</si>
  <si>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</si>
  <si>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 xml:space="preserve"> 西三旗</t>
  </si>
  <si>
    <t xml:space="preserve"> 海淀区西三旗</t>
  </si>
  <si>
    <t xml:space="preserve"> ≤2.8</t>
  </si>
  <si>
    <t xml:space="preserve"> 京土整储挂(海)[2019]015号</t>
  </si>
  <si>
    <t xml:space="preserve"> 北京润置商业运营管理有限公司  </t>
  </si>
  <si>
    <t xml:space="preserve"> 华润置地</t>
  </si>
  <si>
    <t>北京市海淀区"海淀北部地区整体开发"西北旺镇HD00-0402-0102地块(永丰产业基地)B1商业用地</t>
  </si>
  <si>
    <t xml:space="preserve"> 海淀区西北旺镇</t>
  </si>
  <si>
    <t xml:space="preserve"> 京土整储挂(海)[2019]005号</t>
  </si>
  <si>
    <t xml:space="preserve"> 北京实创科技园开发建设股份有限公司  </t>
  </si>
  <si>
    <t>北京市昌平区沙河镇七里渠南北村土地一级开发项目QLQ-004地块B4综合性商业金融服务业用地</t>
  </si>
  <si>
    <t xml:space="preserve"> 昌平区沙河镇七里渠南北村</t>
  </si>
  <si>
    <t xml:space="preserve"> 京土整储挂(昌)[2018]040号</t>
  </si>
  <si>
    <t xml:space="preserve"> 时代好未来教育科技(北京)有限公司  </t>
  </si>
  <si>
    <t xml:space="preserve"> 欣欣相融教育</t>
  </si>
  <si>
    <t>北京市海淀区西八里庄0711-653地块B4综合性商业金融服务业用地</t>
  </si>
  <si>
    <t xml:space="preserve"> 京土整储挂(海)[2017]087号</t>
  </si>
  <si>
    <t xml:space="preserve"> 中国电子科技集团公司  </t>
  </si>
  <si>
    <t>海淀区“海淀北部地区整体开发”中关村环保科技园HD-0303-0071地块</t>
  </si>
  <si>
    <t xml:space="preserve"> “海淀北部地区整体开发”范围内</t>
  </si>
  <si>
    <t xml:space="preserve"> B2商务用地</t>
  </si>
  <si>
    <t xml:space="preserve"> 京土整储挂(海)[2016]009号</t>
  </si>
  <si>
    <t xml:space="preserve"> 北京龙湖中佰置业有限公司 、北京龙湖天行置业有限公司联合体  </t>
  </si>
  <si>
    <t xml:space="preserve"> 龙湖集团</t>
  </si>
  <si>
    <t>昌平区北七家镇(未来科技城南区)CP07-0600-0005、0026地块</t>
  </si>
  <si>
    <t xml:space="preserve"> 北七家</t>
  </si>
  <si>
    <t xml:space="preserve"> 昌平区北七家镇</t>
  </si>
  <si>
    <t xml:space="preserve"> 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</si>
  <si>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</si>
  <si>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</si>
  <si>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</si>
  <si>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 xml:space="preserve"> 海淀区“海淀北部地区整体开发”范围内</t>
  </si>
  <si>
    <t xml:space="preserve"> 京土整储挂(海)[2015]044号</t>
  </si>
  <si>
    <t xml:space="preserve"> 神州数码软件有限公司 、神州数码(中国)有限公司联合体  </t>
  </si>
  <si>
    <t xml:space="preserve"> 万科</t>
  </si>
  <si>
    <t xml:space="preserve"> 混合所有制</t>
  </si>
  <si>
    <t>F3</t>
  </si>
  <si>
    <t>F3</t>
    <phoneticPr fontId="31" type="noConversion"/>
  </si>
  <si>
    <t xml:space="preserve"> B1商业用地</t>
    <phoneticPr fontId="135" type="noConversion"/>
  </si>
  <si>
    <t xml:space="preserve"> B1</t>
  </si>
  <si>
    <t xml:space="preserve"> B1</t>
    <phoneticPr fontId="31" type="noConversion"/>
  </si>
  <si>
    <t>50</t>
    <phoneticPr fontId="31" type="noConversion"/>
  </si>
  <si>
    <t>较规则</t>
  </si>
  <si>
    <t>较规则</t>
    <phoneticPr fontId="31" type="noConversion"/>
  </si>
  <si>
    <t>较适宜</t>
  </si>
  <si>
    <t>较适宜</t>
    <phoneticPr fontId="31" type="noConversion"/>
  </si>
  <si>
    <t>六通</t>
  </si>
  <si>
    <t>六通</t>
    <phoneticPr fontId="31" type="noConversion"/>
  </si>
  <si>
    <t>较好</t>
    <phoneticPr fontId="31"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</si>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</sst>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2"/>
      <charset val="134"/>
      <scheme val="minor"/>
    </font>
    <font>
      <sz val="11"/>
      <color rgb="FFFF0000"/>
      <name val="宋体"/>
      <family val="3"/>
      <charset val="134"/>
      <scheme val="minor"/>
    </font>
    <font>
      <sz val="10"/>
      <color rgb="FF000000"/>
      <name val="宋体"/>
      <family val="3"/>
      <charset val="134"/>
      <scheme val="minor"/>
    </font>
    <font>
      <sz val="10"/>
      <color theme="1"/>
      <name val="宋体"/>
      <family val="2"/>
      <charset val="134"/>
      <scheme val="minor"/>
    </font>
    <font>
      <sz val="10"/>
      <name val="宋体"/>
      <family val="3"/>
      <charset val="134"/>
      <scheme val="minor"/>
    </font>
    <font>
      <sz val="9"/>
      <color rgb="FF000000"/>
      <name val="宋体"/>
      <family val="3"/>
      <charset val="134"/>
      <scheme val="minor"/>
    </font>
    <font>
      <sz val="10"/>
      <color rgb="FFFF0000"/>
      <name val="宋体"/>
      <family val="2"/>
      <charset val="134"/>
      <scheme val="minor"/>
    </font>
    <font>
      <sz val="10"/>
      <color rgb="FFFF0000"/>
      <name val="宋体"/>
      <family val="3"/>
      <charset val="134"/>
      <scheme val="minor"/>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43" fontId="1" fillId="0" borderId="0" applyFont="0" applyFill="0" applyBorder="0" applyAlignment="0" applyProtection="0">
      <alignment vertical="center"/>
    </xf>
    <xf numFmtId="0" fontId="96" fillId="0" borderId="0">
      <alignment vertical="center"/>
    </xf>
  </cellStyleXfs>
  <cellXfs count="38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7" borderId="150" xfId="0" applyFont="1" applyFill="1" applyBorder="1" applyAlignment="1" applyProtection="1">
      <alignment vertical="center" wrapText="1"/>
      <protection locked="0"/>
    </xf>
    <xf numFmtId="0" fontId="78" fillId="7" borderId="54"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0" fontId="78"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97" fillId="0" borderId="0" xfId="19" applyFont="1" applyFill="1">
      <alignment vertical="center"/>
    </xf>
    <xf numFmtId="0" fontId="1" fillId="0" borderId="0" xfId="19" applyFill="1">
      <alignment vertical="center"/>
    </xf>
    <xf numFmtId="0" fontId="1" fillId="0" borderId="0" xfId="19">
      <alignment vertical="center"/>
    </xf>
    <xf numFmtId="0" fontId="97" fillId="0" borderId="1" xfId="19" applyFont="1" applyFill="1" applyBorder="1" applyAlignment="1">
      <alignment horizontal="center" vertical="center"/>
    </xf>
    <xf numFmtId="0" fontId="97" fillId="0" borderId="1" xfId="19" applyFont="1" applyBorder="1" applyAlignment="1">
      <alignment horizontal="center" vertical="center"/>
    </xf>
    <xf numFmtId="0" fontId="97" fillId="0" borderId="1" xfId="19" applyFont="1" applyBorder="1" applyAlignment="1">
      <alignment horizontal="center" vertical="center" wrapText="1"/>
    </xf>
    <xf numFmtId="0" fontId="97" fillId="0" borderId="0" xfId="19" applyFont="1" applyAlignment="1">
      <alignment horizontal="center" vertical="center"/>
    </xf>
    <xf numFmtId="0" fontId="272" fillId="0" borderId="1" xfId="19" applyFont="1" applyFill="1" applyBorder="1" applyAlignment="1">
      <alignment horizontal="left" vertical="center" wrapText="1"/>
    </xf>
    <xf numFmtId="0" fontId="272" fillId="0" borderId="1" xfId="19" applyFont="1" applyFill="1" applyBorder="1" applyAlignment="1">
      <alignment horizontal="left" vertical="center"/>
    </xf>
    <xf numFmtId="0" fontId="108" fillId="0" borderId="1" xfId="19" applyFont="1" applyBorder="1">
      <alignment vertical="center"/>
    </xf>
    <xf numFmtId="43" fontId="272" fillId="0" borderId="1" xfId="19" applyNumberFormat="1" applyFont="1" applyFill="1" applyBorder="1" applyAlignment="1">
      <alignment horizontal="right" vertical="center"/>
    </xf>
    <xf numFmtId="176" fontId="272" fillId="0" borderId="1" xfId="19" applyNumberFormat="1" applyFont="1" applyBorder="1" applyAlignment="1">
      <alignment horizontal="right" vertical="center" wrapText="1"/>
    </xf>
    <xf numFmtId="43" fontId="273" fillId="0" borderId="1" xfId="19" applyNumberFormat="1" applyFont="1" applyBorder="1">
      <alignment vertical="center"/>
    </xf>
    <xf numFmtId="0" fontId="1" fillId="0" borderId="1" xfId="19" applyBorder="1">
      <alignment vertical="center"/>
    </xf>
    <xf numFmtId="43" fontId="0" fillId="0" borderId="1" xfId="20" applyFont="1" applyBorder="1">
      <alignment vertical="center"/>
    </xf>
    <xf numFmtId="43" fontId="247" fillId="7" borderId="1" xfId="21" applyNumberFormat="1" applyFont="1" applyFill="1" applyBorder="1">
      <alignment vertical="center"/>
    </xf>
    <xf numFmtId="43" fontId="247" fillId="7" borderId="1" xfId="20" applyFont="1" applyFill="1" applyBorder="1">
      <alignment vertical="center"/>
    </xf>
    <xf numFmtId="176" fontId="108" fillId="0" borderId="1" xfId="20" applyNumberFormat="1" applyFont="1" applyBorder="1" applyAlignment="1">
      <alignment horizontal="right" vertical="center" wrapText="1"/>
    </xf>
    <xf numFmtId="0" fontId="1" fillId="0" borderId="1" xfId="19" applyFill="1" applyBorder="1">
      <alignment vertical="center"/>
    </xf>
    <xf numFmtId="43" fontId="0" fillId="0" borderId="1" xfId="20" applyFont="1" applyFill="1" applyBorder="1">
      <alignment vertical="center"/>
    </xf>
    <xf numFmtId="0" fontId="274" fillId="0" borderId="1" xfId="19" applyFont="1" applyFill="1" applyBorder="1" applyAlignment="1">
      <alignment horizontal="left" vertical="center" wrapText="1"/>
    </xf>
    <xf numFmtId="0" fontId="272" fillId="0" borderId="0" xfId="19" applyFont="1" applyAlignment="1">
      <alignment horizontal="left" vertical="center"/>
    </xf>
    <xf numFmtId="0" fontId="274" fillId="0" borderId="1" xfId="19" applyFont="1" applyFill="1" applyBorder="1" applyAlignment="1">
      <alignment horizontal="left" vertical="center"/>
    </xf>
    <xf numFmtId="43" fontId="108" fillId="0" borderId="1" xfId="20" applyFont="1" applyBorder="1" applyAlignment="1">
      <alignment horizontal="right" vertical="center"/>
    </xf>
    <xf numFmtId="0" fontId="273" fillId="0" borderId="1" xfId="19" applyFont="1" applyBorder="1" applyAlignment="1">
      <alignment horizontal="right" vertical="center"/>
    </xf>
    <xf numFmtId="0" fontId="108" fillId="0" borderId="1" xfId="19" applyFont="1" applyFill="1" applyBorder="1" applyAlignment="1">
      <alignment horizontal="left" vertical="center"/>
    </xf>
    <xf numFmtId="0" fontId="108" fillId="0" borderId="1" xfId="19" applyFont="1" applyFill="1" applyBorder="1">
      <alignment vertical="center"/>
    </xf>
    <xf numFmtId="0" fontId="96" fillId="0" borderId="0" xfId="19" applyFont="1">
      <alignment vertical="center"/>
    </xf>
    <xf numFmtId="0" fontId="273" fillId="0" borderId="1" xfId="19" applyFont="1" applyBorder="1">
      <alignment vertical="center"/>
    </xf>
    <xf numFmtId="43" fontId="273" fillId="0" borderId="1" xfId="19" applyNumberFormat="1" applyFont="1" applyFill="1" applyBorder="1">
      <alignment vertical="center"/>
    </xf>
    <xf numFmtId="0" fontId="275" fillId="0" borderId="0" xfId="19" applyFont="1" applyFill="1">
      <alignment vertical="center"/>
    </xf>
    <xf numFmtId="43" fontId="1" fillId="0" borderId="0" xfId="19" applyNumberFormat="1">
      <alignment vertical="center"/>
    </xf>
    <xf numFmtId="0" fontId="276" fillId="0" borderId="1" xfId="19" applyFont="1" applyFill="1" applyBorder="1" applyAlignment="1">
      <alignment horizontal="left" vertical="center" wrapText="1"/>
    </xf>
    <xf numFmtId="0" fontId="277" fillId="0" borderId="1" xfId="19" applyFont="1" applyFill="1" applyBorder="1" applyAlignment="1">
      <alignment horizontal="left" vertical="center"/>
    </xf>
    <xf numFmtId="0" fontId="277" fillId="0" borderId="1" xfId="19" applyFont="1" applyBorder="1">
      <alignment vertical="center"/>
    </xf>
    <xf numFmtId="43" fontId="277" fillId="0" borderId="1" xfId="19" applyNumberFormat="1" applyFont="1" applyFill="1" applyBorder="1" applyAlignment="1">
      <alignment horizontal="right" vertical="center"/>
    </xf>
    <xf numFmtId="43" fontId="277" fillId="0" borderId="1" xfId="19" applyNumberFormat="1" applyFont="1" applyBorder="1">
      <alignment vertical="center"/>
    </xf>
    <xf numFmtId="0" fontId="271" fillId="0" borderId="1" xfId="19" applyFont="1" applyBorder="1">
      <alignment vertical="center"/>
    </xf>
    <xf numFmtId="43" fontId="271" fillId="0" borderId="1" xfId="20" applyFont="1" applyBorder="1">
      <alignment vertical="center"/>
    </xf>
    <xf numFmtId="0" fontId="271" fillId="0" borderId="0" xfId="19" applyFont="1">
      <alignment vertical="center"/>
    </xf>
    <xf numFmtId="43" fontId="271" fillId="0" borderId="0" xfId="19" applyNumberFormat="1" applyFont="1">
      <alignment vertical="center"/>
    </xf>
    <xf numFmtId="43" fontId="278" fillId="7" borderId="1" xfId="21" applyNumberFormat="1" applyFont="1" applyFill="1" applyBorder="1">
      <alignment vertical="center"/>
    </xf>
    <xf numFmtId="43" fontId="278" fillId="7" borderId="1" xfId="20" applyFont="1" applyFill="1" applyBorder="1">
      <alignment vertical="center"/>
    </xf>
    <xf numFmtId="0" fontId="277" fillId="0" borderId="1" xfId="19" applyFont="1" applyFill="1" applyBorder="1" applyAlignment="1">
      <alignment horizontal="left" vertical="center" wrapText="1"/>
    </xf>
    <xf numFmtId="0" fontId="276" fillId="0" borderId="1" xfId="19" applyFont="1" applyFill="1" applyBorder="1" applyAlignment="1">
      <alignment horizontal="left" vertical="center"/>
    </xf>
    <xf numFmtId="0" fontId="270" fillId="0" borderId="0" xfId="19" applyFont="1">
      <alignment vertical="center"/>
    </xf>
    <xf numFmtId="0" fontId="270" fillId="0" borderId="0" xfId="19" applyFont="1" applyFill="1">
      <alignment vertical="center"/>
    </xf>
    <xf numFmtId="43" fontId="1" fillId="0" borderId="0" xfId="19" applyNumberFormat="1" applyFill="1">
      <alignment vertical="center"/>
    </xf>
    <xf numFmtId="0" fontId="0" fillId="0" borderId="0" xfId="0" applyNumberFormat="1" applyAlignment="1"/>
    <xf numFmtId="14" fontId="0" fillId="0" borderId="0" xfId="0" applyNumberFormat="1" applyAlignment="1"/>
    <xf numFmtId="0" fontId="96" fillId="0" borderId="0" xfId="0" applyNumberFormat="1" applyFont="1" applyAlignment="1"/>
    <xf numFmtId="0" fontId="95"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1"/>
    <cellStyle name="常规 7" xfId="7"/>
    <cellStyle name="常规 8" xfId="11"/>
    <cellStyle name="常规 9" xfId="12"/>
    <cellStyle name="千位分隔 2" xfId="20"/>
  </cellStyles>
  <dxfs count="23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4</xdr:col>
      <xdr:colOff>237323</xdr:colOff>
      <xdr:row>146</xdr:row>
      <xdr:rowOff>94703</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22574250"/>
          <a:ext cx="6419048" cy="4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北京市昌平区黄平路19号院3号楼商业及地下车库用房房地产抵押价值预评估</v>
      </c>
    </row>
    <row r="3" spans="1:2" s="1202" customFormat="1">
      <c r="A3" s="1200" t="s">
        <v>523</v>
      </c>
      <c r="B3" s="1201" t="str">
        <f>'预评函-封皮'!B40</f>
        <v>上海浦东发展银行</v>
      </c>
    </row>
    <row r="4" spans="1:2" s="1202" customFormat="1">
      <c r="A4" s="1200" t="s">
        <v>524</v>
      </c>
      <c r="B4" s="1201" t="str">
        <f ca="1">'预评函-封皮'!B46</f>
        <v>欧红伟（注册号：1120000080)、崔锴（注册号：1120100036)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受贵公司委托，我公司对北京市昌平区黄平路19号院3号楼商业及地下车库用房房地产抵押价值进行了预评估。</v>
      </c>
    </row>
    <row r="7" spans="1:2" s="1202" customFormat="1">
      <c r="A7" s="1200" t="s">
        <v>566</v>
      </c>
      <c r="B7" s="1201" t="str">
        <f>'预评函-1'!A7</f>
        <v>估价对象为北京市昌平区黄平路19号院3号楼商业及地下车库用房房地产，为北京市泰华房地产开发集团有限公司所有。根据《国有土地使用证》[]，估价对象（分摊）出让国有建设用地使用权面积为17111.18平方米，建筑面积为65662.34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黄平路19号院3号楼商业及地下车库用房房地产,属北京市泰华房地产开发集团有限公司开发建设的商业项目，该项目尚在开发建设中。根据《国有土地使用证》[]，估价对象（分摊）出让国有建设用地使用权面积为17111.18平方米，规划建筑面积为65662.34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2023年5月12日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133009</v>
      </c>
    </row>
    <row r="21" spans="1:2" s="1202" customFormat="1">
      <c r="A21" s="1200" t="s">
        <v>537</v>
      </c>
      <c r="B21" s="1201">
        <f ca="1">'预评函-2'!D7</f>
        <v>20257</v>
      </c>
    </row>
    <row r="22" spans="1:2" s="1202" customFormat="1">
      <c r="A22" s="1200" t="s">
        <v>538</v>
      </c>
      <c r="B22" s="1201" t="str">
        <f ca="1">'预评函-2'!D6</f>
        <v>壹拾叁亿叁仟零玖万元整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133009</v>
      </c>
    </row>
    <row r="31" spans="1:2" s="1202" customFormat="1">
      <c r="A31" s="1200" t="s">
        <v>576</v>
      </c>
      <c r="B31" s="1201">
        <f ca="1">'预评函-2'!D15</f>
        <v>20257</v>
      </c>
    </row>
    <row r="32" spans="1:2" s="1202" customFormat="1">
      <c r="A32" s="1200" t="s">
        <v>543</v>
      </c>
      <c r="B32" s="1201" t="str">
        <f ca="1">'预评函-2'!D14</f>
        <v>壹拾叁亿叁仟零玖万元整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北京市昌平区黄平路19号院3号楼商业及地下车库用房房地产</v>
      </c>
    </row>
    <row r="42" spans="1:2" s="1202" customFormat="1">
      <c r="A42" s="1200" t="s">
        <v>590</v>
      </c>
      <c r="B42" s="1201" t="str">
        <f>'预评函-3'!B2</f>
        <v>建筑面积</v>
      </c>
    </row>
    <row r="43" spans="1:2" s="1202" customFormat="1">
      <c r="A43" s="1200" t="s">
        <v>591</v>
      </c>
      <c r="B43" s="1201">
        <f>'预评函-3'!B4</f>
        <v>65662.34</v>
      </c>
    </row>
    <row r="44" spans="1:2" s="1202" customFormat="1">
      <c r="A44" s="1200" t="s">
        <v>575</v>
      </c>
      <c r="B44" s="1201" t="str">
        <f>'预评函-3'!C2</f>
        <v>(分摊)土地面积</v>
      </c>
    </row>
    <row r="45" spans="1:2" s="1202" customFormat="1">
      <c r="A45" s="1200" t="s">
        <v>547</v>
      </c>
      <c r="B45" s="1201">
        <f>'预评函-3'!C4</f>
        <v>17111.18</v>
      </c>
    </row>
    <row r="46" spans="1:2" s="1202" customFormat="1">
      <c r="A46" s="1200" t="s">
        <v>573</v>
      </c>
      <c r="B46" s="1201" t="str">
        <f>'预评函-3'!D2</f>
        <v>出让国有建设用地使用权价值</v>
      </c>
    </row>
    <row r="47" spans="1:2" s="1202" customFormat="1">
      <c r="A47" s="1200" t="s">
        <v>548</v>
      </c>
      <c r="B47" s="1201">
        <f ca="1">'预评函-3'!D4</f>
        <v>99624</v>
      </c>
    </row>
    <row r="48" spans="1:2" s="1202" customFormat="1">
      <c r="A48" s="1200" t="s">
        <v>549</v>
      </c>
      <c r="B48" s="1201">
        <f ca="1">'预评函-3'!E4</f>
        <v>15173</v>
      </c>
    </row>
    <row r="49" spans="1:2" s="1202" customFormat="1">
      <c r="A49" s="1200" t="s">
        <v>550</v>
      </c>
      <c r="B49" s="1201" t="str">
        <f ca="1">'预评函-3'!D5</f>
        <v>玖亿玖仟陆佰贰拾肆万元整</v>
      </c>
    </row>
    <row r="50" spans="1:2" s="1202" customFormat="1">
      <c r="A50" s="1200" t="s">
        <v>574</v>
      </c>
      <c r="B50" s="1201" t="str">
        <f>'预评函-3'!F2</f>
        <v>在建建筑物价值</v>
      </c>
    </row>
    <row r="51" spans="1:2" s="1202" customFormat="1">
      <c r="A51" s="1200" t="s">
        <v>551</v>
      </c>
      <c r="B51" s="1201">
        <f ca="1">'预评函-3'!F4</f>
        <v>33385</v>
      </c>
    </row>
    <row r="52" spans="1:2" s="1202" customFormat="1">
      <c r="A52" s="1200" t="s">
        <v>552</v>
      </c>
      <c r="B52" s="1201">
        <f ca="1">'预评函-3'!G4</f>
        <v>5084</v>
      </c>
    </row>
    <row r="53" spans="1:2" s="1202" customFormat="1">
      <c r="A53" s="1200" t="s">
        <v>580</v>
      </c>
      <c r="B53" s="1201" t="str">
        <f ca="1">'预评函-3'!F5</f>
        <v>叁亿叁仟叁佰捌拾伍万元整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欧红伟</v>
      </c>
    </row>
    <row r="71" spans="1:2">
      <c r="A71" s="1200" t="s">
        <v>563</v>
      </c>
      <c r="B71" s="1201">
        <f ca="1">'预评函-4'!B4</f>
        <v>1120000080</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L55" sqref="AL5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2574</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2575</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2287</v>
      </c>
      <c r="C17" s="1546"/>
    </row>
    <row r="18" spans="1:3">
      <c r="A18" s="1545" t="s">
        <v>1046</v>
      </c>
      <c r="B18" s="1545" t="s">
        <v>2430</v>
      </c>
      <c r="C18" s="1546"/>
    </row>
    <row r="19" spans="1:3">
      <c r="A19" s="1545" t="s">
        <v>1047</v>
      </c>
      <c r="B19" s="1545" t="s">
        <v>3418</v>
      </c>
      <c r="C19" s="1546"/>
    </row>
    <row r="20" spans="1:3">
      <c r="A20" s="1545" t="s">
        <v>1048</v>
      </c>
      <c r="B20" s="1545" t="s">
        <v>3420</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2497</v>
      </c>
      <c r="B1" s="3009"/>
      <c r="C1" s="3009"/>
      <c r="D1" s="3009"/>
      <c r="E1" s="3009"/>
      <c r="F1" s="3010"/>
      <c r="I1" s="3432" t="s">
        <v>2590</v>
      </c>
      <c r="J1" s="3221"/>
      <c r="K1" s="3221"/>
      <c r="L1" s="3221"/>
      <c r="M1" s="3221"/>
      <c r="N1" s="3433"/>
      <c r="O1" s="3433"/>
      <c r="P1" s="3433"/>
      <c r="Q1" s="3433"/>
      <c r="R1" s="3433"/>
    </row>
    <row r="2" spans="1:18">
      <c r="A2" s="3012"/>
      <c r="B2" s="3013"/>
      <c r="C2" s="3013"/>
      <c r="D2" s="3013"/>
      <c r="E2" s="3013"/>
      <c r="F2" s="3014"/>
      <c r="I2" s="3497" t="s">
        <v>2577</v>
      </c>
      <c r="J2" s="3497"/>
      <c r="K2" s="3497"/>
      <c r="L2" s="3497"/>
      <c r="M2" s="3497"/>
      <c r="N2" s="3497"/>
      <c r="O2" s="3497"/>
      <c r="P2" s="3497"/>
      <c r="Q2" s="3497"/>
      <c r="R2" s="3497"/>
    </row>
    <row r="3" spans="1:18">
      <c r="A3" s="3015" t="s">
        <v>2498</v>
      </c>
      <c r="B3" s="3016">
        <f>项目基本情况!D3</f>
        <v>45058</v>
      </c>
      <c r="C3" s="3018"/>
      <c r="D3" s="3018"/>
      <c r="E3" s="3018"/>
      <c r="F3" s="3014"/>
      <c r="I3" s="3434"/>
      <c r="J3" s="3434" t="s">
        <v>2581</v>
      </c>
      <c r="K3" s="3434" t="s">
        <v>2582</v>
      </c>
      <c r="L3" s="3434" t="s">
        <v>2583</v>
      </c>
      <c r="M3" s="3434" t="s">
        <v>2584</v>
      </c>
      <c r="N3" s="3435" t="s">
        <v>2585</v>
      </c>
      <c r="O3" s="3435" t="s">
        <v>2586</v>
      </c>
      <c r="P3" s="3435" t="s">
        <v>2587</v>
      </c>
      <c r="Q3" s="3435" t="s">
        <v>2588</v>
      </c>
      <c r="R3" s="3435" t="s">
        <v>2589</v>
      </c>
    </row>
    <row r="4" spans="1:18">
      <c r="A4" s="3015" t="s">
        <v>2499</v>
      </c>
      <c r="B4" s="3018" t="s">
        <v>2500</v>
      </c>
      <c r="C4" s="3018" t="s">
        <v>2501</v>
      </c>
      <c r="D4" s="3018" t="s">
        <v>2502</v>
      </c>
      <c r="E4" s="3018" t="s">
        <v>2503</v>
      </c>
      <c r="F4" s="3014"/>
      <c r="I4" s="3434" t="s">
        <v>2578</v>
      </c>
      <c r="J4" s="3434">
        <v>80</v>
      </c>
      <c r="K4" s="3434">
        <v>70</v>
      </c>
      <c r="L4" s="3434">
        <v>20</v>
      </c>
      <c r="M4" s="3434">
        <v>30</v>
      </c>
      <c r="N4" s="3018">
        <v>45</v>
      </c>
      <c r="O4" s="3018">
        <v>60</v>
      </c>
      <c r="P4" s="3018">
        <v>50</v>
      </c>
      <c r="Q4" s="3018">
        <v>20</v>
      </c>
      <c r="R4" s="3018">
        <v>375</v>
      </c>
    </row>
    <row r="5" spans="1:18">
      <c r="A5" s="3019">
        <v>40</v>
      </c>
      <c r="B5" s="3016">
        <v>46375</v>
      </c>
      <c r="C5" s="3018">
        <f>ROUNDDOWN(MIN((B5-B3)/365,A5),2)</f>
        <v>3.6</v>
      </c>
      <c r="D5" s="3020">
        <f>IF(ISERROR(ROUND(POWER(1+E5,A5-C5)*(POWER(1+E5,C5)-1)/(POWER(1+E5,A5)-1),3)),0,ROUND(POWER(1+E5,A5-C5)*(POWER(1+E5,C5)-1)/(POWER(1+E5,A5)-1),4))</f>
        <v>0.1663</v>
      </c>
      <c r="E5" s="3021">
        <v>0.04</v>
      </c>
      <c r="F5" s="3014"/>
      <c r="I5" s="3434" t="s">
        <v>2579</v>
      </c>
      <c r="J5" s="3434">
        <v>70</v>
      </c>
      <c r="K5" s="3434">
        <v>60</v>
      </c>
      <c r="L5" s="3434">
        <v>15</v>
      </c>
      <c r="M5" s="3434">
        <v>25</v>
      </c>
      <c r="N5" s="3018">
        <v>40</v>
      </c>
      <c r="O5" s="3018">
        <v>50</v>
      </c>
      <c r="P5" s="3018">
        <v>40</v>
      </c>
      <c r="Q5" s="3018">
        <v>15</v>
      </c>
      <c r="R5" s="3018">
        <v>315</v>
      </c>
    </row>
    <row r="6" spans="1:18">
      <c r="A6" s="3019">
        <v>50</v>
      </c>
      <c r="B6" s="3016">
        <v>50028</v>
      </c>
      <c r="C6" s="3018">
        <f>ROUNDDOWN(MIN((B6-B3)/365,A6),2)</f>
        <v>13.61</v>
      </c>
      <c r="D6" s="3020">
        <f>IF(ISERROR(ROUND(POWER(1+E6,A6-C6)*(POWER(1+E6,C6)-1)/(POWER(1+E6,A6)-1),3)),0,ROUND(POWER(1+E6,A6-C6)*(POWER(1+E6,C6)-1)/(POWER(1+E6,A6)-1),4))</f>
        <v>0.48139999999999999</v>
      </c>
      <c r="E6" s="3021">
        <v>0.04</v>
      </c>
      <c r="F6" s="3014"/>
      <c r="I6" s="3434" t="s">
        <v>2580</v>
      </c>
      <c r="J6" s="3434">
        <v>60</v>
      </c>
      <c r="K6" s="3434">
        <v>50</v>
      </c>
      <c r="L6" s="3434">
        <v>10</v>
      </c>
      <c r="M6" s="3434">
        <v>20</v>
      </c>
      <c r="N6" s="3018">
        <v>35</v>
      </c>
      <c r="O6" s="3018">
        <v>40</v>
      </c>
      <c r="P6" s="3018">
        <v>30</v>
      </c>
      <c r="Q6" s="3018">
        <v>10</v>
      </c>
      <c r="R6" s="3018">
        <v>255</v>
      </c>
    </row>
    <row r="7" spans="1:18">
      <c r="A7" s="3019">
        <v>70</v>
      </c>
      <c r="B7" s="3016">
        <v>57333</v>
      </c>
      <c r="C7" s="3018">
        <f>ROUNDDOWN(MIN((B7-B3)/365,A7),2)</f>
        <v>33.630000000000003</v>
      </c>
      <c r="D7" s="3020">
        <f>IF(ISERROR(ROUND(POWER(1+E7,A7-C7)*(POWER(1+E7,C7)-1)/(POWER(1+E7,A7)-1),3)),0,ROUND(POWER(1+E7,A7-C7)*(POWER(1+E7,C7)-1)/(POWER(1+E7,A7)-1),4))</f>
        <v>0.78290000000000004</v>
      </c>
      <c r="E7" s="3021">
        <v>0.04</v>
      </c>
      <c r="F7" s="3014"/>
    </row>
    <row r="8" spans="1:18">
      <c r="A8" s="3012"/>
      <c r="B8" s="3013"/>
      <c r="C8" s="3013"/>
      <c r="D8" s="3013"/>
      <c r="E8" s="3013"/>
      <c r="F8" s="3014"/>
    </row>
    <row r="9" spans="1:18">
      <c r="A9" s="3015" t="s">
        <v>2504</v>
      </c>
      <c r="B9" s="3018"/>
      <c r="C9" s="3018"/>
      <c r="D9" s="3018"/>
      <c r="E9" s="3018"/>
      <c r="F9" s="3022"/>
    </row>
    <row r="10" spans="1:18">
      <c r="A10" s="3015" t="s">
        <v>2505</v>
      </c>
      <c r="B10" s="3018"/>
      <c r="C10" s="3018"/>
      <c r="D10" s="3018" t="s">
        <v>2503</v>
      </c>
      <c r="E10" s="3018"/>
      <c r="F10" s="3022" t="s">
        <v>2502</v>
      </c>
    </row>
    <row r="11" spans="1:18">
      <c r="A11" s="3015" t="s">
        <v>2506</v>
      </c>
      <c r="B11" s="3023">
        <v>70</v>
      </c>
      <c r="C11" s="3018" t="s">
        <v>2507</v>
      </c>
      <c r="D11" s="3024">
        <v>4.4999999999999998E-2</v>
      </c>
      <c r="E11" s="3018" t="s">
        <v>2508</v>
      </c>
      <c r="F11" s="3025">
        <f>ROUND(1-(1/(POWER(1+D11,B11))),4)</f>
        <v>0.95409999999999995</v>
      </c>
    </row>
    <row r="12" spans="1:18">
      <c r="A12" s="3015" t="s">
        <v>2509</v>
      </c>
      <c r="B12" s="3023">
        <v>40</v>
      </c>
      <c r="C12" s="3018" t="s">
        <v>2510</v>
      </c>
      <c r="D12" s="3024">
        <v>4.4999999999999998E-2</v>
      </c>
      <c r="E12" s="3018" t="s">
        <v>2511</v>
      </c>
      <c r="F12" s="3025">
        <f>ROUND(1-(1/(POWER(1+D12,B12))),4)</f>
        <v>0.82809999999999995</v>
      </c>
    </row>
    <row r="13" spans="1:18">
      <c r="A13" s="3015" t="s">
        <v>2512</v>
      </c>
      <c r="B13" s="3018"/>
      <c r="C13" s="3018"/>
      <c r="D13" s="3013"/>
      <c r="E13" s="3013"/>
      <c r="F13" s="3014"/>
    </row>
    <row r="14" spans="1:18">
      <c r="A14" s="3015" t="s">
        <v>2513</v>
      </c>
      <c r="B14" s="3023">
        <v>5000</v>
      </c>
      <c r="C14" s="3017"/>
      <c r="D14" s="3013"/>
      <c r="E14" s="3013"/>
      <c r="F14" s="3014"/>
    </row>
    <row r="15" spans="1:18">
      <c r="A15" s="3015" t="s">
        <v>2514</v>
      </c>
      <c r="B15" s="3018">
        <f>ROUND(B14*F12/F11,2)</f>
        <v>4339.6899999999996</v>
      </c>
      <c r="C15" s="3018">
        <f>ROUND(F12/F11,4)</f>
        <v>0.8679</v>
      </c>
      <c r="D15" s="3013"/>
      <c r="E15" s="3013"/>
      <c r="F15" s="3014"/>
    </row>
    <row r="16" spans="1:18">
      <c r="A16" s="3015" t="s">
        <v>2515</v>
      </c>
      <c r="B16" s="3018"/>
      <c r="C16" s="3018"/>
      <c r="D16" s="3013"/>
      <c r="E16" s="3013"/>
      <c r="F16" s="3014"/>
    </row>
    <row r="17" spans="1:13">
      <c r="A17" s="3015" t="s">
        <v>2514</v>
      </c>
      <c r="B17" s="3024">
        <v>4810</v>
      </c>
      <c r="C17" s="3017"/>
      <c r="D17" s="3013"/>
      <c r="E17" s="3013"/>
      <c r="F17" s="3014"/>
    </row>
    <row r="18" spans="1:13" ht="14.25" thickBot="1">
      <c r="A18" s="3026" t="s">
        <v>2513</v>
      </c>
      <c r="B18" s="3027">
        <f>ROUND(B17*F11/F12,2)</f>
        <v>5541.87</v>
      </c>
      <c r="C18" s="3027">
        <f>ROUND(F11/F12,4)</f>
        <v>1.1521999999999999</v>
      </c>
      <c r="D18" s="3028"/>
      <c r="E18" s="3028"/>
      <c r="F18" s="3029"/>
    </row>
    <row r="19" spans="1:13" ht="14.25" thickBot="1"/>
    <row r="20" spans="1:13" s="3064" customFormat="1" ht="14.25" thickTop="1">
      <c r="A20" s="3061" t="s">
        <v>2516</v>
      </c>
      <c r="B20" s="3062"/>
      <c r="C20" s="3062"/>
      <c r="D20" s="3062"/>
      <c r="E20" s="3062"/>
      <c r="F20" s="3062"/>
      <c r="G20" s="3063"/>
      <c r="I20" s="3065" t="s">
        <v>2561</v>
      </c>
      <c r="J20" s="3065" t="s">
        <v>2566</v>
      </c>
      <c r="K20" s="3065"/>
      <c r="L20" s="3065"/>
      <c r="M20" s="3065"/>
    </row>
    <row r="21" spans="1:13">
      <c r="A21" s="3030"/>
      <c r="B21" s="3031" t="s">
        <v>2517</v>
      </c>
      <c r="C21" s="3031" t="s">
        <v>2518</v>
      </c>
      <c r="D21" s="3031" t="s">
        <v>2519</v>
      </c>
      <c r="E21" s="3031" t="s">
        <v>2520</v>
      </c>
      <c r="F21" s="3031" t="s">
        <v>2521</v>
      </c>
      <c r="G21" s="3032" t="s">
        <v>2522</v>
      </c>
      <c r="I21" s="3053">
        <v>5</v>
      </c>
      <c r="J21" s="3053">
        <v>54.2</v>
      </c>
    </row>
    <row r="22" spans="1:13">
      <c r="A22" s="3030" t="s">
        <v>2523</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2524</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2564</v>
      </c>
      <c r="M23" s="3053" t="s">
        <v>2565</v>
      </c>
    </row>
    <row r="24" spans="1:13">
      <c r="A24" s="3030" t="s">
        <v>2525</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2563</v>
      </c>
      <c r="M24" s="3053">
        <v>10</v>
      </c>
    </row>
    <row r="25" spans="1:13">
      <c r="A25" s="3030" t="s">
        <v>2526</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2567</v>
      </c>
      <c r="M25" s="3053">
        <v>8</v>
      </c>
    </row>
    <row r="26" spans="1:13">
      <c r="A26" s="3035"/>
      <c r="B26" s="3036"/>
      <c r="C26" s="3036"/>
      <c r="D26" s="3036"/>
      <c r="E26" s="3036"/>
      <c r="F26" s="3036"/>
      <c r="G26" s="3037"/>
      <c r="I26" s="3053">
        <v>30</v>
      </c>
      <c r="J26" s="3053">
        <v>90.5</v>
      </c>
      <c r="K26" s="3053">
        <f t="shared" si="2"/>
        <v>4.2000000000000028</v>
      </c>
      <c r="L26" s="3053" t="s">
        <v>2568</v>
      </c>
      <c r="M26" s="3053">
        <v>5</v>
      </c>
    </row>
    <row r="27" spans="1:13">
      <c r="A27" s="3035" t="s">
        <v>2527</v>
      </c>
      <c r="B27" s="3036"/>
      <c r="C27" s="3036"/>
      <c r="D27" s="3036"/>
      <c r="E27" s="3036"/>
      <c r="F27" s="3036"/>
      <c r="G27" s="3037"/>
      <c r="I27" s="3053">
        <v>35</v>
      </c>
      <c r="J27" s="3053">
        <v>93.8</v>
      </c>
      <c r="K27" s="3053">
        <f t="shared" si="2"/>
        <v>3.2999999999999972</v>
      </c>
      <c r="L27" s="3053" t="s">
        <v>2569</v>
      </c>
      <c r="M27" s="3053">
        <v>3</v>
      </c>
    </row>
    <row r="28" spans="1:13">
      <c r="A28" s="3035" t="s">
        <v>2528</v>
      </c>
      <c r="B28" s="3036"/>
      <c r="C28" s="3036"/>
      <c r="D28" s="3036"/>
      <c r="E28" s="3036"/>
      <c r="F28" s="3036"/>
      <c r="G28" s="3037"/>
      <c r="I28" s="3053">
        <v>40</v>
      </c>
      <c r="J28" s="3053">
        <v>96.4</v>
      </c>
      <c r="K28" s="3053">
        <f t="shared" si="2"/>
        <v>2.6000000000000085</v>
      </c>
      <c r="L28" s="3053" t="s">
        <v>2570</v>
      </c>
      <c r="M28" s="3053">
        <v>2</v>
      </c>
    </row>
    <row r="29" spans="1:13">
      <c r="A29" s="3035" t="s">
        <v>2529</v>
      </c>
      <c r="B29" s="3036"/>
      <c r="C29" s="3036"/>
      <c r="D29" s="3036"/>
      <c r="E29" s="3036"/>
      <c r="F29" s="3036"/>
      <c r="G29" s="3037"/>
      <c r="I29" s="3053">
        <v>45</v>
      </c>
      <c r="J29" s="3053">
        <v>98.4</v>
      </c>
      <c r="K29" s="3053">
        <f t="shared" si="2"/>
        <v>2</v>
      </c>
    </row>
    <row r="30" spans="1:13">
      <c r="A30" s="3035" t="s">
        <v>2530</v>
      </c>
      <c r="B30" s="3036"/>
      <c r="C30" s="3036"/>
      <c r="D30" s="3036"/>
      <c r="E30" s="3036"/>
      <c r="F30" s="3036"/>
      <c r="G30" s="3037"/>
      <c r="I30" s="3053">
        <v>50</v>
      </c>
      <c r="J30" s="3053">
        <v>100</v>
      </c>
      <c r="K30" s="3053">
        <f t="shared" si="2"/>
        <v>1.5999999999999943</v>
      </c>
    </row>
    <row r="31" spans="1:13">
      <c r="A31" s="3035" t="s">
        <v>2531</v>
      </c>
      <c r="B31" s="3036"/>
      <c r="C31" s="3036"/>
      <c r="D31" s="3036"/>
      <c r="E31" s="3036"/>
      <c r="F31" s="3036"/>
      <c r="G31" s="3037"/>
      <c r="I31" s="3053" t="s">
        <v>2562</v>
      </c>
    </row>
    <row r="32" spans="1:13">
      <c r="A32" s="3035" t="s">
        <v>2532</v>
      </c>
      <c r="B32" s="3036"/>
      <c r="C32" s="3036"/>
      <c r="D32" s="3036"/>
      <c r="E32" s="3036"/>
      <c r="F32" s="3036"/>
      <c r="G32" s="3037"/>
    </row>
    <row r="33" spans="1:13">
      <c r="A33" s="3035" t="s">
        <v>2533</v>
      </c>
      <c r="B33" s="3036"/>
      <c r="C33" s="3036"/>
      <c r="D33" s="3036"/>
      <c r="E33" s="3036"/>
      <c r="F33" s="3036"/>
      <c r="G33" s="3037"/>
      <c r="I33" s="3053" t="s">
        <v>2561</v>
      </c>
      <c r="J33" s="3053" t="s">
        <v>2571</v>
      </c>
    </row>
    <row r="34" spans="1:13">
      <c r="A34" s="3035" t="s">
        <v>2534</v>
      </c>
      <c r="B34" s="3036"/>
      <c r="C34" s="3036"/>
      <c r="D34" s="3036"/>
      <c r="E34" s="3036"/>
      <c r="F34" s="3036"/>
      <c r="G34" s="3037"/>
      <c r="I34" s="3053">
        <v>5</v>
      </c>
      <c r="J34" s="3053">
        <v>55.1</v>
      </c>
    </row>
    <row r="35" spans="1:13">
      <c r="A35" s="3035" t="s">
        <v>2535</v>
      </c>
      <c r="B35" s="3036"/>
      <c r="C35" s="3036"/>
      <c r="D35" s="3036"/>
      <c r="E35" s="3036"/>
      <c r="F35" s="3036"/>
      <c r="G35" s="3037"/>
      <c r="I35" s="3053">
        <v>10</v>
      </c>
      <c r="J35" s="3053">
        <v>67</v>
      </c>
      <c r="K35" s="3053">
        <f>J35-J34</f>
        <v>11.899999999999999</v>
      </c>
    </row>
    <row r="36" spans="1:13">
      <c r="A36" s="3035" t="s">
        <v>2536</v>
      </c>
      <c r="B36" s="3036"/>
      <c r="C36" s="3036"/>
      <c r="D36" s="3036"/>
      <c r="E36" s="3036"/>
      <c r="F36" s="3036"/>
      <c r="G36" s="3037"/>
      <c r="I36" s="3053">
        <v>15</v>
      </c>
      <c r="J36" s="3053">
        <v>76.3</v>
      </c>
      <c r="K36" s="3053">
        <f t="shared" ref="K36:K41" si="3">J36-J35</f>
        <v>9.2999999999999972</v>
      </c>
      <c r="L36" s="3053" t="s">
        <v>2564</v>
      </c>
      <c r="M36" s="3053" t="s">
        <v>2565</v>
      </c>
    </row>
    <row r="37" spans="1:13">
      <c r="A37" s="3035" t="s">
        <v>2537</v>
      </c>
      <c r="B37" s="3036"/>
      <c r="C37" s="3036"/>
      <c r="D37" s="3036"/>
      <c r="E37" s="3036"/>
      <c r="F37" s="3036"/>
      <c r="G37" s="3037"/>
      <c r="I37" s="3053">
        <v>20</v>
      </c>
      <c r="J37" s="3053">
        <v>83.6</v>
      </c>
      <c r="K37" s="3053">
        <f t="shared" si="3"/>
        <v>7.2999999999999972</v>
      </c>
      <c r="L37" s="3053" t="s">
        <v>2563</v>
      </c>
      <c r="M37" s="3053">
        <v>10</v>
      </c>
    </row>
    <row r="38" spans="1:13">
      <c r="A38" s="3035" t="s">
        <v>2538</v>
      </c>
      <c r="B38" s="3036"/>
      <c r="C38" s="3036"/>
      <c r="D38" s="3036"/>
      <c r="E38" s="3036"/>
      <c r="F38" s="3036"/>
      <c r="G38" s="3037"/>
      <c r="I38" s="3053">
        <v>25</v>
      </c>
      <c r="J38" s="3053">
        <v>89.3</v>
      </c>
      <c r="K38" s="3053">
        <f t="shared" si="3"/>
        <v>5.7000000000000028</v>
      </c>
      <c r="L38" s="3053" t="s">
        <v>2567</v>
      </c>
      <c r="M38" s="3053">
        <v>8</v>
      </c>
    </row>
    <row r="39" spans="1:13">
      <c r="A39" s="3035"/>
      <c r="B39" s="3036"/>
      <c r="C39" s="3036"/>
      <c r="D39" s="3036"/>
      <c r="E39" s="3036"/>
      <c r="F39" s="3036"/>
      <c r="G39" s="3037"/>
      <c r="I39" s="3053">
        <v>30</v>
      </c>
      <c r="J39" s="3053">
        <v>93.8</v>
      </c>
      <c r="K39" s="3053">
        <f t="shared" si="3"/>
        <v>4.5</v>
      </c>
      <c r="L39" s="3053" t="s">
        <v>2568</v>
      </c>
      <c r="M39" s="3053">
        <v>6</v>
      </c>
    </row>
    <row r="40" spans="1:13">
      <c r="A40" s="3038" t="s">
        <v>2539</v>
      </c>
      <c r="B40" s="3039"/>
      <c r="C40" s="3039"/>
      <c r="D40" s="3039"/>
      <c r="E40" s="3039"/>
      <c r="F40" s="3039"/>
      <c r="G40" s="3040"/>
      <c r="I40" s="3053">
        <v>35</v>
      </c>
      <c r="J40" s="3053">
        <v>97.2</v>
      </c>
      <c r="K40" s="3053">
        <f t="shared" si="3"/>
        <v>3.4000000000000057</v>
      </c>
      <c r="L40" s="3053" t="s">
        <v>2569</v>
      </c>
      <c r="M40" s="3053">
        <v>3</v>
      </c>
    </row>
    <row r="41" spans="1:13">
      <c r="A41" s="3041" t="s">
        <v>2540</v>
      </c>
      <c r="B41" s="3042" t="s">
        <v>2541</v>
      </c>
      <c r="C41" s="3043" t="s">
        <v>2542</v>
      </c>
      <c r="D41" s="3043" t="s">
        <v>2543</v>
      </c>
      <c r="E41" s="3044"/>
      <c r="F41" s="3045"/>
      <c r="G41" s="3046"/>
      <c r="I41" s="3053">
        <v>40</v>
      </c>
      <c r="J41" s="3053">
        <v>100</v>
      </c>
      <c r="K41" s="3053">
        <f t="shared" si="3"/>
        <v>2.7999999999999972</v>
      </c>
    </row>
    <row r="42" spans="1:13">
      <c r="A42" s="3041" t="s">
        <v>2544</v>
      </c>
      <c r="B42" s="3042" t="s">
        <v>2545</v>
      </c>
      <c r="C42" s="3043" t="s">
        <v>2546</v>
      </c>
      <c r="D42" s="3047" t="s">
        <v>2547</v>
      </c>
      <c r="E42" s="3039" t="s">
        <v>2548</v>
      </c>
      <c r="F42" s="3039"/>
      <c r="G42" s="3040"/>
    </row>
    <row r="43" spans="1:13">
      <c r="A43" s="3041" t="s">
        <v>2549</v>
      </c>
      <c r="B43" s="3042" t="s">
        <v>2550</v>
      </c>
      <c r="C43" s="3043" t="s">
        <v>2551</v>
      </c>
      <c r="D43" s="3043" t="s">
        <v>2552</v>
      </c>
      <c r="E43" s="3044" t="s">
        <v>2553</v>
      </c>
      <c r="F43" s="3045"/>
      <c r="G43" s="3046"/>
      <c r="I43" s="3053" t="s">
        <v>2561</v>
      </c>
      <c r="J43" s="3053" t="s">
        <v>2572</v>
      </c>
    </row>
    <row r="44" spans="1:13">
      <c r="A44" s="3041" t="s">
        <v>2554</v>
      </c>
      <c r="B44" s="3042" t="s">
        <v>2555</v>
      </c>
      <c r="C44" s="3043" t="s">
        <v>2556</v>
      </c>
      <c r="D44" s="3047">
        <v>0.5</v>
      </c>
      <c r="E44" s="3044" t="s">
        <v>2557</v>
      </c>
      <c r="F44" s="3045"/>
      <c r="G44" s="3046"/>
      <c r="I44" s="3053">
        <v>30</v>
      </c>
      <c r="J44" s="3053">
        <v>81.7</v>
      </c>
    </row>
    <row r="45" spans="1:13" ht="14.25" thickBot="1">
      <c r="A45" s="3048" t="s">
        <v>2558</v>
      </c>
      <c r="B45" s="3049" t="s">
        <v>2545</v>
      </c>
      <c r="C45" s="3050" t="s">
        <v>2545</v>
      </c>
      <c r="D45" s="3050" t="s">
        <v>2559</v>
      </c>
      <c r="E45" s="3051" t="s">
        <v>2560</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90" zoomScaleNormal="100" zoomScaleSheetLayoutView="90" workbookViewId="0">
      <selection activeCell="AL55" sqref="AL5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1.25"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8"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3499"/>
      <c r="D1" s="3499"/>
      <c r="E1" s="3499"/>
      <c r="F1" s="3499"/>
      <c r="G1" s="3499"/>
      <c r="H1" s="3499"/>
      <c r="I1" s="3500"/>
      <c r="J1" s="2466"/>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c r="T1" s="1744"/>
      <c r="U1" s="1744"/>
      <c r="V1" s="1744"/>
      <c r="W1" s="1744"/>
      <c r="X1" s="1744"/>
      <c r="Y1" s="1744"/>
      <c r="Z1" s="1744"/>
      <c r="AA1" s="1744"/>
      <c r="AB1" s="1744"/>
    </row>
    <row r="2" spans="1:30">
      <c r="A2" s="2366" t="s">
        <v>2168</v>
      </c>
      <c r="B2" s="2370"/>
      <c r="C2" s="2371"/>
      <c r="D2" s="2665"/>
      <c r="E2" s="2657"/>
      <c r="F2" s="2657"/>
      <c r="G2" s="2658"/>
      <c r="H2" s="2658"/>
      <c r="I2" s="2658"/>
      <c r="J2" s="2466"/>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北京市昌平区黄平路19号院3号楼商业及地下车库用房房地产</v>
      </c>
      <c r="T2" s="1744"/>
      <c r="U2" s="1744"/>
      <c r="V2" s="1744"/>
      <c r="W2" s="1744"/>
      <c r="X2" s="1744"/>
      <c r="Y2" s="1744"/>
      <c r="Z2" s="1744"/>
      <c r="AA2" s="1744"/>
      <c r="AB2" s="1744"/>
    </row>
    <row r="3" spans="1:30">
      <c r="A3" s="302" t="s">
        <v>2169</v>
      </c>
      <c r="B3" s="2372"/>
      <c r="C3" s="2373" t="s">
        <v>2170</v>
      </c>
      <c r="D3" s="2372">
        <v>45058</v>
      </c>
      <c r="E3" s="2658"/>
      <c r="F3" s="2658"/>
      <c r="G3" s="2658"/>
      <c r="H3" s="2658"/>
      <c r="I3" s="2658"/>
      <c r="J3" s="2466"/>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t="s">
        <v>3370</v>
      </c>
      <c r="C4" s="2375">
        <f ca="1">SUMIF(注册房地产估价师,B4,估价师及机构信息!B3:B24)</f>
        <v>1120000080</v>
      </c>
      <c r="D4" s="2374" t="s">
        <v>3371</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6"/>
      <c r="K4" s="2377" t="str">
        <f ca="1">CONCATENATE(B4,"（注册号：",C4,")、",D4,"（注册号：",E4,")")</f>
        <v>欧红伟（注册号：1120000080)、崔锴（注册号：1120100036)</v>
      </c>
      <c r="L4" s="2368"/>
      <c r="M4" s="2368"/>
      <c r="N4" s="2369"/>
      <c r="O4" s="1575"/>
      <c r="P4" s="2369"/>
      <c r="Q4" s="2369"/>
      <c r="R4" s="2369"/>
      <c r="S4" s="1681"/>
      <c r="T4" s="1744"/>
      <c r="U4" s="1744"/>
      <c r="V4" s="1744"/>
      <c r="W4" s="1744"/>
      <c r="X4" s="1744"/>
      <c r="Y4" s="1744"/>
      <c r="Z4" s="1744"/>
      <c r="AA4" s="1744"/>
      <c r="AB4" s="1744"/>
    </row>
    <row r="5" spans="1:30" ht="24.75" thickTop="1">
      <c r="A5" s="2378" t="s">
        <v>2172</v>
      </c>
      <c r="B5" s="3795" t="s">
        <v>3372</v>
      </c>
      <c r="C5" s="2379"/>
      <c r="D5" s="2380"/>
      <c r="E5" s="2659"/>
      <c r="F5" s="2659"/>
      <c r="G5" s="2659"/>
      <c r="H5" s="2659"/>
      <c r="I5" s="2659"/>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2174</v>
      </c>
      <c r="B7" s="2385"/>
      <c r="C7" s="2383"/>
      <c r="D7" s="2384"/>
      <c r="E7" s="2657"/>
      <c r="F7" s="2659"/>
      <c r="G7" s="2659"/>
      <c r="H7" s="2659"/>
      <c r="I7" s="2659"/>
      <c r="J7" s="2436"/>
      <c r="K7" s="2611"/>
      <c r="L7" s="2608"/>
      <c r="M7" s="2608"/>
      <c r="N7" s="2436"/>
      <c r="O7" s="2447"/>
      <c r="P7" s="2436"/>
      <c r="Q7" s="2436"/>
      <c r="R7" s="2436"/>
    </row>
    <row r="8" spans="1:30">
      <c r="A8" s="2386" t="s">
        <v>2175</v>
      </c>
      <c r="B8" s="2387" t="s">
        <v>3373</v>
      </c>
      <c r="C8" s="2388"/>
      <c r="D8" s="3501" t="s">
        <v>2176</v>
      </c>
      <c r="E8" s="2389" t="s">
        <v>3374</v>
      </c>
      <c r="F8" s="2390"/>
      <c r="G8" s="2658"/>
      <c r="H8" s="2658"/>
      <c r="I8" s="2658"/>
      <c r="J8" s="2436"/>
      <c r="K8" s="2609"/>
      <c r="L8" s="2608"/>
      <c r="M8" s="2608"/>
      <c r="N8" s="2436"/>
      <c r="O8" s="2447"/>
      <c r="P8" s="2436"/>
      <c r="Q8" s="2436"/>
      <c r="R8" s="2436"/>
    </row>
    <row r="9" spans="1:30" ht="13.5" thickBot="1">
      <c r="A9" s="2391" t="s">
        <v>2177</v>
      </c>
      <c r="B9" s="2392" t="s">
        <v>3374</v>
      </c>
      <c r="C9" s="2393"/>
      <c r="D9" s="3502"/>
      <c r="E9" s="2392" t="s">
        <v>43</v>
      </c>
      <c r="F9" s="2394"/>
      <c r="G9" s="2660"/>
      <c r="H9" s="2660"/>
      <c r="I9" s="2660"/>
      <c r="J9" s="2436"/>
      <c r="K9" s="2611"/>
      <c r="L9" s="2608"/>
      <c r="M9" s="2608"/>
      <c r="N9" s="2436"/>
      <c r="O9" s="2447"/>
      <c r="P9" s="2436"/>
      <c r="Q9" s="2436"/>
      <c r="R9" s="2436"/>
    </row>
    <row r="10" spans="1:30" ht="13.5" thickTop="1">
      <c r="A10" s="2395" t="s">
        <v>2178</v>
      </c>
      <c r="B10" s="2396" t="s">
        <v>3375</v>
      </c>
      <c r="C10" s="2397"/>
      <c r="D10" s="2380"/>
      <c r="E10" s="2398" t="s">
        <v>2179</v>
      </c>
      <c r="F10" s="2661" t="s">
        <v>3376</v>
      </c>
      <c r="G10" s="2662"/>
      <c r="H10" s="2663"/>
      <c r="I10" s="2664"/>
      <c r="J10" s="2436"/>
      <c r="K10" s="2611"/>
      <c r="L10" s="2608"/>
      <c r="M10" s="2608"/>
      <c r="N10" s="2436"/>
      <c r="O10" s="2447"/>
      <c r="P10" s="2436"/>
      <c r="Q10" s="2436"/>
      <c r="R10" s="2436"/>
    </row>
    <row r="11" spans="1:30" ht="36">
      <c r="A11" s="2399" t="s">
        <v>2180</v>
      </c>
      <c r="B11" s="2400" t="s">
        <v>3377</v>
      </c>
      <c r="C11" s="3796" t="s">
        <v>3378</v>
      </c>
      <c r="D11" s="2401"/>
      <c r="E11" s="2369"/>
      <c r="F11" s="2369"/>
      <c r="G11" s="2369"/>
      <c r="H11" s="2369"/>
      <c r="I11" s="2369"/>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2573</v>
      </c>
      <c r="J12" s="3057"/>
      <c r="K12" s="2608"/>
      <c r="L12" s="2608"/>
      <c r="M12" s="2436"/>
      <c r="N12" s="2447"/>
      <c r="O12" s="2436"/>
      <c r="P12" s="2436"/>
      <c r="Q12" s="2436"/>
      <c r="AD12" s="1744"/>
    </row>
    <row r="13" spans="1:30">
      <c r="A13" s="3418" t="s">
        <v>3330</v>
      </c>
      <c r="B13" s="2404" t="s">
        <v>2189</v>
      </c>
      <c r="C13" s="856"/>
      <c r="D13" s="856">
        <v>54309</v>
      </c>
      <c r="E13" s="856"/>
      <c r="F13" s="856">
        <v>57961</v>
      </c>
      <c r="G13" s="856"/>
      <c r="H13" s="856"/>
      <c r="I13" s="856"/>
      <c r="J13" s="3057"/>
      <c r="K13" s="2608"/>
      <c r="L13" s="2608"/>
      <c r="M13" s="2436"/>
      <c r="N13" s="2447"/>
      <c r="O13" s="2436"/>
      <c r="P13" s="2436"/>
      <c r="Q13" s="2436"/>
      <c r="AD13" s="1744"/>
    </row>
    <row r="14" spans="1:30">
      <c r="A14" s="1081"/>
      <c r="B14" s="2404" t="s">
        <v>2190</v>
      </c>
      <c r="C14" s="2405"/>
      <c r="D14" s="2405">
        <v>40</v>
      </c>
      <c r="E14" s="2405"/>
      <c r="F14" s="2405">
        <v>50</v>
      </c>
      <c r="G14" s="2405"/>
      <c r="H14" s="2405"/>
      <c r="I14" s="2405"/>
      <c r="J14" s="3058"/>
      <c r="K14" s="2608"/>
      <c r="L14" s="2608"/>
      <c r="M14" s="2436"/>
      <c r="N14" s="2447"/>
      <c r="O14" s="2436"/>
      <c r="P14" s="2436"/>
      <c r="Q14" s="2436"/>
      <c r="AD14" s="1744"/>
    </row>
    <row r="15" spans="1:30">
      <c r="A15" s="320"/>
      <c r="B15" s="2406" t="s">
        <v>2191</v>
      </c>
      <c r="C15" s="2407" t="str">
        <f>IF(A13="出让",IF(C13="","",ROUNDDOWN(MIN((C13-$D$3)/365,C14),2)),C14)</f>
        <v/>
      </c>
      <c r="D15" s="2407">
        <f>IF(A13="出让",IF(D13="","",ROUNDDOWN(MIN((D13-$D$3)/365,D14),2)),D14)</f>
        <v>25.34</v>
      </c>
      <c r="E15" s="2407" t="str">
        <f>IF(A13="出让",IF(E13="","",ROUNDDOWN(MIN((E13-$D$3)/365,E14),2)),E14)</f>
        <v/>
      </c>
      <c r="F15" s="2407">
        <f>IF(A13="出让",IF(F13="","",ROUNDDOWN(MIN((F13-$D$3)/365,F14),2)),F14)</f>
        <v>35.35</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4"/>
    </row>
    <row r="16" spans="1:30">
      <c r="A16" s="2398" t="s">
        <v>2192</v>
      </c>
      <c r="B16" s="3508"/>
      <c r="C16" s="3509"/>
      <c r="D16" s="3510"/>
      <c r="E16" s="2410" t="s">
        <v>2193</v>
      </c>
      <c r="F16" s="3511"/>
      <c r="G16" s="3512"/>
      <c r="H16" s="3512"/>
      <c r="I16" s="3513"/>
      <c r="J16" s="2436"/>
      <c r="K16" s="2612"/>
      <c r="L16" s="2448"/>
      <c r="M16" s="2448"/>
      <c r="N16" s="2504"/>
      <c r="O16" s="2448"/>
      <c r="P16" s="2504"/>
      <c r="Q16" s="2436"/>
      <c r="R16" s="2436"/>
    </row>
    <row r="17" spans="1:28">
      <c r="A17" s="313" t="s">
        <v>2194</v>
      </c>
      <c r="B17" s="302" t="s">
        <v>2195</v>
      </c>
      <c r="C17" s="8">
        <f>'数据-汇总表'!E3</f>
        <v>65662.34</v>
      </c>
      <c r="D17" s="2321" t="s">
        <v>2196</v>
      </c>
      <c r="E17" s="3514" t="s">
        <v>2197</v>
      </c>
      <c r="F17" s="3515"/>
      <c r="G17" s="3515"/>
      <c r="H17" s="3515"/>
      <c r="I17" s="3516"/>
      <c r="J17" s="2436"/>
      <c r="K17" s="2613"/>
      <c r="L17" s="2448"/>
      <c r="M17" s="2448"/>
      <c r="N17" s="2504"/>
      <c r="O17" s="2448"/>
      <c r="P17" s="2504"/>
      <c r="Q17" s="2436"/>
      <c r="R17" s="2436"/>
      <c r="S17" s="2436"/>
      <c r="T17" s="2436"/>
      <c r="U17" s="2436"/>
      <c r="V17" s="2436"/>
    </row>
    <row r="18" spans="1:28" ht="24.75" thickBot="1">
      <c r="A18" s="2411" t="s">
        <v>2198</v>
      </c>
      <c r="B18" s="1090" t="s">
        <v>2199</v>
      </c>
      <c r="C18" s="2412">
        <f>'数据-汇总表'!D3</f>
        <v>17111.18</v>
      </c>
      <c r="D18" s="1092" t="s">
        <v>2200</v>
      </c>
      <c r="E18" s="3517" t="s">
        <v>2201</v>
      </c>
      <c r="F18" s="3518"/>
      <c r="G18" s="3518"/>
      <c r="H18" s="3518"/>
      <c r="I18" s="3519"/>
      <c r="J18" s="2436"/>
      <c r="K18" s="2613"/>
      <c r="L18" s="2448"/>
      <c r="M18" s="2448"/>
      <c r="N18" s="2504"/>
      <c r="O18" s="2448"/>
      <c r="P18" s="2504"/>
      <c r="Q18" s="2436"/>
      <c r="R18" s="2436"/>
      <c r="S18" s="2436"/>
      <c r="T18" s="2436"/>
      <c r="U18" s="2436"/>
      <c r="V18" s="2436"/>
    </row>
    <row r="19" spans="1:28" ht="39.75" thickTop="1" thickBot="1">
      <c r="A19" s="327" t="s">
        <v>1055</v>
      </c>
      <c r="B19" s="307" t="s">
        <v>2202</v>
      </c>
      <c r="C19" s="1562" t="s">
        <v>3379</v>
      </c>
      <c r="D19" s="1563" t="s">
        <v>2203</v>
      </c>
      <c r="E19" s="1564" t="s">
        <v>3380</v>
      </c>
      <c r="F19" s="1565" t="str">
        <f>IF(AND(C19="是",E19="否"),"是否提供他项权证或相关说明","")</f>
        <v>是否提供他项权证或相关说明</v>
      </c>
      <c r="G19" s="1566" t="s">
        <v>3380</v>
      </c>
      <c r="H19" s="2659"/>
      <c r="I19" s="2659"/>
      <c r="J19" s="2436"/>
      <c r="K19" s="2611"/>
      <c r="L19" s="2608"/>
      <c r="M19" s="2608"/>
      <c r="N19" s="2504"/>
      <c r="O19" s="2448"/>
      <c r="P19" s="2504"/>
      <c r="Q19" s="2436"/>
      <c r="R19" s="2436"/>
      <c r="S19" s="2436"/>
      <c r="T19" s="2436"/>
      <c r="U19" s="2436"/>
      <c r="V19" s="2436"/>
    </row>
    <row r="20" spans="1:28">
      <c r="A20" s="2627" t="s">
        <v>2204</v>
      </c>
      <c r="B20" s="3504" t="s">
        <v>2205</v>
      </c>
      <c r="C20" s="3505"/>
      <c r="D20" s="3506" t="s">
        <v>2206</v>
      </c>
      <c r="E20" s="3507"/>
      <c r="F20" s="2642" t="s">
        <v>1056</v>
      </c>
      <c r="G20" s="2659"/>
      <c r="H20" s="2659"/>
      <c r="I20" s="2659"/>
      <c r="J20" s="2436"/>
      <c r="K20" s="3503" t="s">
        <v>2207</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8"/>
      <c r="N20" s="2409"/>
      <c r="O20" s="2408"/>
      <c r="P20" s="2409"/>
      <c r="Q20" s="2369"/>
      <c r="R20" s="2369"/>
      <c r="S20" s="2369"/>
      <c r="T20" s="2369"/>
      <c r="U20" s="2369"/>
      <c r="V20" s="2369"/>
      <c r="W20" s="1744"/>
      <c r="X20" s="1744"/>
      <c r="Y20" s="1744"/>
      <c r="Z20" s="1744"/>
      <c r="AA20" s="1744"/>
      <c r="AB20" s="1744"/>
    </row>
    <row r="21" spans="1:28" ht="24.75" thickBot="1">
      <c r="A21" s="2627"/>
      <c r="B21" s="2628" t="s">
        <v>2208</v>
      </c>
      <c r="C21" s="2629" t="s">
        <v>3381</v>
      </c>
      <c r="D21" s="1567"/>
      <c r="E21" s="2630"/>
      <c r="F21" s="2643"/>
      <c r="G21" s="2659"/>
      <c r="H21" s="2659"/>
      <c r="I21" s="2659"/>
      <c r="J21" s="2436"/>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7"/>
      <c r="B22" s="2631" t="s">
        <v>2209</v>
      </c>
      <c r="C22" s="2629" t="s">
        <v>1057</v>
      </c>
      <c r="D22" s="2658"/>
      <c r="E22" s="2658"/>
      <c r="F22" s="2658"/>
      <c r="G22" s="2659"/>
      <c r="H22" s="2659"/>
      <c r="I22" s="2659"/>
      <c r="J22" s="2436"/>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1058</v>
      </c>
      <c r="C24" s="2636"/>
      <c r="D24" s="2632" t="s">
        <v>1058</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1059</v>
      </c>
      <c r="C25" s="2636"/>
      <c r="D25" s="2632" t="s">
        <v>1059</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1060</v>
      </c>
      <c r="C26" s="2640"/>
      <c r="D26" s="2638" t="s">
        <v>1060</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21" t="s">
        <v>2212</v>
      </c>
      <c r="B27" s="320" t="s">
        <v>2213</v>
      </c>
      <c r="C27" s="2413" t="s">
        <v>3382</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21"/>
      <c r="B28" s="302" t="s">
        <v>2214</v>
      </c>
      <c r="C28" s="2415" t="s">
        <v>3383</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21"/>
      <c r="B29" s="302" t="s">
        <v>2215</v>
      </c>
      <c r="C29" s="2417" t="s">
        <v>3380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22"/>
      <c r="B30" s="302" t="s">
        <v>2216</v>
      </c>
      <c r="C30" s="3523"/>
      <c r="D30" s="3524"/>
      <c r="E30" s="2659"/>
      <c r="F30" s="2659"/>
      <c r="G30" s="2659"/>
      <c r="H30" s="2659"/>
      <c r="I30" s="2659"/>
      <c r="J30" s="2436"/>
      <c r="K30" s="2611"/>
      <c r="L30" s="2608"/>
      <c r="M30" s="2608"/>
      <c r="N30" s="2436"/>
      <c r="O30" s="2447"/>
      <c r="P30" s="2436"/>
      <c r="Q30" s="2436"/>
      <c r="R30" s="2436"/>
      <c r="S30" s="2436"/>
      <c r="T30" s="2436"/>
      <c r="U30" s="2436"/>
      <c r="V30" s="2436"/>
    </row>
    <row r="31" spans="1:28">
      <c r="A31" s="3525" t="s">
        <v>2217</v>
      </c>
      <c r="B31" s="2419" t="s">
        <v>3384</v>
      </c>
      <c r="C31" s="2322" t="str">
        <f>IF(B31="现房","成新及维护状况正常否",IF(B31="在建","工程状态是否正常",IF(B31="土地","是否闲置","-")))</f>
        <v>成新及维护状况正常否</v>
      </c>
      <c r="D31" s="1372"/>
      <c r="E31" s="2420"/>
      <c r="F31" s="2659"/>
      <c r="G31" s="2659"/>
      <c r="H31" s="2659"/>
      <c r="I31" s="2659"/>
      <c r="J31" s="2436"/>
      <c r="K31" s="2610"/>
      <c r="L31" s="2608"/>
      <c r="M31" s="2608"/>
      <c r="N31" s="2436"/>
      <c r="O31" s="2447"/>
      <c r="P31" s="2436"/>
      <c r="Q31" s="2436"/>
      <c r="R31" s="2436"/>
      <c r="S31" s="2436"/>
      <c r="T31" s="2436"/>
      <c r="U31" s="2436"/>
      <c r="V31" s="2436"/>
    </row>
    <row r="32" spans="1:28">
      <c r="A32" s="3526"/>
      <c r="B32" s="2419"/>
      <c r="C32" s="2322" t="str">
        <f>IF(B32="现房","成新及维护状况是否正常",IF(B32="在建","工程状态是否正常",IF(B32="土地","是否闲置","-")))</f>
        <v>-</v>
      </c>
      <c r="D32" s="1372"/>
      <c r="E32" s="2420"/>
      <c r="F32" s="2659"/>
      <c r="G32" s="2659"/>
      <c r="H32" s="2659"/>
      <c r="I32" s="2659"/>
      <c r="J32" s="2436"/>
      <c r="K32" s="2611"/>
      <c r="L32" s="2608"/>
      <c r="M32" s="2608"/>
      <c r="N32" s="2436"/>
      <c r="O32" s="2447"/>
      <c r="P32" s="2436"/>
      <c r="Q32" s="2436"/>
      <c r="R32" s="2436"/>
      <c r="S32" s="2436"/>
      <c r="T32" s="2436"/>
      <c r="U32" s="2436"/>
      <c r="V32" s="2436"/>
    </row>
    <row r="33" spans="1:30">
      <c r="A33" s="3526"/>
      <c r="B33" s="2422"/>
      <c r="C33" s="1589" t="str">
        <f>IF(B33="现房","成新及维护状况是否正常",IF(B33="在建","工程状态是否正常",IF(B33="土地","是否闲置","-")))</f>
        <v>-</v>
      </c>
      <c r="D33" s="1364"/>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5" t="s">
        <v>3385</v>
      </c>
      <c r="C34" s="2025" t="s">
        <v>3386</v>
      </c>
      <c r="D34" s="2025" t="s">
        <v>3387</v>
      </c>
      <c r="E34" s="2025" t="s">
        <v>3388</v>
      </c>
      <c r="F34" s="2025" t="s">
        <v>3389</v>
      </c>
      <c r="G34" s="2025" t="s">
        <v>3390</v>
      </c>
      <c r="H34" s="2025" t="s">
        <v>3391</v>
      </c>
      <c r="I34" s="2659"/>
      <c r="J34" s="2436"/>
      <c r="K34" s="2424">
        <f>COUNTIF(B34:H34,"——")</f>
        <v>0</v>
      </c>
      <c r="L34" s="323" t="s">
        <v>2219</v>
      </c>
      <c r="M34" s="323" t="s">
        <v>2220</v>
      </c>
      <c r="N34" s="323" t="s">
        <v>2221</v>
      </c>
      <c r="O34" s="323" t="s">
        <v>2222</v>
      </c>
      <c r="P34" s="323" t="s">
        <v>2223</v>
      </c>
      <c r="Q34" s="323" t="s">
        <v>2224</v>
      </c>
      <c r="R34" s="323" t="s">
        <v>2225</v>
      </c>
      <c r="S34" s="3520" t="s">
        <v>2226</v>
      </c>
      <c r="T34" s="2425" t="str">
        <f>NUMBERSTRING(7-K34,1)&amp;"通"</f>
        <v>七通</v>
      </c>
      <c r="U34" s="2436"/>
      <c r="V34" s="2436"/>
    </row>
    <row r="35" spans="1:30">
      <c r="A35" s="2426"/>
      <c r="B35" s="3527" t="s">
        <v>2227</v>
      </c>
      <c r="C35" s="3527"/>
      <c r="D35" s="3527"/>
      <c r="E35" s="3527"/>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20"/>
      <c r="T35" s="329" t="str">
        <f>IF(T34="一通",L35,IF(T34="二通",M35,IF(T34="三通",N35,IF(T34="四通",O35,IF(T34="五通",P35,IF(T34="六通",Q35,R35))))))</f>
        <v>通路、通电、通讯、通上水、通下水、燃气、平整</v>
      </c>
      <c r="U35" s="2436"/>
      <c r="V35" s="2436"/>
    </row>
    <row r="36" spans="1:30">
      <c r="A36" s="2427"/>
      <c r="B36" s="664" t="s">
        <v>2184</v>
      </c>
      <c r="C36" s="664" t="s">
        <v>2185</v>
      </c>
      <c r="D36" s="664" t="s">
        <v>2183</v>
      </c>
      <c r="E36" s="664" t="s">
        <v>2188</v>
      </c>
      <c r="F36" s="3060" t="s">
        <v>2576</v>
      </c>
      <c r="G36" s="2659"/>
      <c r="H36" s="2659"/>
      <c r="I36" s="2659"/>
      <c r="J36" s="2436"/>
      <c r="K36" s="2611"/>
      <c r="L36" s="2608"/>
      <c r="M36" s="2608"/>
      <c r="N36" s="2436"/>
      <c r="O36" s="2447"/>
      <c r="P36" s="2436"/>
      <c r="Q36" s="2436"/>
      <c r="R36" s="2436"/>
      <c r="S36" s="2436"/>
      <c r="T36" s="2436"/>
      <c r="U36" s="2436"/>
      <c r="V36" s="2436"/>
    </row>
    <row r="37" spans="1:30">
      <c r="A37" s="2625" t="s">
        <v>2228</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2229</v>
      </c>
      <c r="B38" s="2429" t="s">
        <v>300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9"/>
      <c r="B40" s="2369"/>
      <c r="C40" s="2369"/>
      <c r="D40" s="2369"/>
      <c r="E40" s="2369"/>
      <c r="F40" s="2369"/>
      <c r="G40" s="2369"/>
      <c r="H40" s="2369"/>
      <c r="I40" s="1577"/>
      <c r="J40" s="2504"/>
      <c r="K40" s="2610"/>
      <c r="L40" s="2448"/>
      <c r="M40" s="2448"/>
      <c r="N40" s="2504"/>
      <c r="O40" s="2448"/>
      <c r="P40" s="2436"/>
      <c r="Q40" s="2436"/>
      <c r="R40" s="2436"/>
      <c r="S40" s="2436"/>
      <c r="T40" s="2436"/>
      <c r="U40" s="2436"/>
      <c r="V40" s="2436"/>
    </row>
    <row r="41" spans="1:30">
      <c r="A41" s="2433" t="s">
        <v>2231</v>
      </c>
      <c r="B41" s="1756"/>
      <c r="C41" s="1372"/>
      <c r="D41" s="2369"/>
      <c r="E41" s="2369"/>
      <c r="F41" s="2369"/>
      <c r="G41" s="2369"/>
      <c r="H41" s="2369"/>
      <c r="I41" s="1575"/>
      <c r="J41" s="2436"/>
      <c r="K41" s="2611"/>
      <c r="L41" s="2608"/>
      <c r="M41" s="2608"/>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AL55" sqref="AL55"/>
      <selection pane="topRight" activeCell="AL55" sqref="AL55"/>
      <selection pane="bottomLeft" activeCell="AL55" sqref="AL55"/>
      <selection pane="bottomRight" activeCell="AL55" sqref="AL5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1066</v>
      </c>
      <c r="AZ2" s="1049"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17111.18</v>
      </c>
      <c r="B3" s="11">
        <f>IF(C3="否",G5-AT5,G5)</f>
        <v>65662.34</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65662.34</v>
      </c>
      <c r="H5" s="13">
        <f t="shared" ref="H5:AT5" si="0">SUM(H13:H656)</f>
        <v>65110.920000000006</v>
      </c>
      <c r="I5" s="13">
        <f t="shared" si="0"/>
        <v>38627.68</v>
      </c>
      <c r="J5" s="13">
        <f t="shared" si="0"/>
        <v>0</v>
      </c>
      <c r="K5" s="13">
        <f t="shared" si="0"/>
        <v>14121.230000000001</v>
      </c>
      <c r="L5" s="13">
        <f t="shared" si="0"/>
        <v>0</v>
      </c>
      <c r="M5" s="13">
        <f t="shared" si="0"/>
        <v>12362.01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551.41999999999996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551.41999999999996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65662.34</v>
      </c>
      <c r="BA5" s="15">
        <f t="shared" si="1"/>
        <v>65110.920000000006</v>
      </c>
      <c r="BB5" s="15">
        <f t="shared" si="1"/>
        <v>38627.68</v>
      </c>
      <c r="BC5" s="15">
        <f t="shared" si="1"/>
        <v>14121.230000000001</v>
      </c>
      <c r="BD5" s="15">
        <f t="shared" si="1"/>
        <v>12362.01</v>
      </c>
      <c r="BE5" s="15">
        <f t="shared" si="1"/>
        <v>0</v>
      </c>
      <c r="BF5" s="15">
        <f t="shared" si="1"/>
        <v>0</v>
      </c>
      <c r="BG5" s="15">
        <f t="shared" si="1"/>
        <v>0</v>
      </c>
      <c r="BH5" s="15">
        <f t="shared" si="1"/>
        <v>0</v>
      </c>
      <c r="BI5" s="15">
        <f t="shared" si="1"/>
        <v>0</v>
      </c>
      <c r="BJ5" s="15">
        <f t="shared" si="1"/>
        <v>0</v>
      </c>
      <c r="BK5" s="15">
        <f t="shared" si="1"/>
        <v>0</v>
      </c>
      <c r="BL5" s="15">
        <f t="shared" si="1"/>
        <v>551.41999999999996</v>
      </c>
      <c r="BM5" s="15">
        <f t="shared" si="1"/>
        <v>0</v>
      </c>
      <c r="BN5" s="15">
        <f t="shared" si="1"/>
        <v>0</v>
      </c>
      <c r="BO5" s="15">
        <f t="shared" si="1"/>
        <v>0</v>
      </c>
      <c r="BP5" s="15">
        <f t="shared" si="1"/>
        <v>0</v>
      </c>
      <c r="BQ5" s="15">
        <f t="shared" si="1"/>
        <v>551.41999999999996</v>
      </c>
      <c r="BR5" s="15">
        <f t="shared" si="1"/>
        <v>0</v>
      </c>
      <c r="BS5" s="15">
        <f t="shared" si="1"/>
        <v>0</v>
      </c>
      <c r="BT5" s="16">
        <f t="shared" si="1"/>
        <v>0</v>
      </c>
    </row>
    <row r="6" spans="1:72" s="1588" customFormat="1" ht="12.75">
      <c r="A6" s="12" t="s">
        <v>1071</v>
      </c>
      <c r="B6" s="1585"/>
      <c r="C6" s="1585"/>
      <c r="D6" s="1586"/>
      <c r="E6" s="13">
        <f>H6+AC6+AT6</f>
        <v>17111.18</v>
      </c>
      <c r="F6" s="13" t="s">
        <v>0</v>
      </c>
      <c r="G6" s="13" t="s">
        <v>1</v>
      </c>
      <c r="H6" s="17">
        <f>SUMIF(I$12:AB$12,"总值",I6:AB6)</f>
        <v>16967.48</v>
      </c>
      <c r="I6" s="13">
        <f t="shared" ref="I6:AB6" si="2">ROUND($A$3*I5/$B$3,2)</f>
        <v>10066.120000000001</v>
      </c>
      <c r="J6" s="13">
        <f t="shared" si="2"/>
        <v>0</v>
      </c>
      <c r="K6" s="13">
        <f t="shared" si="2"/>
        <v>3679.9</v>
      </c>
      <c r="L6" s="13">
        <f t="shared" si="2"/>
        <v>0</v>
      </c>
      <c r="M6" s="13">
        <f t="shared" si="2"/>
        <v>3221.46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143.69999999999999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143.69999999999999</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17111.18</v>
      </c>
      <c r="AZ6" s="13" t="s">
        <v>2</v>
      </c>
      <c r="BA6" s="13">
        <f>ROUND($AY$6*BA5/$AZ$5,2)</f>
        <v>16967.48</v>
      </c>
      <c r="BB6" s="13">
        <f>ROUND($AY$6*BB5/$AZ$5,2)</f>
        <v>10066.120000000001</v>
      </c>
      <c r="BC6" s="13">
        <f t="shared" ref="BC6:BH6" si="4">ROUND($AY$6*BC5/$AZ$5,2)</f>
        <v>3679.9</v>
      </c>
      <c r="BD6" s="13">
        <f t="shared" si="4"/>
        <v>3221.46</v>
      </c>
      <c r="BE6" s="13">
        <f t="shared" si="4"/>
        <v>0</v>
      </c>
      <c r="BF6" s="13">
        <f t="shared" si="4"/>
        <v>0</v>
      </c>
      <c r="BG6" s="13">
        <f t="shared" si="4"/>
        <v>0</v>
      </c>
      <c r="BH6" s="13">
        <f t="shared" si="4"/>
        <v>0</v>
      </c>
      <c r="BI6" s="13">
        <f t="shared" ref="BI6:BT6" si="5">ROUND($AY$6*BI5/$AZ$5,2)</f>
        <v>0</v>
      </c>
      <c r="BJ6" s="13">
        <f t="shared" si="5"/>
        <v>0</v>
      </c>
      <c r="BK6" s="13">
        <f t="shared" si="5"/>
        <v>0</v>
      </c>
      <c r="BL6" s="13">
        <f t="shared" si="5"/>
        <v>143.69999999999999</v>
      </c>
      <c r="BM6" s="13">
        <f t="shared" si="5"/>
        <v>0</v>
      </c>
      <c r="BN6" s="13">
        <f t="shared" si="5"/>
        <v>0</v>
      </c>
      <c r="BO6" s="13">
        <f t="shared" si="5"/>
        <v>0</v>
      </c>
      <c r="BP6" s="13">
        <f t="shared" si="5"/>
        <v>0</v>
      </c>
      <c r="BQ6" s="13">
        <f t="shared" si="5"/>
        <v>143.69999999999999</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3399</v>
      </c>
      <c r="J9" s="809"/>
      <c r="K9" s="1602" t="s">
        <v>3401</v>
      </c>
      <c r="L9" s="809"/>
      <c r="M9" s="1602" t="s">
        <v>3401</v>
      </c>
      <c r="N9" s="809"/>
      <c r="O9" s="1602"/>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t="s">
        <v>673</v>
      </c>
      <c r="L10" s="809"/>
      <c r="M10" s="1608" t="s">
        <v>3403</v>
      </c>
      <c r="N10" s="809"/>
      <c r="O10" s="1608"/>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3400</v>
      </c>
      <c r="J11" s="1614"/>
      <c r="K11" s="1613" t="s">
        <v>3402</v>
      </c>
      <c r="L11" s="1614"/>
      <c r="M11" s="1613" t="s">
        <v>3331</v>
      </c>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车库—商业</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底商</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3392</v>
      </c>
      <c r="D13" s="1624" t="s">
        <v>3379</v>
      </c>
      <c r="E13" s="13">
        <f>IF($C$3="是",ROUND($A$3*G13/$B$3,2),ROUND($A$3*(G13-AT13)/$B$3,2))</f>
        <v>3077.85</v>
      </c>
      <c r="F13" s="29"/>
      <c r="G13" s="30">
        <f>H13+AC13+AT13</f>
        <v>11810.92</v>
      </c>
      <c r="H13" s="17">
        <f>SUMIF(I$12:AB$12,"总值",I13:AB13)</f>
        <v>11810.92</v>
      </c>
      <c r="I13" s="1625">
        <v>11810.92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3077.85</v>
      </c>
      <c r="AZ13" s="13">
        <f>BA13+BL13</f>
        <v>11810.92</v>
      </c>
      <c r="BA13" s="13">
        <f>SUM(BB13:BK13)</f>
        <v>11810.92</v>
      </c>
      <c r="BB13" s="13">
        <f>IF($D13="是",I13-J13,0)</f>
        <v>11810.92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3393</v>
      </c>
      <c r="D14" s="1624" t="s">
        <v>3379</v>
      </c>
      <c r="E14" s="13">
        <f>IF($C$3="是",ROUND($A$3*G14/$B$3,2),ROUND($A$3*(G14-AT14)/$B$3,2))</f>
        <v>3139.02</v>
      </c>
      <c r="F14" s="29"/>
      <c r="G14" s="30">
        <f>H14+AC14+AT14</f>
        <v>12045.64</v>
      </c>
      <c r="H14" s="17">
        <f>SUMIF(I$12:AB$12,"总值",I14:AB14)</f>
        <v>12045.64</v>
      </c>
      <c r="I14" s="1625">
        <v>12045.64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3139.02</v>
      </c>
      <c r="AZ14" s="13">
        <f>BA14+BL14</f>
        <v>12045.64</v>
      </c>
      <c r="BA14" s="13">
        <f>SUM(BB14:BK14)</f>
        <v>12045.64</v>
      </c>
      <c r="BB14" s="13">
        <f>IF($D14="是",I14-J14,0)</f>
        <v>12045.64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3394</v>
      </c>
      <c r="D15" s="1624" t="s">
        <v>3379</v>
      </c>
      <c r="E15" s="13">
        <f>IF($C$3="是",ROUND($A$3*G15/$B$3,2),ROUND($A$3*(G15-AT15)/$B$3,2))</f>
        <v>3132.3</v>
      </c>
      <c r="F15" s="29"/>
      <c r="G15" s="30">
        <f>H15+AC15+AT15</f>
        <v>12019.87</v>
      </c>
      <c r="H15" s="17">
        <f>SUMIF(I$12:AB$12,"总值",I15:AB15)</f>
        <v>12019.87</v>
      </c>
      <c r="I15" s="1625">
        <v>12019.87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3132.3</v>
      </c>
      <c r="AZ15" s="13">
        <f>BA15+BL15</f>
        <v>12019.87</v>
      </c>
      <c r="BA15" s="13">
        <f>SUM(BB15:BK15)</f>
        <v>12019.87</v>
      </c>
      <c r="BB15" s="13">
        <f>IF($D15="是",I15-J15,0)</f>
        <v>12019.87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
        <v>3395</v>
      </c>
      <c r="D16" s="1624" t="s">
        <v>3379</v>
      </c>
      <c r="E16" s="13">
        <f>IF($C$3="是",ROUND($A$3*G16/$B$3,2),ROUND($A$3*(G16-AT16)/$B$3,2))</f>
        <v>860.65</v>
      </c>
      <c r="F16" s="29"/>
      <c r="G16" s="30">
        <f>H16+AC16+AT16</f>
        <v>3302.67</v>
      </c>
      <c r="H16" s="17">
        <f>SUMIF(I$12:AB$12,"总值",I16:AB16)</f>
        <v>2751.25</v>
      </c>
      <c r="I16" s="1625">
        <v>2751.25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551.41999999999996</v>
      </c>
      <c r="AD16" s="1626"/>
      <c r="AE16" s="1626"/>
      <c r="AF16" s="1626"/>
      <c r="AG16" s="1626"/>
      <c r="AH16" s="1626"/>
      <c r="AI16" s="1626"/>
      <c r="AJ16" s="1626"/>
      <c r="AK16" s="1626"/>
      <c r="AL16" s="1626">
        <v>551.41999999999996</v>
      </c>
      <c r="AM16" s="1626"/>
      <c r="AN16" s="1626"/>
      <c r="AO16" s="1626"/>
      <c r="AP16" s="1626"/>
      <c r="AQ16" s="1626"/>
      <c r="AR16" s="1626"/>
      <c r="AS16" s="1626"/>
      <c r="AT16" s="1627"/>
      <c r="AU16" s="1628"/>
      <c r="AV16" s="8">
        <f t="shared" si="6"/>
        <v>0</v>
      </c>
      <c r="AW16" s="8">
        <f t="shared" si="6"/>
        <v>0</v>
      </c>
      <c r="AX16" s="8" t="str">
        <f t="shared" si="6"/>
        <v>4层</v>
      </c>
      <c r="AY16" s="1348">
        <f>ROUND($AY$6*AZ16/$AZ$5,2)</f>
        <v>860.65</v>
      </c>
      <c r="AZ16" s="13">
        <f>BA16+BL16</f>
        <v>3302.67</v>
      </c>
      <c r="BA16" s="13">
        <f>SUM(BB16:BK16)</f>
        <v>2751.25</v>
      </c>
      <c r="BB16" s="13">
        <f>IF($D16="是",I16-J16,0)</f>
        <v>2751.25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551.41999999999996</v>
      </c>
      <c r="BM16" s="13">
        <f>IF($D16="是",AD16-AE16,0)</f>
        <v>0</v>
      </c>
      <c r="BN16" s="13">
        <f>IF($D16="是",AF16-AG16,0)</f>
        <v>0</v>
      </c>
      <c r="BO16" s="13">
        <f>IF($D16="是",AH16-AI16,0)</f>
        <v>0</v>
      </c>
      <c r="BP16" s="13">
        <f>IF($D16="是",AJ16-AK16,0)</f>
        <v>0</v>
      </c>
      <c r="BQ16" s="13">
        <f>IF($D16="是",AL16-AM16,0)</f>
        <v>551.41999999999996</v>
      </c>
      <c r="BR16" s="13">
        <f>IF($D16="是",AN16-AO16,0)</f>
        <v>0</v>
      </c>
      <c r="BS16" s="13">
        <f>IF($D16="是",AP16-AQ16,0)</f>
        <v>0</v>
      </c>
      <c r="BT16" s="19">
        <f>IF($D16="是",AR16-AS16,0)</f>
        <v>0</v>
      </c>
    </row>
    <row r="17" spans="1:72" s="1578" customFormat="1" ht="12.75">
      <c r="A17" s="1051"/>
      <c r="B17" s="1051"/>
      <c r="C17" s="1569" t="s">
        <v>3396</v>
      </c>
      <c r="D17" s="1624" t="s">
        <v>3379</v>
      </c>
      <c r="E17" s="13">
        <f>IF($C$3="是",ROUND($A$3*G17/$B$3,2),ROUND($A$3*(G17-AT17)/$B$3,2))</f>
        <v>3309.61</v>
      </c>
      <c r="F17" s="29"/>
      <c r="G17" s="30">
        <f>H17+AC17+AT17</f>
        <v>12700.29</v>
      </c>
      <c r="H17" s="17">
        <f>SUMIF(I$12:AB$12,"总值",I17:AB17)</f>
        <v>12700.29</v>
      </c>
      <c r="I17" s="1625"/>
      <c r="J17" s="1625"/>
      <c r="K17" s="1625">
        <v>12700.29</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-1层</v>
      </c>
      <c r="AY17" s="1348">
        <f>ROUND($AY$6*AZ17/$AZ$5,2)</f>
        <v>3309.61</v>
      </c>
      <c r="AZ17" s="13">
        <f>BA17+BL17</f>
        <v>12700.29</v>
      </c>
      <c r="BA17" s="13">
        <f>SUM(BB17:BK17)</f>
        <v>12700.29</v>
      </c>
      <c r="BB17" s="13">
        <f>IF($D17="是",I17-J17,0)</f>
        <v>0</v>
      </c>
      <c r="BC17" s="13">
        <f>IF($D17="是",K17-L17,0)</f>
        <v>12700.29</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3397</v>
      </c>
      <c r="D18" s="1629" t="s">
        <v>3379</v>
      </c>
      <c r="E18" s="32">
        <f t="shared" ref="E18:E112" si="7">IF($C$3="是",ROUND($A$3*G18/$B$3,2),ROUND($A$3*(G18-AT18)/$B$3,2))</f>
        <v>370.29</v>
      </c>
      <c r="F18" s="33"/>
      <c r="G18" s="34">
        <f t="shared" ref="G18:G109" si="8">H18+AC18+AT18</f>
        <v>1420.94</v>
      </c>
      <c r="H18" s="35">
        <f t="shared" ref="H18:H109" si="9">SUMIF(I$12:AB$12,"总值",I18:AB18)</f>
        <v>1420.94</v>
      </c>
      <c r="I18" s="36"/>
      <c r="J18" s="36"/>
      <c r="K18" s="36">
        <v>1420.94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-1夹层</v>
      </c>
      <c r="AY18" s="39">
        <f t="shared" ref="AY18:AY109" si="14">ROUND($AY$6*AZ18/$AZ$5,2)</f>
        <v>370.29</v>
      </c>
      <c r="AZ18" s="32">
        <f t="shared" ref="AZ18:AZ109" si="15">BA18+BL18</f>
        <v>1420.94</v>
      </c>
      <c r="BA18" s="32">
        <f t="shared" ref="BA18:BA109" si="16">SUM(BB18:BK18)</f>
        <v>1420.94</v>
      </c>
      <c r="BB18" s="32">
        <f t="shared" ref="BB18:BB109" si="17">IF($D18="是",I18-J18,0)</f>
        <v>0</v>
      </c>
      <c r="BC18" s="32">
        <f t="shared" ref="BC18:BC109" si="18">IF($D18="是",K18-L18,0)</f>
        <v>1420.94</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3398</v>
      </c>
      <c r="D19" s="1629" t="s">
        <v>3379</v>
      </c>
      <c r="E19" s="32">
        <f t="shared" si="7"/>
        <v>3221.46</v>
      </c>
      <c r="F19" s="33"/>
      <c r="G19" s="34">
        <f t="shared" si="8"/>
        <v>12362.01</v>
      </c>
      <c r="H19" s="35">
        <f t="shared" si="9"/>
        <v>12362.01</v>
      </c>
      <c r="I19" s="36"/>
      <c r="J19" s="36"/>
      <c r="K19" s="36"/>
      <c r="L19" s="36"/>
      <c r="M19" s="36">
        <v>12362.01</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t="str">
        <f t="shared" si="13"/>
        <v>-2层</v>
      </c>
      <c r="AY19" s="39">
        <f t="shared" si="14"/>
        <v>3221.46</v>
      </c>
      <c r="AZ19" s="32">
        <f t="shared" si="15"/>
        <v>12362.01</v>
      </c>
      <c r="BA19" s="32">
        <f t="shared" si="16"/>
        <v>12362.01</v>
      </c>
      <c r="BB19" s="32">
        <f t="shared" si="17"/>
        <v>0</v>
      </c>
      <c r="BC19" s="32">
        <f t="shared" si="18"/>
        <v>0</v>
      </c>
      <c r="BD19" s="32">
        <f t="shared" si="19"/>
        <v>12362.01</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L55" sqref="AL5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7" t="s">
        <v>1130</v>
      </c>
      <c r="B2" s="3537"/>
      <c r="C2" s="3537"/>
      <c r="D2" s="796" t="s">
        <v>1106</v>
      </c>
      <c r="E2" s="1638" t="s">
        <v>1107</v>
      </c>
      <c r="F2" s="2654"/>
      <c r="G2" s="2645"/>
      <c r="H2" s="2646"/>
      <c r="I2" s="2324" t="s">
        <v>1131</v>
      </c>
      <c r="J2" s="2654"/>
      <c r="K2" s="2654"/>
      <c r="L2" s="2654"/>
      <c r="M2" s="2654"/>
      <c r="N2" s="2656"/>
      <c r="O2" s="2654"/>
      <c r="P2" s="2654"/>
    </row>
    <row r="3" spans="1:16" ht="15.75" thickBot="1">
      <c r="A3" s="3538" t="s">
        <v>1104</v>
      </c>
      <c r="B3" s="3538"/>
      <c r="C3" s="3538"/>
      <c r="D3" s="43">
        <f>'数据-基础表'!AY6</f>
        <v>17111.18</v>
      </c>
      <c r="E3" s="43">
        <f>'数据-基础表'!AZ5</f>
        <v>65662.34</v>
      </c>
      <c r="F3" s="2654"/>
      <c r="G3" s="1145"/>
      <c r="H3" s="1026" t="s">
        <v>1105</v>
      </c>
      <c r="I3" s="855">
        <f>ROUND('数据-基础表'!B3/'数据-基础表'!A3,2)</f>
        <v>3.84</v>
      </c>
      <c r="J3" s="2654"/>
      <c r="K3" s="2654"/>
      <c r="L3" s="2654"/>
      <c r="M3" s="2654"/>
      <c r="N3" s="2656"/>
      <c r="O3" s="2654"/>
      <c r="P3" s="2654"/>
    </row>
    <row r="4" spans="1:16" ht="15">
      <c r="A4" s="3539"/>
      <c r="B4" s="3540"/>
      <c r="C4" s="3541"/>
      <c r="D4" s="1640" t="s">
        <v>1106</v>
      </c>
      <c r="E4" s="1641" t="s">
        <v>1107</v>
      </c>
      <c r="F4" s="2654"/>
      <c r="G4" s="2647" t="s">
        <v>1132</v>
      </c>
      <c r="H4" s="1026" t="s">
        <v>1112</v>
      </c>
      <c r="I4" s="855">
        <f>ROUND(SUMIF('数据-基础表'!I9:AS9,"地上",'数据-基础表'!I5:AS5)/'数据-基础表'!A3,2)</f>
        <v>2.29</v>
      </c>
      <c r="J4" s="2654"/>
      <c r="K4" s="2654"/>
      <c r="L4" s="2654"/>
      <c r="M4" s="2654"/>
      <c r="N4" s="2656"/>
      <c r="O4" s="2654"/>
      <c r="P4" s="2654"/>
    </row>
    <row r="5" spans="1:16">
      <c r="A5" s="44" t="s">
        <v>1108</v>
      </c>
      <c r="B5" s="3542" t="s">
        <v>1109</v>
      </c>
      <c r="C5" s="3542"/>
      <c r="D5" s="45">
        <f>ROUND($D$3*E5/$E$3,2)</f>
        <v>0</v>
      </c>
      <c r="E5" s="46">
        <f>SUMIF('数据-基础表'!$11:$11,"住宅",'数据-基础表'!$5:$5)</f>
        <v>0</v>
      </c>
      <c r="F5" s="2654"/>
      <c r="G5" s="1145"/>
      <c r="H5" s="1026" t="s">
        <v>1105</v>
      </c>
      <c r="I5" s="855">
        <f>ROUND(E31/D31,2)</f>
        <v>3.84</v>
      </c>
      <c r="J5" s="2654"/>
      <c r="K5" s="2654"/>
      <c r="L5" s="2654"/>
      <c r="M5" s="2654"/>
      <c r="N5" s="2654"/>
      <c r="O5" s="2654"/>
      <c r="P5" s="2654"/>
    </row>
    <row r="6" spans="1:16" ht="15" thickBot="1">
      <c r="A6" s="1643"/>
      <c r="B6" s="3542" t="s">
        <v>1110</v>
      </c>
      <c r="C6" s="3542"/>
      <c r="D6" s="45">
        <f>ROUND($D$3*E6/$E$3,2)</f>
        <v>17111.18</v>
      </c>
      <c r="E6" s="46">
        <f>E3-E5</f>
        <v>65662.34</v>
      </c>
      <c r="F6" s="2654"/>
      <c r="G6" s="2648" t="s">
        <v>1111</v>
      </c>
      <c r="H6" s="1146" t="s">
        <v>1112</v>
      </c>
      <c r="I6" s="2649">
        <f>ROUND(F31/D31,2)</f>
        <v>2.29</v>
      </c>
      <c r="J6" s="2654"/>
      <c r="K6" s="2654"/>
      <c r="L6" s="2654"/>
      <c r="M6" s="2654"/>
      <c r="N6" s="2654"/>
      <c r="O6" s="2654"/>
      <c r="P6" s="2654"/>
    </row>
    <row r="7" spans="1:16" ht="15.75" thickBot="1">
      <c r="A7" s="3534"/>
      <c r="B7" s="3535"/>
      <c r="C7" s="3536"/>
      <c r="D7" s="1640" t="s">
        <v>1106</v>
      </c>
      <c r="E7" s="1644"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10066.120000000001</v>
      </c>
      <c r="E8" s="48">
        <f>SUMIF('数据-基础表'!BB10:BK10,"地上",'数据-基础表'!BB5:BK5)</f>
        <v>38627.68</v>
      </c>
      <c r="F8" s="2654"/>
      <c r="G8" s="2655"/>
      <c r="H8" s="2655"/>
      <c r="I8" s="2654"/>
      <c r="J8" s="2654"/>
      <c r="K8" s="2654"/>
      <c r="L8" s="2654"/>
      <c r="M8" s="2654"/>
      <c r="N8" s="2654"/>
      <c r="O8" s="2654"/>
      <c r="P8" s="2654"/>
    </row>
    <row r="9" spans="1:16">
      <c r="A9" s="1645"/>
      <c r="B9" s="1646"/>
      <c r="C9" s="45" t="s">
        <v>1118</v>
      </c>
      <c r="D9" s="45">
        <f t="shared" si="0"/>
        <v>0</v>
      </c>
      <c r="E9" s="49">
        <v>0</v>
      </c>
      <c r="F9" s="2654"/>
      <c r="G9" s="2655"/>
      <c r="H9" s="2655"/>
      <c r="I9" s="2654"/>
      <c r="J9" s="2654"/>
      <c r="K9" s="2654"/>
      <c r="L9" s="2654"/>
      <c r="M9" s="2654"/>
      <c r="N9" s="2654"/>
      <c r="O9" s="2654"/>
      <c r="P9" s="2654"/>
    </row>
    <row r="10" spans="1:16">
      <c r="A10" s="1645"/>
      <c r="B10" s="1646"/>
      <c r="C10" s="45" t="s">
        <v>1127</v>
      </c>
      <c r="D10" s="45">
        <f t="shared" si="0"/>
        <v>3679.9</v>
      </c>
      <c r="E10" s="48">
        <f>SUMPRODUCT(('数据-基础表'!BB10:BK10="地下")*('数据-基础表'!BB11:BK11="商业")*('数据-基础表'!BB5:BK5))</f>
        <v>14121.230000000001</v>
      </c>
      <c r="F10" s="2654"/>
      <c r="G10" s="2655"/>
      <c r="H10" s="2655"/>
      <c r="I10" s="2654"/>
      <c r="J10" s="2654"/>
      <c r="K10" s="2654"/>
      <c r="L10" s="2654"/>
      <c r="M10" s="2654"/>
      <c r="N10" s="2654"/>
      <c r="O10" s="2654"/>
      <c r="P10" s="2654"/>
    </row>
    <row r="11" spans="1:16">
      <c r="A11" s="1645"/>
      <c r="B11" s="1646"/>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1133</v>
      </c>
      <c r="D14" s="45">
        <f t="shared" si="0"/>
        <v>3221.46</v>
      </c>
      <c r="E14" s="48">
        <f>SUMPRODUCT(('数据-基础表'!BB10:BK10="地下")*('数据-基础表'!BB11:BK11="车库—商业")*('数据-基础表'!BB5:BK5))</f>
        <v>12362.01</v>
      </c>
      <c r="F14" s="2654"/>
      <c r="G14" s="2655"/>
      <c r="H14" s="2655"/>
      <c r="I14" s="2654"/>
      <c r="J14" s="2654"/>
      <c r="K14" s="2654"/>
      <c r="L14" s="2654"/>
      <c r="M14" s="2654"/>
      <c r="N14" s="2654"/>
      <c r="O14" s="2654"/>
      <c r="P14" s="2654"/>
    </row>
    <row r="15" spans="1:16" ht="15" thickBot="1">
      <c r="A15" s="1645"/>
      <c r="B15" s="1646"/>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1122</v>
      </c>
      <c r="D16" s="47">
        <f>SUM(D8:D15)</f>
        <v>16967.48</v>
      </c>
      <c r="E16" s="50">
        <f>SUM(E8:E15)</f>
        <v>65110.920000000006</v>
      </c>
      <c r="F16" s="2654"/>
      <c r="G16" s="2655"/>
      <c r="H16" s="1647" t="s">
        <v>1134</v>
      </c>
      <c r="I16" s="1648"/>
      <c r="J16" s="1139"/>
      <c r="K16" s="3531" t="s">
        <v>1134</v>
      </c>
      <c r="L16" s="3532"/>
      <c r="M16" s="3532"/>
      <c r="N16" s="3532"/>
      <c r="O16" s="3532"/>
      <c r="P16" s="3533"/>
    </row>
    <row r="17" spans="1:19" ht="15">
      <c r="A17" s="1649" t="s">
        <v>1135</v>
      </c>
      <c r="B17" s="1650" t="s">
        <v>1136</v>
      </c>
      <c r="C17" s="1651" t="s">
        <v>1137</v>
      </c>
      <c r="D17" s="1652" t="s">
        <v>1125</v>
      </c>
      <c r="E17" s="1653" t="s">
        <v>1126</v>
      </c>
      <c r="F17" s="1654"/>
      <c r="G17" s="1655"/>
      <c r="H17" s="1656" t="s">
        <v>1138</v>
      </c>
      <c r="I17" s="1657" t="s">
        <v>1123</v>
      </c>
      <c r="J17" s="1139"/>
      <c r="K17" s="3528" t="s">
        <v>1139</v>
      </c>
      <c r="L17" s="3529"/>
      <c r="M17" s="3530"/>
      <c r="N17" s="3528" t="s">
        <v>1140</v>
      </c>
      <c r="O17" s="3529"/>
      <c r="P17" s="3530"/>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2" t="s">
        <v>3404</v>
      </c>
      <c r="D19" s="45">
        <f>ROUND($D$3*E19/$E$3,2)</f>
        <v>13746.02</v>
      </c>
      <c r="E19" s="53">
        <f t="shared" ref="E19:E26" si="1">SUM(F19:G19)</f>
        <v>52748.91</v>
      </c>
      <c r="F19" s="2790">
        <f>'数据-基础表'!I5</f>
        <v>38627.68</v>
      </c>
      <c r="G19" s="2791">
        <f>'数据-基础表'!K5</f>
        <v>14121.230000000001</v>
      </c>
      <c r="H19" s="670">
        <f>ROUND($D$3*I19/$E$3,2)</f>
        <v>116.41</v>
      </c>
      <c r="I19" s="48">
        <f t="shared" ref="I19:I26" si="2">IF($I$17="自定义",P19,M19)</f>
        <v>446.73</v>
      </c>
      <c r="J19" s="1139"/>
      <c r="K19" s="1138">
        <f t="shared" ref="K19:K26" si="3">ROUND(E$28*E19/E$27,2)</f>
        <v>446.73</v>
      </c>
      <c r="L19" s="1026">
        <f t="shared" ref="L19:L26" si="4">ROUND(IF(COUNTIF(C19,"*住宅*")&gt;0,E$29*E19/E$32,0),2)</f>
        <v>0</v>
      </c>
      <c r="M19" s="1150">
        <f>K19+L19</f>
        <v>446.73</v>
      </c>
      <c r="N19" s="1667"/>
      <c r="O19" s="1668"/>
      <c r="P19" s="1150">
        <f>N19+O19</f>
        <v>0</v>
      </c>
      <c r="R19" s="1026">
        <f t="shared" ref="R19:S26" si="5">D19+H19</f>
        <v>13862.43</v>
      </c>
      <c r="S19" s="1027">
        <f t="shared" si="5"/>
        <v>53195.640000000007</v>
      </c>
    </row>
    <row r="20" spans="1:19">
      <c r="A20" s="1669"/>
      <c r="B20" s="47" t="s">
        <v>1152</v>
      </c>
      <c r="C20" s="3412" t="s">
        <v>3405</v>
      </c>
      <c r="D20" s="45">
        <f t="shared" ref="D20:D26" si="6">ROUND($D$3*E20/$E$3,2)</f>
        <v>3221.46</v>
      </c>
      <c r="E20" s="53">
        <f t="shared" si="1"/>
        <v>12362.01</v>
      </c>
      <c r="F20" s="2790"/>
      <c r="G20" s="2791">
        <f>'数据-基础表'!M5</f>
        <v>12362.01</v>
      </c>
      <c r="H20" s="670">
        <f t="shared" ref="H20:H26" si="7">ROUND($D$3*I20/$E$3,2)</f>
        <v>27.28</v>
      </c>
      <c r="I20" s="48">
        <f t="shared" si="2"/>
        <v>104.69</v>
      </c>
      <c r="J20" s="1139"/>
      <c r="K20" s="1138">
        <f t="shared" si="3"/>
        <v>104.69</v>
      </c>
      <c r="L20" s="1026">
        <f t="shared" si="4"/>
        <v>0</v>
      </c>
      <c r="M20" s="1150">
        <f t="shared" ref="M20:M26" si="8">K20+L20</f>
        <v>104.69</v>
      </c>
      <c r="N20" s="1667"/>
      <c r="O20" s="1668"/>
      <c r="P20" s="1150">
        <f t="shared" ref="P20:P26" si="9">N20+O20</f>
        <v>0</v>
      </c>
      <c r="R20" s="1026">
        <f t="shared" si="5"/>
        <v>3248.7400000000002</v>
      </c>
      <c r="S20" s="1027">
        <f t="shared" si="5"/>
        <v>12466.7</v>
      </c>
    </row>
    <row r="21" spans="1:19">
      <c r="A21" s="1669"/>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16967.48</v>
      </c>
      <c r="E27" s="1141">
        <f>IF(SUM(E19:E26)='数据-基础表'!BA5,SUM(E19:E26),IF(F27="地上面积有误","面积有误","地下面积有误"))</f>
        <v>65110.920000000006</v>
      </c>
      <c r="F27" s="1140">
        <f>IF(SUM(F19:F26)=E8,SUM(F19:F26),"地上面积有误")</f>
        <v>38627.68</v>
      </c>
      <c r="G27" s="1142">
        <f>SUM(G19:G26)</f>
        <v>26483.24</v>
      </c>
      <c r="H27" s="1143">
        <f>SUM(H19:H26)</f>
        <v>143.69</v>
      </c>
      <c r="I27" s="1144">
        <f>SUM(I19:I26)</f>
        <v>551.42000000000007</v>
      </c>
      <c r="J27" s="1139"/>
      <c r="K27" s="1147">
        <f>SUM(K19:K26)</f>
        <v>551.42000000000007</v>
      </c>
      <c r="L27" s="1148">
        <f>SUM(L19:L26)</f>
        <v>0</v>
      </c>
      <c r="M27" s="1151">
        <f>SUM(M19:M26)</f>
        <v>551.42000000000007</v>
      </c>
      <c r="N27" s="1147">
        <f t="shared" ref="N27:O27" si="10">SUM(N19:N26)</f>
        <v>0</v>
      </c>
      <c r="O27" s="1148">
        <f t="shared" si="10"/>
        <v>0</v>
      </c>
      <c r="P27" s="1149">
        <f>SUM(P19:P26)</f>
        <v>0</v>
      </c>
      <c r="R27" s="1028" t="str">
        <f>IF(SUM(R19:R26)=$D$3,SUM(R19:R26),SUM(R19:R26)&amp;"误差"&amp;ROUND(SUM(R19:R26)-$D$3,2))</f>
        <v>17111.17误差-0.01</v>
      </c>
      <c r="S27" s="1026">
        <f>IF(SUM(S19:S26)=$E$3,SUM(S19:S26),SUM(S19:S26)&amp;"误差"&amp;ROUND(SUM(S19:S26)-E3,2))</f>
        <v>65662.340000000011</v>
      </c>
    </row>
    <row r="28" spans="1:19">
      <c r="A28" s="1669"/>
      <c r="B28" s="47" t="s">
        <v>1154</v>
      </c>
      <c r="C28" s="1038" t="s">
        <v>1155</v>
      </c>
      <c r="D28" s="45">
        <f>ROUND($D$3*E28/$E$3,2)</f>
        <v>143.69999999999999</v>
      </c>
      <c r="E28" s="53">
        <f>SUM(F28:G28)</f>
        <v>551.41999999999996</v>
      </c>
      <c r="F28" s="56">
        <f>'数据-基础表'!BQ5+'数据-基础表'!BS5</f>
        <v>551.41999999999996</v>
      </c>
      <c r="G28" s="57">
        <f>'数据-基础表'!BR5+'数据-基础表'!BT5</f>
        <v>0</v>
      </c>
      <c r="H28" s="2654"/>
      <c r="I28" s="2654"/>
      <c r="J28" s="2654"/>
      <c r="K28" s="2654"/>
      <c r="L28" s="2654"/>
      <c r="M28" s="2654"/>
      <c r="N28" s="2654"/>
      <c r="O28" s="2654"/>
      <c r="P28" s="2654"/>
    </row>
    <row r="29" spans="1:19">
      <c r="A29" s="1669"/>
      <c r="B29" s="47" t="s">
        <v>1154</v>
      </c>
      <c r="C29" s="1673"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1153</v>
      </c>
      <c r="D30" s="1140">
        <f>SUM(D28:D29)</f>
        <v>143.69999999999999</v>
      </c>
      <c r="E30" s="1140">
        <f>SUM(E28:E29)</f>
        <v>551.41999999999996</v>
      </c>
      <c r="F30" s="1140">
        <f>SUM(F28:F29)</f>
        <v>551.41999999999996</v>
      </c>
      <c r="G30" s="1142">
        <f>SUM(G28:G29)</f>
        <v>0</v>
      </c>
      <c r="H30" s="2654"/>
      <c r="I30" s="2654"/>
      <c r="J30" s="2654"/>
      <c r="K30" s="2654"/>
      <c r="L30" s="2654"/>
      <c r="M30" s="2654"/>
      <c r="N30" s="2654"/>
      <c r="O30" s="2654"/>
      <c r="P30" s="2654"/>
    </row>
    <row r="31" spans="1:19" ht="15.75" thickBot="1">
      <c r="A31" s="1675"/>
      <c r="B31" s="1676"/>
      <c r="C31" s="835" t="s">
        <v>1157</v>
      </c>
      <c r="D31" s="676">
        <f>D27+D30</f>
        <v>17111.18</v>
      </c>
      <c r="E31" s="676">
        <f>E27+E30</f>
        <v>65662.340000000011</v>
      </c>
      <c r="F31" s="677">
        <f>F27+F30</f>
        <v>39179.1</v>
      </c>
      <c r="G31" s="678">
        <f>G27+G30</f>
        <v>26483.24</v>
      </c>
      <c r="H31" s="2654"/>
      <c r="I31" s="2654"/>
      <c r="J31" s="2654"/>
      <c r="K31" s="2654"/>
      <c r="L31" s="2654"/>
      <c r="M31" s="2654"/>
      <c r="N31" s="2654"/>
      <c r="O31" s="2654"/>
      <c r="P31" s="2654"/>
    </row>
    <row r="32" spans="1:19">
      <c r="A32" s="1642"/>
      <c r="B32" s="1642" t="s">
        <v>1158</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AL55" sqref="AL55"/>
      <selection pane="topRight" activeCell="AL55" sqref="AL55"/>
      <selection pane="bottomLeft" activeCell="AL55" sqref="AL55"/>
      <selection pane="bottomRight" activeCell="B20" sqref="B2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1160</v>
      </c>
      <c r="B2" s="1045">
        <f>项目基本情况!D3</f>
        <v>45058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3"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3409</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54309</v>
      </c>
      <c r="F6" s="64">
        <f>SUMIF(项目基本情况!C$12:I$12,C6,项目基本情况!C$15:I$15)</f>
        <v>25.34</v>
      </c>
      <c r="G6" s="65">
        <f>IF(ISERROR(ROUND(POWER(1+H6,D6-F6)*(POWER(1+H6,F6)-1)/(POWER(1+H6,D6)-1),3)),0,ROUND(POWER(1+H6,D6-F6)*(POWER(1+H6,F6)-1)/(POWER(1+H6,D6)-1),3))</f>
        <v>0.82699999999999996</v>
      </c>
      <c r="H6" s="732">
        <v>0.05</v>
      </c>
      <c r="I6" s="732">
        <v>5.5E-2</v>
      </c>
      <c r="J6" s="66">
        <v>7.0000000000000007E-2</v>
      </c>
      <c r="K6" s="1030">
        <f>SUMIF('数据-汇总表'!C$19:C$33,A6,'数据-汇总表'!E$19:E$33)</f>
        <v>52748.91</v>
      </c>
      <c r="L6" s="733">
        <v>4800</v>
      </c>
      <c r="M6" s="67">
        <f t="shared" ref="M6:M14" si="0">ROUND(K6*L6/10000,0)</f>
        <v>25319</v>
      </c>
      <c r="N6" s="731">
        <f>N19</f>
        <v>0.82</v>
      </c>
      <c r="O6" s="67" t="str">
        <f>IF($N$5="成新度","——",ROUND(M6*N6,0))</f>
        <v>——</v>
      </c>
      <c r="P6" s="68" t="str">
        <f>IF($N$5="成新度","——",M6-O6)</f>
        <v>——</v>
      </c>
      <c r="Q6" s="734">
        <v>0.2</v>
      </c>
      <c r="R6" s="69">
        <f ca="1">SUMIF('数据-汇总表'!C$19:C$33,A6,'数据-汇总表'!R$19:R$27)</f>
        <v>13862.43</v>
      </c>
      <c r="S6" s="51">
        <f>IF('数据-汇总表'!$I$17="按面积比例",SUMIF('数据-汇总表'!C$19:C$33,A6,'数据-汇总表'!K$19:K$33),SUMIF('数据-汇总表'!C$19:C$33,A6,'数据-汇总表'!N$19:N$33))</f>
        <v>446.73</v>
      </c>
      <c r="T6" s="1172">
        <f>ROUND($L$14*S6/10000,0)</f>
        <v>156</v>
      </c>
      <c r="U6" s="3423">
        <f>租赁明细!P113</f>
        <v>3.8</v>
      </c>
      <c r="V6" s="70">
        <v>0.03</v>
      </c>
      <c r="W6" s="70">
        <v>0.1</v>
      </c>
      <c r="X6" s="1040"/>
      <c r="Y6" s="71">
        <f>N6</f>
        <v>0.82</v>
      </c>
      <c r="Z6" s="72"/>
      <c r="AA6" s="66"/>
      <c r="AB6" s="66"/>
      <c r="AC6" s="1040"/>
      <c r="AD6" s="73"/>
      <c r="AE6" s="1041">
        <f ca="1">IF(AN6="",0,SUMIF(INDIRECT("'"&amp;AN6&amp;"'"&amp;"!E:E"),$AE$5,INDIRECT("'"&amp;AN6&amp;"'"&amp;"!F:F")))</f>
        <v>25.34</v>
      </c>
      <c r="AF6" s="1347"/>
      <c r="AG6" s="138">
        <f>IF(AF6="",0,AE6-AF6)</f>
        <v>0</v>
      </c>
      <c r="AH6" s="74"/>
      <c r="AI6" s="76">
        <v>365</v>
      </c>
      <c r="AJ6" s="77"/>
      <c r="AK6" s="78">
        <v>5.0000000000000001E-3</v>
      </c>
      <c r="AL6" s="79">
        <v>1E-3</v>
      </c>
      <c r="AM6" s="80">
        <v>5.0000000000000001E-3</v>
      </c>
      <c r="AN6" s="1714" t="s">
        <v>3417</v>
      </c>
      <c r="AO6" s="52">
        <f ca="1">SUMIF(INDIRECT("'"&amp;AN6&amp;"'"&amp;"!A:A"),"总价",INDIRECT("'"&amp;AN6&amp;"'"&amp;"!B:B"))</f>
        <v>97836</v>
      </c>
      <c r="AP6" s="1715">
        <f>IF(C6="住宅",K6*L6,0)</f>
        <v>0</v>
      </c>
      <c r="AQ6" s="52">
        <f>ROUND($L$14*$N$14*S6/10000,0)</f>
        <v>128</v>
      </c>
      <c r="AR6" s="52">
        <f>ROUND($L$14*(1-$N$14)*S6/10000,0)</f>
        <v>28</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3331</v>
      </c>
      <c r="D7" s="858">
        <f>SUMIF(项目基本情况!C$12:I$12,C7,项目基本情况!C$14:I$14)</f>
        <v>50</v>
      </c>
      <c r="E7" s="857">
        <f>IF(B7="","",SUMIF(项目基本情况!C$12:I$12,C7,项目基本情况!C$13:I$13))</f>
        <v>57961</v>
      </c>
      <c r="F7" s="64">
        <f>SUMIF(项目基本情况!C$12:I$12,C7,项目基本情况!C$15:I$15)</f>
        <v>35.35</v>
      </c>
      <c r="G7" s="65">
        <f t="shared" ref="G7:G11" si="2">IF(ISERROR(ROUND(POWER(1+H7,D7-F7)*(POWER(1+H7,F7)-1)/(POWER(1+H7,D7)-1),3)),0,ROUND(POWER(1+H7,D7-F7)*(POWER(1+H7,F7)-1)/(POWER(1+H7,D7)-1),3))</f>
        <v>0.88700000000000001</v>
      </c>
      <c r="H7" s="732">
        <v>4.4999999999999998E-2</v>
      </c>
      <c r="I7" s="732">
        <v>0.05</v>
      </c>
      <c r="J7" s="66">
        <f>J6</f>
        <v>7.0000000000000007E-2</v>
      </c>
      <c r="K7" s="1030">
        <f>SUMIF('数据-汇总表'!C$19:C$33,A7,'数据-汇总表'!E$19:E$33)</f>
        <v>12362.01</v>
      </c>
      <c r="L7" s="733">
        <v>3500</v>
      </c>
      <c r="M7" s="67">
        <f t="shared" si="0"/>
        <v>4327</v>
      </c>
      <c r="N7" s="731">
        <f>N6</f>
        <v>0.82</v>
      </c>
      <c r="O7" s="67" t="str">
        <f t="shared" ref="O7:O14" si="3">IF($N$5="成新度","——",ROUND(M7*N7,0))</f>
        <v>——</v>
      </c>
      <c r="P7" s="68" t="str">
        <f t="shared" ref="P7:P14" si="4">IF($N$5="成新度","——",M7-O7)</f>
        <v>——</v>
      </c>
      <c r="Q7" s="734">
        <v>0.08</v>
      </c>
      <c r="R7" s="69">
        <f ca="1">SUMIF('数据-汇总表'!C$19:C$33,A7,'数据-汇总表'!R$19:R$27)</f>
        <v>3248.7400000000002</v>
      </c>
      <c r="S7" s="51">
        <f>IF('数据-汇总表'!$I$17="按面积比例",SUMIF('数据-汇总表'!C$19:C$33,A7,'数据-汇总表'!K$19:K$33),SUMIF('数据-汇总表'!C$19:C$33,A7,'数据-汇总表'!N$19:N$33))</f>
        <v>104.69</v>
      </c>
      <c r="T7" s="1172">
        <f t="shared" ref="T7:T13" si="5">ROUND($L$14*S7/10000,0)</f>
        <v>37</v>
      </c>
      <c r="U7" s="3423">
        <v>800</v>
      </c>
      <c r="V7" s="70">
        <v>2.5000000000000001E-2</v>
      </c>
      <c r="W7" s="70">
        <f>W6</f>
        <v>0.1</v>
      </c>
      <c r="X7" s="1040"/>
      <c r="Y7" s="71">
        <f>Y6</f>
        <v>0.82</v>
      </c>
      <c r="Z7" s="72"/>
      <c r="AA7" s="66"/>
      <c r="AB7" s="66"/>
      <c r="AC7" s="1040"/>
      <c r="AD7" s="73"/>
      <c r="AE7" s="1041">
        <f t="shared" ref="AE7:AE13" ca="1" si="6">IF(AN7="",0,SUMIF(INDIRECT("'"&amp;AN7&amp;"'"&amp;"!E:E"),$AE$5,INDIRECT("'"&amp;AN7&amp;"'"&amp;"!F:F")))</f>
        <v>35.35</v>
      </c>
      <c r="AF7" s="1347"/>
      <c r="AG7" s="138">
        <f t="shared" ref="AG7:AG13" si="7">IF(AF7="",0,AE7-AF7)</f>
        <v>0</v>
      </c>
      <c r="AH7" s="74">
        <v>353</v>
      </c>
      <c r="AI7" s="76">
        <v>12</v>
      </c>
      <c r="AJ7" s="77"/>
      <c r="AK7" s="78">
        <f>AK6</f>
        <v>5.0000000000000001E-3</v>
      </c>
      <c r="AL7" s="79">
        <f>AL6</f>
        <v>1E-3</v>
      </c>
      <c r="AM7" s="80">
        <f>AM6</f>
        <v>5.0000000000000001E-3</v>
      </c>
      <c r="AN7" s="1714" t="s">
        <v>3419</v>
      </c>
      <c r="AO7" s="52">
        <f t="shared" ref="AO7:AO13" ca="1" si="8">SUMIF(INDIRECT("'"&amp;AN7&amp;"'"&amp;"!A:A"),"总价",INDIRECT("'"&amp;AN7&amp;"'"&amp;"!B:B"))</f>
        <v>5165</v>
      </c>
      <c r="AP7" s="1715">
        <f t="shared" ref="AP7:AP13" si="9">IF(C7="住宅",K7*L7,0)</f>
        <v>0</v>
      </c>
      <c r="AQ7" s="52">
        <f t="shared" ref="AQ7:AQ13" si="10">ROUND($L$14*$N$14*S7/10000,0)</f>
        <v>30</v>
      </c>
      <c r="AR7" s="52">
        <f t="shared" ref="AR7:AR13" si="11">ROUND($L$14*(1-$N$14)*S7/10000,0)</f>
        <v>7</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551.41999999999996</v>
      </c>
      <c r="L14" s="82">
        <f>L7</f>
        <v>3500</v>
      </c>
      <c r="M14" s="67">
        <f t="shared" si="0"/>
        <v>193</v>
      </c>
      <c r="N14" s="83">
        <f>N6</f>
        <v>0.82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0.83799999999999997</v>
      </c>
      <c r="H16" s="90">
        <f>ROUND(SUMPRODUCT(H6:H13,K6:K13)/SUMPRODUCT((H6:H13&gt;0)*(K6:K13)),3)</f>
        <v>4.9000000000000002E-2</v>
      </c>
      <c r="I16" s="91"/>
      <c r="J16" s="91"/>
      <c r="K16" s="92">
        <f>SUM(K6:K15)</f>
        <v>65662.340000000011</v>
      </c>
      <c r="L16" s="93">
        <f>ROUND(M16*10000/SUM(K6:K14),0)</f>
        <v>4544</v>
      </c>
      <c r="M16" s="93">
        <f>SUM(M6:M14)</f>
        <v>29839</v>
      </c>
      <c r="N16" s="94">
        <f>ROUND(SUMPRODUCT(M6:M14,N6:N14)/M16,3)</f>
        <v>0.82</v>
      </c>
      <c r="O16" s="93">
        <f>SUM(O6:O14)</f>
        <v>0</v>
      </c>
      <c r="P16" s="93">
        <f>SUM(P6:P14)</f>
        <v>0</v>
      </c>
      <c r="Q16" s="95">
        <f>ROUND(SUMPRODUCT(Q6:Q13,K6:K13)/SUMPRODUCT((Q6:Q13&gt;0)*(K6:K13)),2)</f>
        <v>0.18</v>
      </c>
      <c r="R16" s="1034">
        <f ca="1">SUM(R6:R13)</f>
        <v>17111.170000000002</v>
      </c>
      <c r="S16" s="96">
        <f>SUM(S6:S13)</f>
        <v>551.42000000000007</v>
      </c>
      <c r="T16" s="97">
        <f>IF(SUMIF(T6:T13,"&lt;9E307")=M14,SUMIF(T6:T13,"&lt;9E307"),"有误，请检查")</f>
        <v>193</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3797" t="s">
        <v>3406</v>
      </c>
      <c r="N18" s="2666">
        <v>2012</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1210</v>
      </c>
      <c r="B19" s="103">
        <v>0</v>
      </c>
      <c r="C19" s="2794" t="s">
        <v>2299</v>
      </c>
      <c r="D19" s="2671"/>
      <c r="E19" s="2668"/>
      <c r="F19" s="2668"/>
      <c r="G19" s="2668"/>
      <c r="H19" s="2668"/>
      <c r="I19" s="2668"/>
      <c r="J19" s="2668"/>
      <c r="K19" s="2667"/>
      <c r="L19" s="2667"/>
      <c r="M19" s="3797" t="s">
        <v>3407</v>
      </c>
      <c r="N19" s="2666">
        <f>ROUND(1-(1-0%)*(2023-N18)/60,2)</f>
        <v>0.82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1211</v>
      </c>
      <c r="B20" s="104">
        <v>2.5</v>
      </c>
      <c r="C20" s="2795" t="s">
        <v>2297</v>
      </c>
      <c r="D20" s="2671"/>
      <c r="E20" s="2668"/>
      <c r="F20" s="2668"/>
      <c r="G20" s="2668"/>
      <c r="H20" s="2668"/>
      <c r="I20" s="2668"/>
      <c r="J20" s="2668"/>
      <c r="K20" s="2667"/>
      <c r="L20" s="2667"/>
      <c r="M20" s="3797" t="s">
        <v>3408</v>
      </c>
      <c r="N20" s="2666">
        <v>0.9</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1212</v>
      </c>
      <c r="B21" s="104">
        <f>B20</f>
        <v>2.5</v>
      </c>
      <c r="C21" s="2668"/>
      <c r="D21" s="2671"/>
      <c r="E21" s="2668"/>
      <c r="F21" s="2668"/>
      <c r="G21" s="2668"/>
      <c r="H21" s="2668"/>
      <c r="I21" s="2668"/>
      <c r="J21" s="2668"/>
      <c r="K21" s="2667"/>
      <c r="L21" s="2667"/>
      <c r="M21" s="3797" t="s">
        <v>3691</v>
      </c>
      <c r="N21" s="2666">
        <f>ROUND((N20+N19)/2,2)</f>
        <v>0.86</v>
      </c>
      <c r="O21" s="2666"/>
      <c r="P21" s="2666"/>
      <c r="Q21" s="2666"/>
      <c r="R21" s="2666"/>
      <c r="S21" s="2666"/>
      <c r="T21" s="2666"/>
      <c r="U21" s="2666"/>
      <c r="V21" s="3797" t="s">
        <v>3410</v>
      </c>
      <c r="W21" s="3797" t="s">
        <v>3692</v>
      </c>
      <c r="X21" s="3797" t="s">
        <v>3411</v>
      </c>
      <c r="Y21" s="3797" t="s">
        <v>3412</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1213</v>
      </c>
      <c r="B22" s="105">
        <f>B19+B20</f>
        <v>2.5</v>
      </c>
      <c r="C22" s="2668"/>
      <c r="D22" s="2671"/>
      <c r="E22" s="2668"/>
      <c r="F22" s="2668"/>
      <c r="G22" s="2668"/>
      <c r="H22" s="2668"/>
      <c r="I22" s="2668"/>
      <c r="J22" s="2668"/>
      <c r="K22" s="2667"/>
      <c r="L22" s="2667"/>
      <c r="M22" s="2666"/>
      <c r="N22" s="2666"/>
      <c r="O22" s="2666"/>
      <c r="P22" s="2666"/>
      <c r="Q22" s="2666"/>
      <c r="R22" s="2666"/>
      <c r="S22" s="2666"/>
      <c r="T22" s="2666"/>
      <c r="U22" s="3797">
        <v>1</v>
      </c>
      <c r="V22" s="2666">
        <f>'数据-基础表'!H13</f>
        <v>11810.92</v>
      </c>
      <c r="W22" s="2666">
        <v>1</v>
      </c>
      <c r="X22" s="2666">
        <v>6</v>
      </c>
      <c r="Y22" s="2666">
        <f>X22*V22</f>
        <v>70865.52</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1214</v>
      </c>
      <c r="B23" s="105">
        <f>B19+B21</f>
        <v>2.5</v>
      </c>
      <c r="C23" s="2668"/>
      <c r="D23" s="2671"/>
      <c r="E23" s="2668"/>
      <c r="F23" s="2668"/>
      <c r="G23" s="2668"/>
      <c r="H23" s="2668"/>
      <c r="I23" s="2668"/>
      <c r="J23" s="2668"/>
      <c r="K23" s="2667"/>
      <c r="L23" s="2667"/>
      <c r="M23" s="2666"/>
      <c r="N23" s="2666"/>
      <c r="O23" s="2666"/>
      <c r="P23" s="2666"/>
      <c r="Q23" s="2666"/>
      <c r="R23" s="2666"/>
      <c r="S23" s="2666"/>
      <c r="T23" s="2666"/>
      <c r="U23" s="3797">
        <v>2</v>
      </c>
      <c r="V23" s="2666">
        <f>'数据-基础表'!H14</f>
        <v>12045.64</v>
      </c>
      <c r="W23" s="2666">
        <v>0.7</v>
      </c>
      <c r="X23" s="2666">
        <f>ROUND($X$22*W23,1)</f>
        <v>4.2</v>
      </c>
      <c r="Y23" s="2666">
        <f>X23*V23</f>
        <v>50591.688000000002</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v>3</v>
      </c>
      <c r="V24" s="2666">
        <f>'数据-基础表'!H15</f>
        <v>12019.87</v>
      </c>
      <c r="W24" s="794">
        <v>0.6</v>
      </c>
      <c r="X24" s="2666">
        <f>ROUND($X$22*W24,1)</f>
        <v>3.6</v>
      </c>
      <c r="Y24" s="2666">
        <f>X24*V24</f>
        <v>43271.532000000007</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v>4</v>
      </c>
      <c r="V25" s="2666">
        <f>'数据-基础表'!H16</f>
        <v>2751.25</v>
      </c>
      <c r="W25" s="2666">
        <v>0.5</v>
      </c>
      <c r="X25" s="2666">
        <f>ROUND($X$22*W25,1)</f>
        <v>3</v>
      </c>
      <c r="Y25" s="2666">
        <f>X25*V25</f>
        <v>8253.75</v>
      </c>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1216</v>
      </c>
      <c r="B26" s="1725" t="s">
        <v>1217</v>
      </c>
      <c r="C26" s="2672" t="s">
        <v>1218</v>
      </c>
      <c r="D26" s="2671"/>
      <c r="E26" s="2668"/>
      <c r="F26" s="2668"/>
      <c r="G26" s="2668"/>
      <c r="H26" s="2668"/>
      <c r="I26" s="2668"/>
      <c r="J26" s="2668"/>
      <c r="K26" s="2667"/>
      <c r="L26" s="2667"/>
      <c r="M26" s="2666"/>
      <c r="N26" s="2666"/>
      <c r="O26" s="2666"/>
      <c r="P26" s="2666"/>
      <c r="Q26" s="2666"/>
      <c r="R26" s="2666"/>
      <c r="S26" s="2666"/>
      <c r="T26" s="2666"/>
      <c r="U26" s="2666">
        <v>-1</v>
      </c>
      <c r="V26" s="2666">
        <f>'数据-基础表'!H17</f>
        <v>12700.29</v>
      </c>
      <c r="W26" s="2666">
        <v>0.6</v>
      </c>
      <c r="X26" s="2666">
        <f>ROUND($X$22*W26,1)</f>
        <v>3.6</v>
      </c>
      <c r="Y26" s="2666">
        <f>X26*V26</f>
        <v>45721.044000000002</v>
      </c>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1219</v>
      </c>
      <c r="B27" s="107">
        <v>160</v>
      </c>
      <c r="C27" s="2796" t="s">
        <v>2301</v>
      </c>
      <c r="D27" s="2674"/>
      <c r="E27" s="2656"/>
      <c r="F27" s="2656"/>
      <c r="G27" s="2668"/>
      <c r="H27" s="2668"/>
      <c r="I27" s="2668"/>
      <c r="J27" s="2668"/>
      <c r="K27" s="2667"/>
      <c r="L27" s="2667"/>
      <c r="M27" s="2666"/>
      <c r="N27" s="2666"/>
      <c r="O27" s="2666"/>
      <c r="P27" s="2666"/>
      <c r="Q27" s="2666"/>
      <c r="R27" s="2666"/>
      <c r="S27" s="2666"/>
      <c r="T27" s="2666"/>
      <c r="U27" s="2666">
        <v>-2</v>
      </c>
      <c r="V27" s="2666">
        <f>'数据-基础表'!H18</f>
        <v>1420.94</v>
      </c>
      <c r="W27" s="2666">
        <v>0.5</v>
      </c>
      <c r="X27" s="2666">
        <f>ROUND($X$22*W27,1)</f>
        <v>3</v>
      </c>
      <c r="Y27" s="2666">
        <f>X27*V27</f>
        <v>4262.82</v>
      </c>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f>ROUND(Y28/K6,1)</f>
        <v>4.2</v>
      </c>
      <c r="Y28" s="2666">
        <f>SUM(Y22:Y27)</f>
        <v>222966.35400000002</v>
      </c>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1313</v>
      </c>
      <c r="C29" s="2797" t="s">
        <v>2288</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0.04</v>
      </c>
      <c r="C33" s="2798" t="s">
        <v>2289</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8" t="s">
        <v>2290</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98" t="s">
        <v>2291</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8" t="s">
        <v>2292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1229</v>
      </c>
      <c r="B37" s="115">
        <v>0.02</v>
      </c>
      <c r="C37" s="2798"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1230</v>
      </c>
      <c r="B38" s="113">
        <v>0.02</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3413</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1235</v>
      </c>
      <c r="B44" s="119">
        <v>0.05</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1236</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1237</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1238</v>
      </c>
      <c r="B47" s="120">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1239</v>
      </c>
      <c r="B48" s="121">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1240</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1243</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1244</v>
      </c>
      <c r="B53" s="1737" t="s">
        <v>29</v>
      </c>
      <c r="C53" s="2656" t="s">
        <v>1245</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1251</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L55" sqref="AL55"/>
      <selection pane="topRight" activeCell="AL55" sqref="AL55"/>
      <selection pane="bottomLeft" activeCell="AL55" sqref="AL55"/>
      <selection pane="bottomRight" activeCell="M12" sqref="M12"/>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4" customFormat="1" ht="18.75" thickBot="1">
      <c r="A1" s="3543" t="s">
        <v>2280</v>
      </c>
      <c r="B1" s="3544"/>
      <c r="C1" s="3544"/>
      <c r="D1" s="3544"/>
      <c r="E1" s="3544"/>
      <c r="F1" s="3544"/>
      <c r="G1" s="35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9"/>
      <c r="I2" s="799"/>
      <c r="J2" s="799"/>
      <c r="K2" s="799"/>
      <c r="L2" s="799"/>
      <c r="M2" s="799"/>
      <c r="N2" s="799"/>
      <c r="O2" s="799"/>
      <c r="P2" s="799"/>
      <c r="Q2" s="799"/>
      <c r="R2" s="799"/>
    </row>
    <row r="3" spans="1:29" ht="25.5">
      <c r="A3" s="2438" t="s">
        <v>2278</v>
      </c>
      <c r="B3" s="2460" t="s">
        <v>2250</v>
      </c>
      <c r="C3" s="3800" t="s">
        <v>3427</v>
      </c>
      <c r="D3" s="2461"/>
      <c r="E3" s="2439" t="s">
        <v>2278</v>
      </c>
      <c r="F3" s="2462" t="s">
        <v>2251</v>
      </c>
      <c r="G3" s="2463" t="s">
        <v>2279</v>
      </c>
      <c r="H3" s="799"/>
      <c r="I3" s="799"/>
      <c r="J3" s="799"/>
      <c r="K3" s="799"/>
      <c r="L3" s="799"/>
      <c r="M3" s="799"/>
      <c r="N3" s="799"/>
      <c r="O3" s="799"/>
      <c r="P3" s="799"/>
      <c r="Q3" s="799"/>
      <c r="R3" s="799"/>
    </row>
    <row r="4" spans="1:29" ht="36">
      <c r="A4" s="2439"/>
      <c r="B4" s="323" t="s">
        <v>2252</v>
      </c>
      <c r="C4" s="3801" t="s">
        <v>3429</v>
      </c>
      <c r="D4" s="2461"/>
      <c r="E4" s="2464"/>
      <c r="F4" s="1372" t="s">
        <v>2253</v>
      </c>
      <c r="G4" s="2465" t="s">
        <v>2254</v>
      </c>
      <c r="H4" s="799"/>
      <c r="I4" s="799"/>
      <c r="J4" s="799"/>
      <c r="K4" s="799"/>
      <c r="L4" s="799"/>
      <c r="M4" s="799"/>
      <c r="N4" s="799"/>
      <c r="O4" s="799"/>
      <c r="P4" s="799"/>
      <c r="Q4" s="799"/>
      <c r="R4" s="799"/>
    </row>
    <row r="5" spans="1:29" ht="24">
      <c r="A5" s="2439"/>
      <c r="B5" s="323" t="s">
        <v>2255</v>
      </c>
      <c r="C5" s="3801" t="s">
        <v>3429</v>
      </c>
      <c r="D5" s="2461"/>
      <c r="E5" s="2464"/>
      <c r="F5" s="323" t="s">
        <v>2256</v>
      </c>
      <c r="G5" s="2465" t="s">
        <v>2257</v>
      </c>
      <c r="H5" s="799"/>
      <c r="I5" s="799"/>
      <c r="J5" s="799"/>
      <c r="K5" s="799"/>
      <c r="L5" s="799"/>
      <c r="M5" s="799"/>
      <c r="N5" s="799"/>
      <c r="O5" s="799"/>
      <c r="P5" s="799"/>
      <c r="Q5" s="799"/>
      <c r="R5" s="799"/>
    </row>
    <row r="6" spans="1:29">
      <c r="A6" s="2439"/>
      <c r="B6" s="323" t="s">
        <v>2258</v>
      </c>
      <c r="C6" s="3802" t="s">
        <v>3430</v>
      </c>
      <c r="D6" s="2461"/>
      <c r="E6" s="2464"/>
      <c r="F6" s="323" t="s">
        <v>2259</v>
      </c>
      <c r="G6" s="2465" t="s">
        <v>2260</v>
      </c>
      <c r="H6" s="799"/>
      <c r="I6" s="799"/>
      <c r="J6" s="799"/>
      <c r="K6" s="799"/>
      <c r="L6" s="799"/>
      <c r="M6" s="799"/>
      <c r="N6" s="799"/>
      <c r="O6" s="799"/>
      <c r="P6" s="799"/>
      <c r="Q6" s="799"/>
      <c r="R6" s="799"/>
    </row>
    <row r="7" spans="1:29" ht="24.75" thickBot="1">
      <c r="A7" s="2439"/>
      <c r="B7" s="323" t="s">
        <v>2256</v>
      </c>
      <c r="C7" s="3802" t="s">
        <v>3431</v>
      </c>
      <c r="D7" s="2466"/>
      <c r="E7" s="2467"/>
      <c r="F7" s="2468" t="s">
        <v>2261</v>
      </c>
      <c r="G7" s="2469" t="s">
        <v>2262</v>
      </c>
      <c r="H7" s="799"/>
      <c r="I7" s="799"/>
      <c r="J7" s="799"/>
      <c r="K7" s="799"/>
      <c r="L7" s="799"/>
      <c r="M7" s="799"/>
      <c r="N7" s="799"/>
      <c r="O7" s="799"/>
      <c r="P7" s="799"/>
      <c r="Q7" s="799"/>
      <c r="R7" s="799"/>
    </row>
    <row r="8" spans="1:29">
      <c r="A8" s="2439"/>
      <c r="B8" s="323" t="s">
        <v>2259</v>
      </c>
      <c r="C8" s="3802" t="s">
        <v>3433</v>
      </c>
      <c r="D8" s="2466"/>
      <c r="E8" s="2466"/>
      <c r="F8" s="2470"/>
      <c r="G8" s="2470"/>
      <c r="H8" s="799"/>
      <c r="I8" s="799"/>
      <c r="J8" s="799"/>
      <c r="K8" s="799"/>
      <c r="L8" s="799"/>
      <c r="M8" s="799"/>
      <c r="N8" s="799"/>
      <c r="O8" s="799"/>
      <c r="P8" s="799"/>
      <c r="Q8" s="799"/>
      <c r="R8" s="799"/>
    </row>
    <row r="9" spans="1:29">
      <c r="A9" s="2439"/>
      <c r="B9" s="323" t="s">
        <v>2263</v>
      </c>
      <c r="C9" s="3801" t="s">
        <v>3431</v>
      </c>
      <c r="D9" s="2461"/>
      <c r="E9" s="2466"/>
      <c r="F9" s="2470"/>
      <c r="G9" s="2470"/>
      <c r="H9" s="799"/>
      <c r="I9" s="799"/>
      <c r="J9" s="799"/>
      <c r="K9" s="799"/>
      <c r="L9" s="799"/>
      <c r="M9" s="799"/>
      <c r="N9" s="799"/>
      <c r="O9" s="799"/>
      <c r="P9" s="799"/>
      <c r="Q9" s="799"/>
      <c r="R9" s="799"/>
    </row>
    <row r="10" spans="1:29" s="2476" customFormat="1" ht="15" thickBot="1">
      <c r="A10" s="2440"/>
      <c r="B10" s="2471" t="s">
        <v>2264</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2281</v>
      </c>
      <c r="B13" s="2479"/>
      <c r="C13" s="2479"/>
      <c r="D13" s="2477"/>
      <c r="E13" s="2479"/>
      <c r="F13" s="2479"/>
      <c r="G13" s="2479"/>
    </row>
    <row r="14" spans="1:29" ht="15" thickBot="1">
      <c r="A14" s="2489"/>
      <c r="B14" s="2489"/>
      <c r="C14" s="2490" t="s">
        <v>2265</v>
      </c>
      <c r="D14" s="2461"/>
      <c r="E14" s="2491"/>
      <c r="F14" s="2491"/>
      <c r="G14" s="2457" t="s">
        <v>2266</v>
      </c>
    </row>
    <row r="15" spans="1:29" ht="51">
      <c r="A15" s="2441" t="s">
        <v>2267</v>
      </c>
      <c r="B15" s="2492" t="s">
        <v>2250</v>
      </c>
      <c r="C15" s="2493" t="str">
        <f>C3</f>
        <v>较好</v>
      </c>
      <c r="D15" s="2461"/>
      <c r="E15" s="2442" t="s">
        <v>2268</v>
      </c>
      <c r="F15" s="2492" t="s">
        <v>2269</v>
      </c>
      <c r="G15" s="2494" t="str">
        <f>G3</f>
        <v>估价对象位于XX开发区，园区建设成熟度XX，产业集聚程度XX</v>
      </c>
    </row>
    <row r="16" spans="1:29" ht="38.25">
      <c r="A16" s="2443"/>
      <c r="B16" s="2495" t="s">
        <v>2252</v>
      </c>
      <c r="C16" s="2496" t="str">
        <f>C4</f>
        <v>一般</v>
      </c>
      <c r="D16" s="2461"/>
      <c r="E16" s="2444"/>
      <c r="F16" s="2497" t="s">
        <v>2253</v>
      </c>
      <c r="G16" s="2498" t="str">
        <f>G4</f>
        <v>估价对象周边道路状况、公共交通通达情况、停车便捷程度，综合评价交通便捷度较好</v>
      </c>
    </row>
    <row r="17" spans="1:18" ht="38.25">
      <c r="A17" s="2443"/>
      <c r="B17" s="2495" t="s">
        <v>2255</v>
      </c>
      <c r="C17" s="2496" t="str">
        <f>C5</f>
        <v>一般</v>
      </c>
      <c r="D17" s="2466"/>
      <c r="E17" s="2444"/>
      <c r="F17" s="2497" t="s">
        <v>2270</v>
      </c>
      <c r="G17" s="2499"/>
    </row>
    <row r="18" spans="1:18" ht="38.25">
      <c r="A18" s="2443"/>
      <c r="B18" s="2497" t="s">
        <v>2258</v>
      </c>
      <c r="C18" s="2498" t="str">
        <f>C6</f>
        <v>一般</v>
      </c>
      <c r="D18" s="2466"/>
      <c r="E18" s="2444"/>
      <c r="F18" s="2497" t="s">
        <v>2261</v>
      </c>
      <c r="G18" s="2498" t="str">
        <f>G7</f>
        <v>该园区内是否有污染型企业，绿化情况，卫生条件，整体环境状况判断</v>
      </c>
    </row>
    <row r="19" spans="1:18" ht="25.5">
      <c r="A19" s="2443"/>
      <c r="B19" s="2497" t="s">
        <v>2271</v>
      </c>
      <c r="C19" s="2499"/>
      <c r="D19" s="2461"/>
      <c r="E19" s="2444"/>
      <c r="F19" s="323" t="s">
        <v>2256</v>
      </c>
      <c r="G19" s="2498" t="str">
        <f>G5</f>
        <v>估价对象所在区域公共配套设施齐备情况</v>
      </c>
    </row>
    <row r="20" spans="1:18" ht="25.5">
      <c r="A20" s="2443"/>
      <c r="B20" s="2497" t="s">
        <v>2272</v>
      </c>
      <c r="C20" s="2496" t="str">
        <f>C9</f>
        <v>较好</v>
      </c>
      <c r="D20" s="2466"/>
      <c r="E20" s="2444"/>
      <c r="F20" s="323" t="s">
        <v>2259</v>
      </c>
      <c r="G20" s="2498" t="str">
        <f>G6</f>
        <v>估价对象所在区域基础设施水平</v>
      </c>
    </row>
    <row r="21" spans="1:18" ht="25.5">
      <c r="A21" s="2443"/>
      <c r="B21" s="323" t="s">
        <v>2256</v>
      </c>
      <c r="C21" s="2498" t="str">
        <f>C7</f>
        <v>较好</v>
      </c>
      <c r="D21" s="2461"/>
      <c r="E21" s="2444"/>
      <c r="F21" s="2497" t="s">
        <v>2273</v>
      </c>
      <c r="G21" s="2500"/>
    </row>
    <row r="22" spans="1:18" ht="13.5" customHeight="1">
      <c r="A22" s="2443"/>
      <c r="B22" s="323" t="s">
        <v>2259</v>
      </c>
      <c r="C22" s="2498" t="str">
        <f>C8</f>
        <v>七通</v>
      </c>
      <c r="D22" s="2461"/>
      <c r="E22" s="2444"/>
      <c r="F22" s="2497" t="s">
        <v>2264</v>
      </c>
      <c r="G22" s="2499"/>
    </row>
    <row r="23" spans="1:18" s="799" customFormat="1" ht="15" thickBot="1">
      <c r="A23" s="2443"/>
      <c r="B23" s="2497" t="s">
        <v>2273</v>
      </c>
      <c r="C23" s="2500"/>
      <c r="D23" s="1740"/>
      <c r="E23" s="2445"/>
      <c r="F23" s="2501" t="s">
        <v>2274</v>
      </c>
      <c r="G23" s="2502"/>
      <c r="H23" s="2486"/>
      <c r="I23" s="2487"/>
      <c r="J23" s="2486"/>
      <c r="K23" s="2486"/>
      <c r="L23" s="2487"/>
      <c r="M23" s="2486"/>
      <c r="N23" s="2486"/>
      <c r="O23" s="2487"/>
      <c r="P23" s="2486"/>
      <c r="Q23" s="2486"/>
      <c r="R23" s="2488"/>
    </row>
    <row r="24" spans="1:18" s="799" customFormat="1" ht="15" thickBot="1">
      <c r="A24" s="2446"/>
      <c r="B24" s="2501" t="s">
        <v>2275</v>
      </c>
      <c r="C24" s="2503">
        <f>C10</f>
        <v>0</v>
      </c>
      <c r="D24" s="1740"/>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AL55" sqref="AL5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0</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45058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20257</v>
      </c>
      <c r="D5" s="2507" t="e">
        <f>ROUND(B5*10000/$B$2,0)</f>
        <v>#DIV/0!</v>
      </c>
      <c r="E5" s="2681"/>
      <c r="F5" s="2682"/>
      <c r="G5" s="2682"/>
      <c r="H5" s="2683"/>
      <c r="I5" s="2683"/>
      <c r="J5" s="2683"/>
      <c r="K5" s="2683"/>
    </row>
    <row r="6" spans="1:11" ht="16.5">
      <c r="A6" s="2507" t="s">
        <v>656</v>
      </c>
      <c r="B6" s="2507">
        <f>SUM(G14:G23)</f>
        <v>0</v>
      </c>
      <c r="C6" s="2507">
        <f ca="1">IF(B6=G14,结果表!H108,ROUND(B6*10000/$B$1,0))</f>
        <v>20257</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6"/>
      <c r="F10" s="3440" t="s">
        <v>3355</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c r="C14" s="2513"/>
      <c r="D14" s="2513"/>
      <c r="E14" s="2513" t="e">
        <f>ROUND(D14*10000/B14,0)</f>
        <v>#DIV/0!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90" zoomScaleNormal="100" zoomScaleSheetLayoutView="90" zoomScalePageLayoutView="80" workbookViewId="0">
      <selection activeCell="D122" sqref="D122:I1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12" t="str">
        <f>项目基本情况!S2</f>
        <v>北京市昌平区黄平路19号院3号楼商业及地下车库用房房地产</v>
      </c>
      <c r="B2" s="3613"/>
      <c r="C2" s="3613"/>
      <c r="D2" s="3613"/>
      <c r="E2" s="3613"/>
      <c r="F2" s="3613"/>
      <c r="G2" s="3613"/>
      <c r="H2" s="3613"/>
      <c r="I2" s="3614"/>
    </row>
    <row r="3" spans="1:12" ht="12.75">
      <c r="A3" s="3616" t="s">
        <v>1263</v>
      </c>
      <c r="B3" s="3617"/>
      <c r="C3" s="3617"/>
      <c r="D3" s="3617"/>
      <c r="E3" s="3617"/>
      <c r="F3" s="3617"/>
      <c r="G3" s="3617"/>
      <c r="H3" s="3617"/>
      <c r="I3" s="3617"/>
    </row>
    <row r="4" spans="1:12" ht="14.25">
      <c r="A4" s="1753" t="s">
        <v>1264</v>
      </c>
      <c r="B4" s="1754" t="s">
        <v>1265</v>
      </c>
      <c r="C4" s="1755" t="s">
        <v>3438</v>
      </c>
      <c r="D4" s="1755" t="s">
        <v>3439</v>
      </c>
      <c r="E4" s="3621" t="s">
        <v>1266</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1267</v>
      </c>
      <c r="B5" s="3615">
        <v>25</v>
      </c>
      <c r="C5" s="3618"/>
      <c r="D5" s="3606"/>
      <c r="E5" s="131" t="s">
        <v>1268</v>
      </c>
      <c r="F5" s="1756"/>
      <c r="G5" s="1756"/>
      <c r="H5" s="1756"/>
      <c r="I5" s="1372"/>
    </row>
    <row r="6" spans="1:12" ht="12.75">
      <c r="A6" s="3560"/>
      <c r="B6" s="3615"/>
      <c r="C6" s="3620"/>
      <c r="D6" s="3606"/>
      <c r="E6" s="131" t="s">
        <v>1269</v>
      </c>
      <c r="F6" s="1756"/>
      <c r="G6" s="1756"/>
      <c r="H6" s="1756"/>
      <c r="I6" s="1372"/>
    </row>
    <row r="7" spans="1:12" ht="12.75">
      <c r="A7" s="3560"/>
      <c r="B7" s="3615"/>
      <c r="C7" s="3619"/>
      <c r="D7" s="3606"/>
      <c r="E7" s="131" t="s">
        <v>1270</v>
      </c>
      <c r="F7" s="1756"/>
      <c r="G7" s="1756"/>
      <c r="H7" s="1756"/>
      <c r="I7" s="1372"/>
    </row>
    <row r="8" spans="1:12" ht="12.75">
      <c r="A8" s="3560" t="s">
        <v>1271</v>
      </c>
      <c r="B8" s="3615">
        <v>15</v>
      </c>
      <c r="C8" s="3618"/>
      <c r="D8" s="3606"/>
      <c r="E8" s="131" t="s">
        <v>1272</v>
      </c>
      <c r="F8" s="1756"/>
      <c r="G8" s="1756"/>
      <c r="H8" s="1756"/>
      <c r="I8" s="1372"/>
    </row>
    <row r="9" spans="1:12" ht="12.75">
      <c r="A9" s="3560"/>
      <c r="B9" s="3615"/>
      <c r="C9" s="3619"/>
      <c r="D9" s="3606"/>
      <c r="E9" s="131" t="s">
        <v>1273</v>
      </c>
      <c r="F9" s="1756"/>
      <c r="G9" s="1756"/>
      <c r="H9" s="1756"/>
      <c r="I9" s="1372"/>
    </row>
    <row r="10" spans="1:12" ht="12.75">
      <c r="A10" s="3560" t="s">
        <v>1274</v>
      </c>
      <c r="B10" s="3615">
        <v>15</v>
      </c>
      <c r="C10" s="3618"/>
      <c r="D10" s="3606"/>
      <c r="E10" s="131" t="s">
        <v>1275</v>
      </c>
      <c r="F10" s="1756"/>
      <c r="G10" s="1756"/>
      <c r="H10" s="1756"/>
      <c r="I10" s="1372"/>
    </row>
    <row r="11" spans="1:12" ht="12.75">
      <c r="A11" s="3560"/>
      <c r="B11" s="3615"/>
      <c r="C11" s="3619"/>
      <c r="D11" s="3606"/>
      <c r="E11" s="131" t="s">
        <v>1276</v>
      </c>
      <c r="F11" s="1756"/>
      <c r="G11" s="1756"/>
      <c r="H11" s="1756"/>
      <c r="I11" s="1372"/>
    </row>
    <row r="12" spans="1:12" ht="12.75">
      <c r="A12" s="3560" t="s">
        <v>1277</v>
      </c>
      <c r="B12" s="3615">
        <v>15</v>
      </c>
      <c r="C12" s="3618"/>
      <c r="D12" s="3606"/>
      <c r="E12" s="131" t="s">
        <v>1278</v>
      </c>
      <c r="F12" s="1756"/>
      <c r="G12" s="1756"/>
      <c r="H12" s="1756"/>
      <c r="I12" s="1372"/>
    </row>
    <row r="13" spans="1:12" ht="12.75">
      <c r="A13" s="3560"/>
      <c r="B13" s="3615"/>
      <c r="C13" s="3619"/>
      <c r="D13" s="3606"/>
      <c r="E13" s="131" t="s">
        <v>1279</v>
      </c>
      <c r="F13" s="1756"/>
      <c r="G13" s="1756"/>
      <c r="H13" s="1756"/>
      <c r="I13" s="1372"/>
    </row>
    <row r="14" spans="1:12" ht="12.75">
      <c r="A14" s="3560" t="s">
        <v>1280</v>
      </c>
      <c r="B14" s="3615">
        <v>30</v>
      </c>
      <c r="C14" s="3618">
        <v>7</v>
      </c>
      <c r="D14" s="3606">
        <v>3</v>
      </c>
      <c r="E14" s="131" t="s">
        <v>1281</v>
      </c>
      <c r="F14" s="1756"/>
      <c r="G14" s="1756"/>
      <c r="H14" s="1756"/>
      <c r="I14" s="1372"/>
    </row>
    <row r="15" spans="1:12" ht="12.75">
      <c r="A15" s="3560"/>
      <c r="B15" s="3615"/>
      <c r="C15" s="3620"/>
      <c r="D15" s="3606"/>
      <c r="E15" s="131" t="s">
        <v>1282</v>
      </c>
      <c r="F15" s="1756"/>
      <c r="G15" s="1756"/>
      <c r="H15" s="1756"/>
      <c r="I15" s="1372"/>
    </row>
    <row r="16" spans="1:12" ht="12.75">
      <c r="A16" s="3560"/>
      <c r="B16" s="3615"/>
      <c r="C16" s="3619"/>
      <c r="D16" s="3606"/>
      <c r="E16" s="131" t="s">
        <v>1283</v>
      </c>
      <c r="F16" s="1756"/>
      <c r="G16" s="1756"/>
      <c r="H16" s="1756"/>
      <c r="I16" s="1372"/>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637" t="s">
        <v>2130</v>
      </c>
      <c r="F18" s="3638"/>
      <c r="G18" s="3638"/>
      <c r="H18" s="3638"/>
      <c r="I18" s="3638"/>
      <c r="J18" s="3798" t="s">
        <v>3421</v>
      </c>
      <c r="K18" s="302" t="s">
        <v>1288</v>
      </c>
      <c r="L18" s="302">
        <f>IF(C1="",'数据-汇总表'!E3,SUMIF(项目类型,C1,'数据-汇总表'!E17:E26)+SUMIF(项目类型,C1,'数据-汇总表'!I17:I26))</f>
        <v>65662.34</v>
      </c>
      <c r="M18" s="302">
        <f>IF(C1="",'数据-汇总表'!E3,SUMIF(项目类型,C1,'数据-汇总表'!E17:E26))</f>
        <v>65662.34</v>
      </c>
    </row>
    <row r="19" spans="1:36" ht="15">
      <c r="A19" s="1760" t="s">
        <v>1289</v>
      </c>
      <c r="B19" s="1761" t="s">
        <v>1290</v>
      </c>
      <c r="C19" s="134">
        <f ca="1">SUMIF(INDIRECT("'"&amp;C4&amp;"'"&amp;"!A:A"),结果表!B19,INDIRECT("'"&amp;C4&amp;"'"&amp;"!B:B"))</f>
        <v>145870</v>
      </c>
      <c r="D19" s="135">
        <f ca="1">SUMIF(INDIRECT("'"&amp;D4&amp;"'"&amp;"!A:A"),结果表!B19,INDIRECT("'"&amp;D4&amp;"'"&amp;"!B:B"))</f>
        <v>103001</v>
      </c>
      <c r="E19" s="1760" t="s">
        <v>1291</v>
      </c>
      <c r="F19" s="1761" t="s">
        <v>1290</v>
      </c>
      <c r="G19" s="136">
        <f ca="1">ROUND(C19*$C$18+D19*$D$18,0)</f>
        <v>133009</v>
      </c>
      <c r="H19" s="1762" t="s">
        <v>1292</v>
      </c>
      <c r="I19" s="129"/>
      <c r="J19" s="3799">
        <v>135154</v>
      </c>
      <c r="K19" s="302" t="s">
        <v>1293</v>
      </c>
      <c r="L19" s="302">
        <f>IF(C1="",'数据-汇总表'!D3,SUMIF(项目类型,C1,'数据-汇总表'!D17:D26)+SUMIF(项目类型,C1,'数据-汇总表'!H17:H27))</f>
        <v>17111.18</v>
      </c>
      <c r="M19" s="302">
        <f>IF(C1="",'数据-汇总表'!D3,SUMIF(项目类型,C1,'数据-汇总表'!D17:D26))</f>
        <v>17111.18</v>
      </c>
    </row>
    <row r="20" spans="1:36" ht="15">
      <c r="A20" s="1763"/>
      <c r="B20" s="1026" t="s">
        <v>1294</v>
      </c>
      <c r="C20" s="137">
        <f ca="1">SUMIF(INDIRECT("'"&amp;C4&amp;"'"&amp;"!A:A"),结果表!B20,INDIRECT("'"&amp;C4&amp;"'"&amp;"!B:B"))</f>
        <v>22215</v>
      </c>
      <c r="D20" s="138">
        <f ca="1">SUMIF(INDIRECT("'"&amp;D4&amp;"'"&amp;"!A:A"),结果表!B20,INDIRECT("'"&amp;D4&amp;"'"&amp;"!B:B"))</f>
        <v>15686</v>
      </c>
      <c r="E20" s="1763"/>
      <c r="F20" s="1026" t="s">
        <v>1294</v>
      </c>
      <c r="G20" s="139">
        <f ca="1">ROUND(C20*$C$18+D20*$D$18,0)</f>
        <v>20256</v>
      </c>
      <c r="H20" s="808" t="s">
        <v>1295</v>
      </c>
      <c r="I20" s="129"/>
      <c r="J20" s="3799">
        <v>20583</v>
      </c>
    </row>
    <row r="21" spans="1:36" ht="15" customHeight="1" thickBot="1">
      <c r="A21" s="828"/>
      <c r="B21" s="1764" t="s">
        <v>1296</v>
      </c>
      <c r="C21" s="719">
        <f ca="1">ROUND(C19*10000/L19,0)</f>
        <v>85248</v>
      </c>
      <c r="D21" s="720">
        <f ca="1">ROUND(D19*10000/L19,0)</f>
        <v>60195</v>
      </c>
      <c r="E21" s="828"/>
      <c r="F21" s="1764" t="s">
        <v>1296</v>
      </c>
      <c r="G21" s="140">
        <f ca="1">ROUND(G19*10000/L19,0)</f>
        <v>77732</v>
      </c>
      <c r="H21" s="1765" t="s">
        <v>1295</v>
      </c>
      <c r="I21" s="129"/>
    </row>
    <row r="22" spans="1:36" ht="15" thickBot="1">
      <c r="A22" s="1687" t="s">
        <v>1297</v>
      </c>
      <c r="B22" s="1766"/>
      <c r="C22" s="1767"/>
      <c r="D22" s="721">
        <f ca="1">IF(C19&lt;D19,D19/C19-1,C19/D19-1)</f>
        <v>0.41619984271997357</v>
      </c>
      <c r="E22" s="129"/>
      <c r="F22" s="129"/>
      <c r="G22" s="129"/>
      <c r="H22" s="129"/>
      <c r="I22" s="129"/>
    </row>
    <row r="23" spans="1:36" ht="13.5" thickBot="1">
      <c r="A23" s="1746"/>
      <c r="B23" s="1746"/>
      <c r="C23" s="1746"/>
      <c r="D23" s="1746"/>
      <c r="E23" s="129"/>
      <c r="F23" s="129"/>
      <c r="G23" s="129"/>
      <c r="H23" s="129"/>
      <c r="I23" s="129"/>
    </row>
    <row r="24" spans="1:36" ht="14.25">
      <c r="A24" s="3630" t="s">
        <v>1298</v>
      </c>
      <c r="B24" s="1761" t="s">
        <v>1290</v>
      </c>
      <c r="C24" s="136">
        <f>IF(B30=0,0,D30)</f>
        <v>0</v>
      </c>
      <c r="D24" s="1768"/>
      <c r="E24" s="129"/>
      <c r="F24" s="129"/>
      <c r="G24" s="129"/>
      <c r="H24" s="129"/>
      <c r="I24" s="129"/>
    </row>
    <row r="25" spans="1:36" ht="14.25">
      <c r="A25" s="3631"/>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133009</v>
      </c>
      <c r="D32" s="1774" t="s">
        <v>3694</v>
      </c>
      <c r="E32" s="129"/>
      <c r="F32" s="129"/>
      <c r="G32" s="129"/>
      <c r="H32" s="129"/>
      <c r="I32" s="129"/>
    </row>
    <row r="33" spans="1:15" ht="15">
      <c r="A33" s="786" t="s">
        <v>1305</v>
      </c>
      <c r="B33" s="1775"/>
      <c r="C33" s="1776" t="s">
        <v>3819</v>
      </c>
      <c r="D33" s="1777" t="s">
        <v>3438</v>
      </c>
      <c r="E33" s="1778" t="s">
        <v>1306</v>
      </c>
      <c r="F33" s="1779" t="str">
        <f>IF(D32="楼面单价","取值（单价）","取值（总价）")</f>
        <v>取值（总价）</v>
      </c>
      <c r="G33" s="129"/>
      <c r="H33" s="129"/>
      <c r="I33" s="129"/>
    </row>
    <row r="34" spans="1:15" ht="15">
      <c r="A34" s="1780"/>
      <c r="B34" s="1781" t="s">
        <v>1307</v>
      </c>
      <c r="C34" s="148">
        <f ca="1">IF(C33="自定义",F34,C32-C35)</f>
        <v>99624</v>
      </c>
      <c r="D34" s="861">
        <f ca="1">IF(C33="自定义",ROUND(C34/C32,3),IF(C33="收益比率",SUMIF(INDIRECT("'"&amp;D33&amp;"'"&amp;"!b:b"),"土地收益比率",INDIRECT("'"&amp;D33&amp;"'"&amp;"!c:c")),SUMIF(INDIRECT("'"&amp;D33&amp;"'"&amp;"!b:b"),"土地成本比率",INDIRECT("'"&amp;D33&amp;"'"&amp;"!c:c"))))</f>
        <v>0.749</v>
      </c>
      <c r="E34" s="1782" t="s">
        <v>1308</v>
      </c>
      <c r="F34" s="1329"/>
      <c r="G34" s="129"/>
      <c r="H34" s="129"/>
      <c r="I34" s="129"/>
    </row>
    <row r="35" spans="1:15" ht="15.75" thickBot="1">
      <c r="A35" s="1783"/>
      <c r="B35" s="1784" t="s">
        <v>1309</v>
      </c>
      <c r="C35" s="1170">
        <f ca="1">IF(C33="自定义",F35,ROUND(C32*D35,0))</f>
        <v>33385</v>
      </c>
      <c r="D35" s="1171">
        <f ca="1">IF(C33="自定义",ROUND(C35/C32,3),IF(C33="收益比率",SUMIF(INDIRECT("'"&amp;D33&amp;"'"&amp;"!b:b"),"建筑物收益比率",INDIRECT("'"&amp;D33&amp;"'"&amp;"!c:c")),SUMIF(INDIRECT("'"&amp;D33&amp;"'"&amp;"!b:b"),"建筑物成本比率",INDIRECT("'"&amp;D33&amp;"'"&amp;"!c:c"))))</f>
        <v>0.251</v>
      </c>
      <c r="E35" s="1785" t="s">
        <v>1310</v>
      </c>
      <c r="F35" s="154"/>
      <c r="G35" s="129"/>
      <c r="H35" s="129"/>
      <c r="I35" s="129"/>
    </row>
    <row r="36" spans="1:15" ht="15.75" thickBot="1">
      <c r="A36" s="3607" t="s">
        <v>1311</v>
      </c>
      <c r="B36" s="1786" t="s">
        <v>1312</v>
      </c>
      <c r="C36" s="145"/>
      <c r="D36" s="1787"/>
      <c r="E36" s="1788"/>
      <c r="F36" s="1789"/>
      <c r="G36" s="129"/>
      <c r="H36" s="129"/>
      <c r="I36" s="129"/>
    </row>
    <row r="37" spans="1:15" ht="15.75" thickBot="1">
      <c r="A37" s="3608"/>
      <c r="B37" s="1673" t="s">
        <v>1313</v>
      </c>
      <c r="C37" s="147"/>
      <c r="D37" s="1139"/>
      <c r="E37" s="1139"/>
      <c r="F37" s="1789"/>
      <c r="G37" s="129"/>
      <c r="H37" s="129"/>
      <c r="I37" s="129"/>
    </row>
    <row r="38" spans="1:15" ht="15.75" thickBot="1">
      <c r="A38" s="3609"/>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1323</v>
      </c>
      <c r="B44" s="1800"/>
      <c r="C44" s="1800"/>
      <c r="D44" s="1801"/>
      <c r="E44" s="1801"/>
      <c r="F44" s="1802"/>
      <c r="G44" s="1802"/>
      <c r="H44" s="1802"/>
      <c r="I44" s="1802"/>
      <c r="J44" s="1803" t="s">
        <v>1324</v>
      </c>
      <c r="K44" s="1804"/>
      <c r="L44" s="1804"/>
      <c r="M44" s="1804"/>
      <c r="N44" s="1804"/>
      <c r="O44" s="1804"/>
    </row>
    <row r="45" spans="1:15" ht="14.25" hidden="1" customHeight="1" thickBot="1">
      <c r="A45" s="3627" t="s">
        <v>1325</v>
      </c>
      <c r="B45" s="3628"/>
      <c r="C45" s="3629"/>
      <c r="D45" s="155">
        <f ca="1">ROUND(H101*F45,0)</f>
        <v>133009</v>
      </c>
      <c r="E45" s="156" t="s">
        <v>1326</v>
      </c>
      <c r="F45" s="157">
        <v>1</v>
      </c>
      <c r="G45" s="158" t="s">
        <v>1327</v>
      </c>
      <c r="H45" s="129"/>
      <c r="I45" s="129"/>
      <c r="J45" s="3547" t="s">
        <v>1328</v>
      </c>
      <c r="K45" s="3547"/>
      <c r="L45" s="3547"/>
      <c r="M45" s="3547"/>
      <c r="N45" s="3547"/>
      <c r="O45" s="3547"/>
    </row>
    <row r="46" spans="1:15" ht="14.25" hidden="1" customHeight="1">
      <c r="A46" s="3624" t="s">
        <v>1329</v>
      </c>
      <c r="B46" s="3625"/>
      <c r="C46" s="3625"/>
      <c r="D46" s="3625"/>
      <c r="E46" s="3625"/>
      <c r="F46" s="3625"/>
      <c r="G46" s="3626"/>
      <c r="H46" s="1805"/>
      <c r="I46" s="159"/>
      <c r="J46" s="2518">
        <v>1</v>
      </c>
      <c r="K46" s="3548" t="s">
        <v>1330</v>
      </c>
      <c r="L46" s="3548"/>
      <c r="M46" s="3549"/>
      <c r="N46" s="3549"/>
      <c r="O46" s="3549"/>
    </row>
    <row r="47" spans="1:15" ht="12" hidden="1" customHeight="1">
      <c r="A47" s="160" t="s">
        <v>1331</v>
      </c>
      <c r="B47" s="161"/>
      <c r="C47" s="162"/>
      <c r="D47" s="1087" t="s">
        <v>1332</v>
      </c>
      <c r="E47" s="302" t="s">
        <v>1333</v>
      </c>
      <c r="F47" s="163" t="s">
        <v>1334</v>
      </c>
      <c r="G47" s="2541" t="s">
        <v>1335</v>
      </c>
      <c r="H47" s="2542"/>
      <c r="I47" s="159"/>
      <c r="J47" s="2518">
        <v>2</v>
      </c>
      <c r="K47" s="3548" t="s">
        <v>1336</v>
      </c>
      <c r="L47" s="3548"/>
      <c r="M47" s="3550">
        <f>'数据-取费表'!B2</f>
        <v>45058</v>
      </c>
      <c r="N47" s="3550"/>
      <c r="O47" s="3550"/>
    </row>
    <row r="48" spans="1:15" ht="25.5" hidden="1">
      <c r="A48" s="3610" t="s">
        <v>1337</v>
      </c>
      <c r="B48" s="3611"/>
      <c r="C48" s="3611"/>
      <c r="D48" s="2323" t="b">
        <f>IF(H48="情况1",0,IF(H48="情况2",D52,IF(H48="情况3",D53,IF(H48="情况4",D54))))</f>
        <v>0</v>
      </c>
      <c r="E48" s="2333" t="str">
        <f>IF(H48="情况4","(销售额-原购置价)×税（费）率","销售额×税（费）率")</f>
        <v>销售额×税（费）率</v>
      </c>
      <c r="F48" s="2543">
        <f>IF(H48="情况1","免征",'数据-取费表'!B41)</f>
        <v>5.5000000000000007E-2</v>
      </c>
      <c r="G48" s="2544" t="s">
        <v>1338</v>
      </c>
      <c r="H48" s="2545"/>
      <c r="I48" s="1805"/>
      <c r="J48" s="2518">
        <v>3</v>
      </c>
      <c r="K48" s="3548" t="s">
        <v>1339</v>
      </c>
      <c r="L48" s="3548"/>
      <c r="M48" s="3551">
        <f ca="1">H101</f>
        <v>133009</v>
      </c>
      <c r="N48" s="3551"/>
      <c r="O48" s="3551"/>
    </row>
    <row r="49" spans="1:35" ht="25.5" hidden="1" customHeight="1">
      <c r="A49" s="2332" t="s">
        <v>1340</v>
      </c>
      <c r="B49" s="3596" t="s">
        <v>1341</v>
      </c>
      <c r="C49" s="3596"/>
      <c r="D49" s="1589">
        <v>0</v>
      </c>
      <c r="E49" s="324" t="s">
        <v>1342</v>
      </c>
      <c r="F49" s="2421" t="s">
        <v>28</v>
      </c>
      <c r="G49" s="3579"/>
      <c r="H49" s="2309" t="s">
        <v>2133</v>
      </c>
      <c r="I49" s="2310"/>
      <c r="J49" s="2518">
        <v>4</v>
      </c>
      <c r="K49" s="3548" t="str">
        <f>IF(项目基本情况!E8="房地产抵押价值","房地产抵押价值","抵押担保权已注销时的房地产抵押价值")</f>
        <v>房地产抵押价值</v>
      </c>
      <c r="L49" s="3548"/>
      <c r="M49" s="3551">
        <f ca="1">IF(项目基本情况!E8="房地产抵押价值",H107,H109)</f>
        <v>133009</v>
      </c>
      <c r="N49" s="3551"/>
      <c r="O49" s="3551"/>
    </row>
    <row r="50" spans="1:35" ht="25.5" hidden="1" customHeight="1">
      <c r="A50" s="2546"/>
      <c r="B50" s="3596" t="s">
        <v>1343</v>
      </c>
      <c r="C50" s="3596"/>
      <c r="D50" s="2547"/>
      <c r="E50" s="332"/>
      <c r="F50" s="2421"/>
      <c r="G50" s="3580"/>
      <c r="H50" s="2311" t="s">
        <v>2134</v>
      </c>
      <c r="I50" s="2310"/>
      <c r="J50" s="3547" t="s">
        <v>1344</v>
      </c>
      <c r="K50" s="3547"/>
      <c r="L50" s="3547"/>
      <c r="M50" s="3547"/>
      <c r="N50" s="3547"/>
      <c r="O50" s="3547"/>
    </row>
    <row r="51" spans="1:35" ht="20.45" hidden="1" customHeight="1">
      <c r="A51" s="2548"/>
      <c r="B51" s="3596" t="s">
        <v>1345</v>
      </c>
      <c r="C51" s="3596"/>
      <c r="D51" s="1087"/>
      <c r="E51" s="327"/>
      <c r="F51" s="2421"/>
      <c r="G51" s="3581"/>
      <c r="H51" s="2311" t="s">
        <v>2135</v>
      </c>
      <c r="I51" s="2310"/>
      <c r="J51" s="2519" t="s">
        <v>1346</v>
      </c>
      <c r="K51" s="3548" t="s">
        <v>1347</v>
      </c>
      <c r="L51" s="3548"/>
      <c r="M51" s="2519" t="s">
        <v>1348</v>
      </c>
      <c r="N51" s="2519" t="s">
        <v>1349</v>
      </c>
      <c r="O51" s="2519" t="s">
        <v>1350</v>
      </c>
    </row>
    <row r="52" spans="1:35" ht="24" hidden="1" customHeight="1">
      <c r="A52" s="2334" t="s">
        <v>1351</v>
      </c>
      <c r="B52" s="3596" t="s">
        <v>1352</v>
      </c>
      <c r="C52" s="3596"/>
      <c r="D52" s="1087">
        <f ca="1">ROUND(D45*'数据-取费表'!B41/(1+'数据-取费表'!C42),0)</f>
        <v>6967</v>
      </c>
      <c r="E52" s="2333" t="s">
        <v>1353</v>
      </c>
      <c r="F52" s="2549">
        <f>'数据-取费表'!B41</f>
        <v>5.5000000000000007E-2</v>
      </c>
      <c r="G52" s="2550"/>
      <c r="H52" s="2539"/>
      <c r="I52" s="1806"/>
      <c r="J52" s="2518">
        <v>1</v>
      </c>
      <c r="K52" s="3573" t="s">
        <v>1354</v>
      </c>
      <c r="L52" s="3573"/>
      <c r="M52" s="2520" t="b">
        <f>D48</f>
        <v>0</v>
      </c>
      <c r="N52" s="2518" t="str">
        <f>E48</f>
        <v>销售额×税（费）率</v>
      </c>
      <c r="O52" s="2521">
        <f>F48</f>
        <v>5.5000000000000007E-2</v>
      </c>
    </row>
    <row r="53" spans="1:35" ht="12" hidden="1" customHeight="1">
      <c r="A53" s="2334" t="s">
        <v>1355</v>
      </c>
      <c r="B53" s="3597" t="s">
        <v>2285</v>
      </c>
      <c r="C53" s="3598"/>
      <c r="D53" s="1087">
        <f ca="1">ROUND(D45*'数据-取费表'!B41/(1+'数据-取费表'!C42),0)</f>
        <v>6967</v>
      </c>
      <c r="E53" s="2333" t="s">
        <v>1353</v>
      </c>
      <c r="F53" s="2549">
        <f>'数据-取费表'!B41</f>
        <v>5.5000000000000007E-2</v>
      </c>
      <c r="G53" s="2550"/>
      <c r="H53" s="2539"/>
      <c r="I53" s="1806"/>
      <c r="J53" s="2518">
        <v>2</v>
      </c>
      <c r="K53" s="3573" t="s">
        <v>1356</v>
      </c>
      <c r="L53" s="3573"/>
      <c r="M53" s="2520">
        <f t="shared" ref="M53:O54" ca="1" si="0">D55</f>
        <v>67</v>
      </c>
      <c r="N53" s="2518" t="str">
        <f t="shared" si="0"/>
        <v>销售额×税（费）率</v>
      </c>
      <c r="O53" s="2521" t="str">
        <f t="shared" si="0"/>
        <v>免征</v>
      </c>
    </row>
    <row r="54" spans="1:35" ht="12" hidden="1" customHeight="1">
      <c r="A54" s="2334" t="s">
        <v>1357</v>
      </c>
      <c r="B54" s="3597" t="s">
        <v>2286</v>
      </c>
      <c r="C54" s="3598"/>
      <c r="D54" s="1087">
        <f ca="1">C68</f>
        <v>6967</v>
      </c>
      <c r="E54" s="327" t="s">
        <v>1358</v>
      </c>
      <c r="F54" s="2549">
        <f>'数据-取费表'!B41</f>
        <v>5.5000000000000007E-2</v>
      </c>
      <c r="G54" s="2550"/>
      <c r="H54" s="2551"/>
      <c r="I54" s="1806"/>
      <c r="J54" s="2518">
        <v>3</v>
      </c>
      <c r="K54" s="3573" t="s">
        <v>1359</v>
      </c>
      <c r="L54" s="3573"/>
      <c r="M54" s="2520">
        <f t="shared" ca="1" si="0"/>
        <v>75404</v>
      </c>
      <c r="N54" s="2518" t="str">
        <f t="shared" si="0"/>
        <v>增值额×税（费）率</v>
      </c>
      <c r="O54" s="2522" t="str">
        <f t="shared" si="0"/>
        <v>免征</v>
      </c>
    </row>
    <row r="55" spans="1:35" ht="24" hidden="1" customHeight="1">
      <c r="A55" s="3633" t="s">
        <v>1360</v>
      </c>
      <c r="B55" s="3611"/>
      <c r="C55" s="3611"/>
      <c r="D55" s="2323">
        <f ca="1">IF(H55="个人住宅",0,ROUND(D45*I55,0))</f>
        <v>67</v>
      </c>
      <c r="E55" s="2333" t="s">
        <v>1361</v>
      </c>
      <c r="F55" s="2549" t="str">
        <f>IF(H55="正常",I55,"免征")</f>
        <v>免征</v>
      </c>
      <c r="G55" s="2550"/>
      <c r="H55" s="2545"/>
      <c r="I55" s="165">
        <f>'数据-取费表'!B49</f>
        <v>5.0000000000000001E-4</v>
      </c>
      <c r="J55" s="2518">
        <f>IF(H59="非个人房产","",4)</f>
        <v>4</v>
      </c>
      <c r="K55" s="3573" t="str">
        <f>IF(H59="非个人房产","——","个人所得税")</f>
        <v>个人所得税</v>
      </c>
      <c r="L55" s="3573"/>
      <c r="M55" s="2523">
        <f ca="1">D59</f>
        <v>1267</v>
      </c>
      <c r="N55" s="2039" t="str">
        <f>E59</f>
        <v>差额计税</v>
      </c>
      <c r="O55" s="2524">
        <f>F59</f>
        <v>0.01</v>
      </c>
    </row>
    <row r="56" spans="1:35" ht="24.75" hidden="1">
      <c r="A56" s="3633" t="s">
        <v>1362</v>
      </c>
      <c r="B56" s="3611"/>
      <c r="C56" s="3611"/>
      <c r="D56" s="2323">
        <f ca="1">IF(H56="个人住宅",D57,D58)</f>
        <v>75404</v>
      </c>
      <c r="E56" s="2333" t="s">
        <v>1363</v>
      </c>
      <c r="F56" s="2549" t="str">
        <f>IF(H56="正常",F58,"免征")</f>
        <v>免征</v>
      </c>
      <c r="G56" s="2552" t="s">
        <v>1364</v>
      </c>
      <c r="H56" s="2553"/>
      <c r="I56" s="1807"/>
      <c r="J56" s="2518" t="str">
        <f>IF(项目基本情况!K6="上海银行",IF(J55="",4,J55+1),"")</f>
        <v/>
      </c>
      <c r="K56" s="3554" t="str">
        <f>IF(项目基本情况!K6="上海银行","其他处置费用","")</f>
        <v/>
      </c>
      <c r="L56" s="3555"/>
      <c r="M56" s="2520" t="str">
        <f>IF(项目基本情况!K6="上海银行",M69,"")</f>
        <v/>
      </c>
      <c r="N56" s="3554" t="str">
        <f>IF(项目基本情况!K6="上海银行","包含处置中涉及的律师、诉讼、拍卖、评估等费用","")</f>
        <v/>
      </c>
      <c r="O56" s="3557"/>
    </row>
    <row r="57" spans="1:35" ht="12.75" hidden="1">
      <c r="A57" s="2334" t="s">
        <v>1340</v>
      </c>
      <c r="B57" s="3597" t="s">
        <v>1365</v>
      </c>
      <c r="C57" s="3598"/>
      <c r="D57" s="1589">
        <v>0</v>
      </c>
      <c r="E57" s="324" t="s">
        <v>1342</v>
      </c>
      <c r="F57" s="302"/>
      <c r="G57" s="2550"/>
      <c r="H57" s="2554"/>
      <c r="I57" s="1807"/>
      <c r="J57" s="3573">
        <f>IF(AND(J55="",J56=""),4,IF(项目基本情况!K6="上海银行",结果表!J56+1,结果表!J55+1))</f>
        <v>5</v>
      </c>
      <c r="K57" s="3573" t="s">
        <v>1366</v>
      </c>
      <c r="L57" s="2525" t="s">
        <v>1367</v>
      </c>
      <c r="M57" s="2526"/>
      <c r="N57" s="2527">
        <f ca="1">SUMIF(M52:M56,"&lt;9e307")</f>
        <v>76738</v>
      </c>
      <c r="O57" s="2528"/>
      <c r="P57" s="2685">
        <f ca="1">N57/M49</f>
        <v>0.57693840266448138</v>
      </c>
    </row>
    <row r="58" spans="1:35" ht="24.75" hidden="1">
      <c r="A58" s="2334" t="s">
        <v>1351</v>
      </c>
      <c r="B58" s="3597" t="s">
        <v>1368</v>
      </c>
      <c r="C58" s="3596"/>
      <c r="D58" s="2323">
        <f ca="1">IF(H58="转让取得",C81,C97)</f>
        <v>75404</v>
      </c>
      <c r="E58" s="2333" t="s">
        <v>1363</v>
      </c>
      <c r="F58" s="302" t="s">
        <v>28</v>
      </c>
      <c r="G58" s="2550"/>
      <c r="H58" s="2553"/>
      <c r="I58" s="1807"/>
      <c r="J58" s="3573"/>
      <c r="K58" s="3573"/>
      <c r="L58" s="2525" t="s">
        <v>1369</v>
      </c>
      <c r="M58" s="2529"/>
      <c r="N58" s="2530" t="str">
        <f ca="1">NUMBERSTRING(INT(N57*10000),2)&amp;"元整"</f>
        <v>柒亿陆仟柒佰叁拾捌万元整</v>
      </c>
      <c r="O58" s="2531"/>
    </row>
    <row r="59" spans="1:35" ht="24.75" hidden="1" thickBot="1">
      <c r="A59" s="3577" t="s">
        <v>1370</v>
      </c>
      <c r="B59" s="3578"/>
      <c r="C59" s="3578"/>
      <c r="D59" s="2555">
        <f ca="1">IF(H59="非个人房产","——",IF(H59="个人住宅（满五唯一有凭证）",0,IF(H59="个人其他（无凭证）",ROUND(D45*F59,0),ROUND(C67*F59,0))))</f>
        <v>1267</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3"/>
      <c r="I59" s="2312" t="s">
        <v>2136</v>
      </c>
      <c r="J59" s="3575">
        <f>J57+1</f>
        <v>6</v>
      </c>
      <c r="K59" s="3573" t="s">
        <v>1371</v>
      </c>
      <c r="L59" s="2518" t="s">
        <v>1367</v>
      </c>
      <c r="M59" s="2532"/>
      <c r="N59" s="2533">
        <f ca="1">M49-N57</f>
        <v>56271</v>
      </c>
      <c r="O59" s="2534"/>
    </row>
    <row r="60" spans="1:35" ht="12" hidden="1" customHeight="1">
      <c r="A60" s="1808"/>
      <c r="B60" s="1746"/>
      <c r="C60" s="1746"/>
      <c r="D60" s="1746"/>
      <c r="E60" s="1577"/>
      <c r="F60" s="1807"/>
      <c r="G60" s="1807"/>
      <c r="H60" s="1809"/>
      <c r="I60" s="129"/>
      <c r="J60" s="3576"/>
      <c r="K60" s="3573"/>
      <c r="L60" s="2525" t="s">
        <v>1369</v>
      </c>
      <c r="M60" s="2529"/>
      <c r="N60" s="2530" t="str">
        <f ca="1">NUMBERSTRING(INT(N59*10000),2)&amp;"元整"</f>
        <v>伍亿陆仟贰佰柒拾壹万元整</v>
      </c>
      <c r="O60" s="2531"/>
    </row>
    <row r="61" spans="1:35" ht="13.5" hidden="1" thickBot="1">
      <c r="A61" s="3632" t="s">
        <v>1372</v>
      </c>
      <c r="B61" s="3632"/>
      <c r="C61" s="3632"/>
      <c r="D61" s="3632"/>
      <c r="E61" s="3632"/>
      <c r="F61" s="1807"/>
      <c r="G61" s="1807"/>
      <c r="H61" s="1809"/>
      <c r="I61" s="129"/>
      <c r="J61" s="2518">
        <f>J59+1</f>
        <v>7</v>
      </c>
      <c r="K61" s="3573" t="s">
        <v>1373</v>
      </c>
      <c r="L61" s="3573"/>
      <c r="M61" s="2535"/>
      <c r="N61" s="2536">
        <f ca="1">ROUND(N59*10000/'数据-汇总表'!E3,0)</f>
        <v>8570</v>
      </c>
      <c r="O61" s="2537"/>
    </row>
    <row r="62" spans="1:35" ht="12.75" hidden="1">
      <c r="A62" s="3592" t="s">
        <v>1374</v>
      </c>
      <c r="B62" s="3593"/>
      <c r="C62" s="2020"/>
      <c r="D62" s="2020" t="s">
        <v>1375</v>
      </c>
      <c r="E62" s="166" t="s">
        <v>1376</v>
      </c>
      <c r="F62" s="1807"/>
      <c r="G62" s="1807"/>
      <c r="H62" s="1809"/>
      <c r="I62" s="129"/>
    </row>
    <row r="63" spans="1:35" ht="12.75" hidden="1">
      <c r="A63" s="173" t="s">
        <v>330</v>
      </c>
      <c r="B63" s="167" t="s">
        <v>1377</v>
      </c>
      <c r="C63" s="2559">
        <f ca="1">ROUND((C64+C65)/(1+'数据-取费表'!C42),0)</f>
        <v>126675</v>
      </c>
      <c r="D63" s="167"/>
      <c r="E63" s="168"/>
      <c r="F63" s="1807"/>
      <c r="G63" s="1807"/>
      <c r="H63" s="1809"/>
      <c r="I63" s="129"/>
      <c r="J63" s="3556" t="s">
        <v>1378</v>
      </c>
      <c r="K63" s="1331" t="s">
        <v>1379</v>
      </c>
      <c r="L63" s="1331">
        <f ca="1">IF(M49&gt;10000,M49*0.5%,IF(AND(M49&gt;1000,M49&lt;=10000),M49*1%,IF(AND(M49&gt;100,M49&lt;=1000),M49*3%,IF(AND(M49&gt;10,M49&lt;=100),M49*5%,M49*8%))))</f>
        <v>665.04499999999996</v>
      </c>
      <c r="M63" s="302">
        <f ca="1">ROUND(L63,1)</f>
        <v>665</v>
      </c>
      <c r="N63" s="2538"/>
      <c r="Z63" s="1751"/>
      <c r="AI63" s="1752"/>
    </row>
    <row r="64" spans="1:35" ht="14.25" hidden="1" customHeight="1">
      <c r="A64" s="169" t="s">
        <v>325</v>
      </c>
      <c r="B64" s="170" t="s">
        <v>1380</v>
      </c>
      <c r="C64" s="2560">
        <f ca="1">D45</f>
        <v>133009</v>
      </c>
      <c r="D64" s="170" t="s">
        <v>26</v>
      </c>
      <c r="E64" s="172"/>
      <c r="F64" s="1807"/>
      <c r="G64" s="1807"/>
      <c r="H64" s="1809"/>
      <c r="I64" s="129"/>
      <c r="J64" s="3556"/>
      <c r="K64" s="1331" t="s">
        <v>1381</v>
      </c>
      <c r="L64" s="1331">
        <f ca="1">IF(M49&gt;2000,M49*0.5%,IF(AND(M49&gt;1000,M49&lt;=2000),M49*0.6%,IF(AND(M49&gt;500,M49&lt;=1000),M49*0.7%,IF(AND(M49&gt;200,M49&lt;=500),M49*0.8%,IF(AND(M49&gt;100,M49&lt;=200),M49*0.9%,IF(AND(M49&gt;50,M49&lt;=100),M49*1%,IF(AND(M49&gt;20,M49&lt;=50),M49*1.5%,IF(AND(M49&gt;10,M49&lt;=20),M49*2%,IF(AND(M49&gt;1,M49&lt;=10),M49*2.5%)))))))))</f>
        <v>665.04499999999996</v>
      </c>
      <c r="M64" s="302">
        <f t="shared" ref="M64:M65" ca="1" si="1">ROUND(L64,1)</f>
        <v>665</v>
      </c>
      <c r="N64" s="2539" t="s">
        <v>1382</v>
      </c>
      <c r="Z64" s="1751"/>
      <c r="AI64" s="1752"/>
    </row>
    <row r="65" spans="1:35" ht="14.25" hidden="1" customHeight="1">
      <c r="A65" s="169" t="s">
        <v>326</v>
      </c>
      <c r="B65" s="170" t="s">
        <v>1383</v>
      </c>
      <c r="C65" s="2561"/>
      <c r="D65" s="170"/>
      <c r="E65" s="172"/>
      <c r="F65" s="1807"/>
      <c r="G65" s="1807"/>
      <c r="H65" s="1809"/>
      <c r="I65" s="129"/>
      <c r="J65" s="3556"/>
      <c r="K65" s="1331" t="s">
        <v>1384</v>
      </c>
      <c r="L65" s="1331">
        <f ca="1">IF(M49&gt;1000,M49*0.1%,IF(AND(M49&gt;500,M49&lt;=1000),M49*0.5%,IF(AND(M49&gt;50,M49&lt;=500),M49*1%,IF(AND(M49&gt;1,M49&lt;=50),M49*1.5%))))</f>
        <v>133.00900000000001</v>
      </c>
      <c r="M65" s="302">
        <f t="shared" ca="1" si="1"/>
        <v>133</v>
      </c>
      <c r="N65" s="2539" t="s">
        <v>1382</v>
      </c>
      <c r="Z65" s="1751"/>
      <c r="AI65" s="1752"/>
    </row>
    <row r="66" spans="1:35" ht="14.25" hidden="1" customHeight="1">
      <c r="A66" s="173" t="s">
        <v>327</v>
      </c>
      <c r="B66" s="174" t="s">
        <v>1385</v>
      </c>
      <c r="C66" s="2562"/>
      <c r="D66" s="174" t="s">
        <v>26</v>
      </c>
      <c r="E66" s="1337" t="s">
        <v>671</v>
      </c>
      <c r="F66" s="1807"/>
      <c r="G66" s="1807"/>
      <c r="H66" s="1809"/>
      <c r="I66" s="129"/>
      <c r="J66" s="3556"/>
      <c r="K66" s="1331" t="s">
        <v>1386</v>
      </c>
      <c r="L66" s="1331">
        <f ca="1">M49*0.5%</f>
        <v>665.04499999999996</v>
      </c>
      <c r="M66" s="302">
        <f ca="1">IF(L66&gt;0.5,0.5,ROUND(L66,0))</f>
        <v>0.5</v>
      </c>
      <c r="N66" s="2539" t="s">
        <v>1387</v>
      </c>
      <c r="Z66" s="1751"/>
      <c r="AI66" s="1752"/>
    </row>
    <row r="67" spans="1:35" ht="14.25" hidden="1" customHeight="1">
      <c r="A67" s="173" t="s">
        <v>328</v>
      </c>
      <c r="B67" s="174" t="s">
        <v>1388</v>
      </c>
      <c r="C67" s="2563">
        <f ca="1">C63-C66</f>
        <v>126675</v>
      </c>
      <c r="D67" s="170" t="s">
        <v>26</v>
      </c>
      <c r="E67" s="172"/>
      <c r="F67" s="1807"/>
      <c r="G67" s="1807"/>
      <c r="H67" s="1809"/>
      <c r="I67" s="129"/>
      <c r="J67" s="3556"/>
      <c r="K67" s="1331" t="s">
        <v>1389</v>
      </c>
      <c r="L67" s="1331">
        <f ca="1">IF(M49&gt;=10000,(8.25+(M49-10000)*0.01%),IF(AND(M49&gt;=8000,M49&lt;10000),(7.85+(M49-8000)*0.02%),IF(AND(M49&gt;=5000,M49&lt;8000),(6.65+(M49-5000)*0.04%),IF(AND(M49&gt;=2000,M49&lt;5000),(4.25+(PM49-2000)*0.08%),IF(AND(M49&gt;=1000,M49&lt;2000),(2.75+(M49-1000)*0.15%),IF(AND(M49&gt;=100,M49&lt;1000),(0.5+(M49-100)*0.25%),IF(AND(M49&gt;0,M49&lt;100),M49*0.5%)))))))</f>
        <v>20.550899999999999</v>
      </c>
      <c r="M67" s="302">
        <f ca="1">ROUND(L67*0.9,1)</f>
        <v>18.5</v>
      </c>
      <c r="N67" s="2538"/>
      <c r="Z67" s="1751"/>
      <c r="AI67" s="1752"/>
    </row>
    <row r="68" spans="1:35" ht="14.25" hidden="1" customHeight="1" thickBot="1">
      <c r="A68" s="176" t="s">
        <v>329</v>
      </c>
      <c r="B68" s="177" t="s">
        <v>1390</v>
      </c>
      <c r="C68" s="2564">
        <f ca="1">IF(C67&lt;=0,0,ROUND(C67*D68,0))</f>
        <v>6967</v>
      </c>
      <c r="D68" s="2565">
        <f>'数据-取费表'!B41</f>
        <v>5.5000000000000007E-2</v>
      </c>
      <c r="E68" s="178"/>
      <c r="F68" s="1807"/>
      <c r="G68" s="1807"/>
      <c r="H68" s="1809"/>
      <c r="I68" s="129"/>
      <c r="J68" s="3556"/>
      <c r="K68" s="1331" t="s">
        <v>1391</v>
      </c>
      <c r="L68" s="1331">
        <f ca="1">IF(M49&gt;10000,M49*0.5%,IF(AND(M49&gt;5000,M49&lt;=10000),M49*1%,IF(AND(M49&gt;1000,M49&lt;=5000),M49*2%,IF(AND(M49&gt;200,M49&lt;=1000),M49*3%,M49*5%))))</f>
        <v>665.04499999999996</v>
      </c>
      <c r="M68" s="302">
        <f ca="1">ROUND(L68,1)</f>
        <v>665</v>
      </c>
      <c r="N68" s="2538"/>
      <c r="Z68" s="1751"/>
      <c r="AI68" s="1752"/>
    </row>
    <row r="69" spans="1:35" s="1771" customFormat="1" ht="16.5" hidden="1" customHeight="1">
      <c r="A69" s="1810"/>
      <c r="B69" s="1811"/>
      <c r="C69" s="1812"/>
      <c r="D69" s="1813"/>
      <c r="E69" s="1814"/>
      <c r="F69" s="1577"/>
      <c r="G69" s="1577"/>
      <c r="H69" s="1576"/>
      <c r="I69" s="1746"/>
      <c r="J69" s="3556"/>
      <c r="K69" s="1331" t="s">
        <v>1392</v>
      </c>
      <c r="L69" s="1331"/>
      <c r="M69" s="302">
        <f ca="1">ROUND(SUM(M63:M68),0)</f>
        <v>2147</v>
      </c>
      <c r="N69" s="2540">
        <f ca="1">M69/M49</f>
        <v>1.6141764842980549E-2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00" t="s">
        <v>1393</v>
      </c>
      <c r="B70" s="3601"/>
      <c r="C70" s="3601"/>
      <c r="D70" s="3601"/>
      <c r="E70" s="3601"/>
      <c r="F70" s="3601"/>
      <c r="G70" s="3601"/>
      <c r="H70" s="3601"/>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92" t="s">
        <v>1374</v>
      </c>
      <c r="B71" s="3593"/>
      <c r="C71" s="2020"/>
      <c r="D71" s="2020" t="s">
        <v>1375</v>
      </c>
      <c r="E71" s="179" t="s">
        <v>1376</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1394</v>
      </c>
      <c r="C72" s="2563">
        <f ca="1">ROUND(D45/(1+'数据-取费表'!C42),0)</f>
        <v>126675</v>
      </c>
      <c r="D72" s="170" t="s">
        <v>26</v>
      </c>
      <c r="E72" s="2330"/>
      <c r="F72" s="2329"/>
      <c r="G72" s="2329"/>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1395</v>
      </c>
      <c r="C73" s="2563">
        <f ca="1">C74+C78</f>
        <v>633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1397</v>
      </c>
      <c r="C75" s="2566"/>
      <c r="D75" s="170" t="s">
        <v>26</v>
      </c>
      <c r="E75" s="184" t="s">
        <v>1398</v>
      </c>
      <c r="F75" s="2567"/>
      <c r="G75" s="184" t="s">
        <v>1399</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1400</v>
      </c>
      <c r="C76" s="170">
        <f>IF(F75="购房发票",ROUND(C75*H75*D76,0),0)</f>
        <v>0</v>
      </c>
      <c r="D76" s="2569">
        <v>0.05</v>
      </c>
      <c r="E76" s="3597" t="s">
        <v>1401</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1404</v>
      </c>
      <c r="C78" s="2571">
        <f ca="1">ROUND(D45*D78/(1+'数据-取费表'!C42),0)</f>
        <v>633</v>
      </c>
      <c r="D78" s="2572">
        <f>'数据-取费表'!B43</f>
        <v>5.000000000000001E-3</v>
      </c>
      <c r="E78" s="3589" t="s">
        <v>1405</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1406</v>
      </c>
      <c r="C79" s="2563">
        <f ca="1">C72-C73</f>
        <v>126042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1407</v>
      </c>
      <c r="C80" s="2573">
        <f ca="1">IF(C79&lt;=0,0,C79/C73)</f>
        <v>199.11848341232226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1408</v>
      </c>
      <c r="C81" s="2574">
        <f ca="1">ROUND(IF(C79&lt;=0,0,IF(C80&gt;=200%,C79*60%-C73*35%,IF(C80&gt;=100%,C79*50%-C73*15%,IF(C80&gt;=50%,C79*40%-C73*5%,IF(C80&lt;50%,C79*30%,0))))),0)</f>
        <v>75404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0" t="s">
        <v>1409</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2" t="s">
        <v>1374</v>
      </c>
      <c r="B84" s="3593"/>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1394</v>
      </c>
      <c r="C85" s="2563">
        <f ca="1">ROUND(D45/(1+'数据-取费表'!C42),0)</f>
        <v>126675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1395</v>
      </c>
      <c r="C86" s="2563">
        <f ca="1">IF(H88="仅含出让金",C87+C90+C91+C92+C93+C94,C87+C91+C92+C93+C94)</f>
        <v>633</v>
      </c>
      <c r="D86" s="2576"/>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1410</v>
      </c>
      <c r="C87" s="2571">
        <f>C88+C89</f>
        <v>0</v>
      </c>
      <c r="D87" s="2572"/>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1411</v>
      </c>
      <c r="C88" s="2577"/>
      <c r="D88" s="2572"/>
      <c r="E88" s="193" t="s">
        <v>1412</v>
      </c>
      <c r="F88" s="2326"/>
      <c r="G88" s="194" t="s">
        <v>1413</v>
      </c>
      <c r="H88" s="1823"/>
      <c r="I88" s="1820"/>
      <c r="J88" s="2516" t="s">
        <v>2282</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1402</v>
      </c>
      <c r="C89" s="2571">
        <f>ROUND(C88*D89,0)</f>
        <v>0</v>
      </c>
      <c r="D89" s="2572">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1415</v>
      </c>
      <c r="C90" s="2577"/>
      <c r="D90" s="2572"/>
      <c r="E90" s="193" t="str">
        <f>IF(H88="-","土地取得成本中已包含该笔费用"," ")</f>
        <v xml:space="preserve"> </v>
      </c>
      <c r="F90" s="2326"/>
      <c r="G90" s="3558" t="s">
        <v>2128</v>
      </c>
      <c r="H90" s="3559"/>
      <c r="I90" s="1820"/>
      <c r="J90" s="2516" t="s">
        <v>2283</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71">
        <f>IF(H91="——",成本法!C33,I91)</f>
        <v>0</v>
      </c>
      <c r="D91" s="2572"/>
      <c r="E91" s="3589" t="s">
        <v>1418</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71">
        <f>ROUND((C87+C90+C91)*D92,0)</f>
        <v>0</v>
      </c>
      <c r="D92" s="2578"/>
      <c r="E92" s="3589" t="s">
        <v>1421</v>
      </c>
      <c r="F92" s="3590"/>
      <c r="G92" s="3590"/>
      <c r="H92" s="3591"/>
      <c r="I92" s="1820"/>
      <c r="J92" s="2517" t="s">
        <v>2284</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71">
        <f ca="1">ROUND(D45*D93/(1+'数据-取费表'!C42),0)</f>
        <v>633</v>
      </c>
      <c r="D93" s="2572">
        <f>'数据-取费表'!B43</f>
        <v>5.000000000000001E-3</v>
      </c>
      <c r="E93" s="3589" t="s">
        <v>1405</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7">
        <f>ROUND((C87+C90+C91)*D94,0)</f>
        <v>0</v>
      </c>
      <c r="D94" s="2572">
        <v>0.2</v>
      </c>
      <c r="E94" s="3634" t="s">
        <v>1425</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1406</v>
      </c>
      <c r="C95" s="2563">
        <f ca="1">ROUND(C85-C86,0)</f>
        <v>126042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3">
        <f ca="1">IF(C95&lt;=0,0,C95/C86)</f>
        <v>199.11848341232226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1408</v>
      </c>
      <c r="C97" s="2574">
        <f ca="1">ROUND(IF(C95&lt;=0,0,IF(C96&gt;=200%,C95*60%-C86*35%,IF(C96&gt;=100%,C95*50%-C86*15%,IF(C96&gt;=50%,C95*40%-C86*5%,IF(C96&lt;50%,C95*30%,0))))),0)</f>
        <v>75404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39" t="s">
        <v>1427</v>
      </c>
      <c r="B100" s="3540"/>
      <c r="C100" s="3540"/>
      <c r="D100" s="3574"/>
      <c r="E100" s="3540" t="s">
        <v>1428</v>
      </c>
      <c r="F100" s="3540"/>
      <c r="G100" s="3540"/>
      <c r="H100" s="3574"/>
      <c r="I100" s="129"/>
    </row>
    <row r="101" spans="1:35" ht="18.75" customHeight="1">
      <c r="A101" s="3582" t="s">
        <v>1429</v>
      </c>
      <c r="B101" s="3583"/>
      <c r="C101" s="2580" t="str">
        <f>C4</f>
        <v>成本法</v>
      </c>
      <c r="D101" s="2581" t="str">
        <f>D4</f>
        <v>收益法（汇总）</v>
      </c>
      <c r="E101" s="3552" t="s">
        <v>1430</v>
      </c>
      <c r="F101" s="3553"/>
      <c r="G101" s="1826" t="s">
        <v>1431</v>
      </c>
      <c r="H101" s="2590">
        <f ca="1">H118</f>
        <v>133009</v>
      </c>
      <c r="I101" s="129"/>
    </row>
    <row r="102" spans="1:35" ht="18.75" customHeight="1">
      <c r="A102" s="3584" t="s">
        <v>1432</v>
      </c>
      <c r="B102" s="2579" t="s">
        <v>1431</v>
      </c>
      <c r="C102" s="2580">
        <f ca="1">IF(D32="楼面单价",ROUND(C19,0),C19)</f>
        <v>145870</v>
      </c>
      <c r="D102" s="2581">
        <f ca="1">IF(D32="楼面单价",ROUND(D19,0),D19)</f>
        <v>103001</v>
      </c>
      <c r="E102" s="3552"/>
      <c r="F102" s="3553"/>
      <c r="G102" s="1826" t="s">
        <v>1433</v>
      </c>
      <c r="H102" s="2550">
        <f ca="1">I118</f>
        <v>20257</v>
      </c>
      <c r="I102" s="129"/>
    </row>
    <row r="103" spans="1:35" ht="42.75" customHeight="1">
      <c r="A103" s="3584"/>
      <c r="B103" s="2579" t="s">
        <v>1433</v>
      </c>
      <c r="C103" s="2582">
        <f ca="1">C20</f>
        <v>22215</v>
      </c>
      <c r="D103" s="2583">
        <f ca="1">D20</f>
        <v>15686</v>
      </c>
      <c r="E103" s="3545" t="s">
        <v>1434</v>
      </c>
      <c r="F103" s="3546"/>
      <c r="G103" s="1827" t="s">
        <v>1435</v>
      </c>
      <c r="H103" s="2590">
        <f>IF(D36="正常操作",H104+H105+H106,H105+H106)</f>
        <v>0</v>
      </c>
      <c r="I103" s="129"/>
    </row>
    <row r="104" spans="1:35" ht="18.75" customHeight="1">
      <c r="A104" s="3584" t="s">
        <v>1436</v>
      </c>
      <c r="B104" s="2584" t="s">
        <v>1431</v>
      </c>
      <c r="C104" s="2585">
        <f ca="1">H118</f>
        <v>133009</v>
      </c>
      <c r="D104" s="2586"/>
      <c r="E104" s="1673" t="s">
        <v>1437</v>
      </c>
      <c r="F104" s="1665"/>
      <c r="G104" s="1827" t="s">
        <v>1435</v>
      </c>
      <c r="H104" s="2591">
        <f>IF(D36="同一抵押权人同一抵押物续贷",C36&amp;"（续贷，未扣减，详见特别提示）",C36)</f>
        <v>0</v>
      </c>
      <c r="I104" s="129"/>
    </row>
    <row r="105" spans="1:35" ht="18.75" customHeight="1" thickBot="1">
      <c r="A105" s="3594"/>
      <c r="B105" s="2587" t="s">
        <v>1433</v>
      </c>
      <c r="C105" s="2588">
        <f ca="1">I118</f>
        <v>20257</v>
      </c>
      <c r="D105" s="2589"/>
      <c r="E105" s="1673" t="s">
        <v>1438</v>
      </c>
      <c r="F105" s="1665"/>
      <c r="G105" s="1827" t="s">
        <v>1435</v>
      </c>
      <c r="H105" s="2592">
        <f>C37</f>
        <v>0</v>
      </c>
      <c r="I105" s="129"/>
    </row>
    <row r="106" spans="1:35" ht="18.75" customHeight="1">
      <c r="A106" s="1746" t="s">
        <v>1439</v>
      </c>
      <c r="B106" s="1746"/>
      <c r="C106" s="1746"/>
      <c r="D106" s="1746"/>
      <c r="E106" s="1828" t="s">
        <v>1440</v>
      </c>
      <c r="F106" s="1665"/>
      <c r="G106" s="1827" t="s">
        <v>1435</v>
      </c>
      <c r="H106" s="2592">
        <f>C38</f>
        <v>0</v>
      </c>
      <c r="I106" s="129"/>
    </row>
    <row r="107" spans="1:35" ht="18.75" customHeight="1">
      <c r="A107" s="129"/>
      <c r="B107" s="129"/>
      <c r="C107" s="129"/>
      <c r="D107" s="129"/>
      <c r="E107" s="3585" t="str">
        <f>IF(项目基本情况!E8="已注销","——","3.房地产抵押价值")</f>
        <v>3.房地产抵押价值</v>
      </c>
      <c r="F107" s="3553"/>
      <c r="G107" s="1826" t="s">
        <v>1431</v>
      </c>
      <c r="H107" s="2590">
        <f ca="1">IF(E107="——","——",H101-H103)</f>
        <v>133009</v>
      </c>
      <c r="I107" s="129"/>
    </row>
    <row r="108" spans="1:35" ht="18.75" customHeight="1">
      <c r="A108" s="129"/>
      <c r="B108" s="129"/>
      <c r="C108" s="129"/>
      <c r="D108" s="129"/>
      <c r="E108" s="3585"/>
      <c r="F108" s="3553"/>
      <c r="G108" s="1826" t="s">
        <v>1433</v>
      </c>
      <c r="H108" s="2550">
        <f ca="1">IF(H107=H101,H102,ROUND(H107*10000/'数据-汇总表'!E3,0))</f>
        <v>20257</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1431</v>
      </c>
      <c r="H109" s="2593" t="str">
        <f>IF(E109="——","——",H101-H105-H106)</f>
        <v>——</v>
      </c>
      <c r="I109" s="129"/>
    </row>
    <row r="110" spans="1:35" ht="18.75" customHeight="1">
      <c r="A110" s="129"/>
      <c r="B110" s="129"/>
      <c r="C110" s="129"/>
      <c r="D110" s="129"/>
      <c r="E110" s="3585"/>
      <c r="F110" s="3553"/>
      <c r="G110" s="1826" t="s">
        <v>1433</v>
      </c>
      <c r="H110" s="2550"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1431</v>
      </c>
      <c r="H111" s="2590" t="str">
        <f>IF(E111="——","——",N59)</f>
        <v>——</v>
      </c>
      <c r="I111" s="129"/>
    </row>
    <row r="112" spans="1:35" ht="18.75" customHeight="1" thickBot="1">
      <c r="A112" s="129"/>
      <c r="B112" s="129"/>
      <c r="C112" s="129"/>
      <c r="D112" s="129"/>
      <c r="E112" s="3587"/>
      <c r="F112" s="3588"/>
      <c r="G112" s="1829" t="s">
        <v>1433</v>
      </c>
      <c r="H112" s="2594" t="str">
        <f>IF(E111="——","——",N61)</f>
        <v>——</v>
      </c>
      <c r="I112" s="129"/>
    </row>
    <row r="113" spans="1:27" ht="18.75" customHeight="1">
      <c r="A113" s="129"/>
      <c r="B113" s="129"/>
      <c r="C113" s="129"/>
      <c r="D113" s="129"/>
      <c r="E113" s="3595" t="s">
        <v>1439</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1441</v>
      </c>
      <c r="B115" s="3604"/>
      <c r="C115" s="3604"/>
      <c r="D115" s="3604"/>
      <c r="E115" s="3604"/>
      <c r="F115" s="3604"/>
      <c r="G115" s="3604"/>
      <c r="H115" s="3604"/>
      <c r="I115" s="3605"/>
    </row>
    <row r="116" spans="1:27" ht="27" customHeight="1">
      <c r="A116" s="3560" t="s">
        <v>1442</v>
      </c>
      <c r="B116" s="3564" t="s">
        <v>1443</v>
      </c>
      <c r="C116" s="3564" t="s">
        <v>1444</v>
      </c>
      <c r="D116" s="3570" t="s">
        <v>1445</v>
      </c>
      <c r="E116" s="3571"/>
      <c r="F116" s="3602" t="s">
        <v>1446</v>
      </c>
      <c r="G116" s="3602"/>
      <c r="H116" s="3560" t="s">
        <v>1447</v>
      </c>
      <c r="I116" s="3560"/>
    </row>
    <row r="117" spans="1:27" ht="18.75" customHeight="1">
      <c r="A117" s="3560"/>
      <c r="B117" s="3565"/>
      <c r="C117" s="3565"/>
      <c r="D117" s="2328" t="s">
        <v>1448</v>
      </c>
      <c r="E117" s="2328" t="s">
        <v>1449</v>
      </c>
      <c r="F117" s="2328" t="s">
        <v>1448</v>
      </c>
      <c r="G117" s="2328" t="s">
        <v>1450</v>
      </c>
      <c r="H117" s="2328" t="s">
        <v>1448</v>
      </c>
      <c r="I117" s="2328" t="s">
        <v>1450</v>
      </c>
    </row>
    <row r="118" spans="1:27" ht="24.75" customHeight="1">
      <c r="A118" s="2595" t="str">
        <f>项目基本情况!S2</f>
        <v>北京市昌平区黄平路19号院3号楼商业及地下车库用房房地产</v>
      </c>
      <c r="B118" s="2328">
        <f>M18</f>
        <v>65662.34</v>
      </c>
      <c r="C118" s="2328">
        <f>M19</f>
        <v>17111.18</v>
      </c>
      <c r="D118" s="2328">
        <f ca="1">ROUND(IF(D32="总价",C34,E118*B118/10000),0)</f>
        <v>99624</v>
      </c>
      <c r="E118" s="2328">
        <f ca="1">ROUND(IF(C33="自定义",IF(D32="楼面单价",C34,D118*10000/B118),I118-G118),0)</f>
        <v>15173</v>
      </c>
      <c r="F118" s="2328">
        <f ca="1">ROUND(IF(D32="总价",C35,G118*B118/10000),0)</f>
        <v>33385</v>
      </c>
      <c r="G118" s="2328">
        <f ca="1">ROUND(IF(D32="楼面单价",C35,F118*10000/B118),0)</f>
        <v>5084</v>
      </c>
      <c r="H118" s="2328">
        <f ca="1">ROUND(IF(D32="总价",C32,I118*B118/10000),0)</f>
        <v>133009</v>
      </c>
      <c r="I118" s="2328">
        <f ca="1">ROUND(IF(D32="楼面单价",C32,H118*10000/B118),0)</f>
        <v>20257</v>
      </c>
    </row>
    <row r="119" spans="1:27" ht="18.75" customHeight="1">
      <c r="A119" s="3560" t="s">
        <v>1451</v>
      </c>
      <c r="B119" s="3560"/>
      <c r="C119" s="3560"/>
      <c r="D119" s="3566" t="str">
        <f ca="1">NUMBERSTRING(INT(D118*10000),2)&amp;"元整"</f>
        <v>玖亿玖仟陆佰贰拾肆万元整</v>
      </c>
      <c r="E119" s="3567"/>
      <c r="F119" s="3566" t="str">
        <f ca="1">NUMBERSTRING(INT(F118*10000),2)&amp;"元整"</f>
        <v>叁亿叁仟叁佰捌拾伍万元整</v>
      </c>
      <c r="G119" s="3567"/>
      <c r="H119" s="3566" t="str">
        <f ca="1">NUMBERSTRING(INT(H118*10000),2)&amp;"元整"</f>
        <v>壹拾叁亿叁仟零玖万元整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1451</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133009</v>
      </c>
      <c r="E122" s="3562"/>
      <c r="F122" s="3562"/>
      <c r="G122" s="3562"/>
      <c r="H122" s="3562"/>
      <c r="I122" s="3563"/>
      <c r="AA122" s="725"/>
    </row>
    <row r="123" spans="1:27" ht="18.75" customHeight="1">
      <c r="A123" s="3560" t="s">
        <v>1451</v>
      </c>
      <c r="B123" s="3560"/>
      <c r="C123" s="3560"/>
      <c r="D123" s="3566" t="str">
        <f ca="1">NUMBERSTRING(INT(D122*10000),2)&amp;"元整"</f>
        <v>壹拾叁亿叁仟零玖万元整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1451</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1451</v>
      </c>
      <c r="B127" s="3560"/>
      <c r="C127" s="3560"/>
      <c r="D127" s="3566" t="e">
        <f>NUMBERSTRING(INT(D126*10000),2)&amp;"元整"</f>
        <v>#VALUE!</v>
      </c>
      <c r="E127" s="3568"/>
      <c r="F127" s="3568"/>
      <c r="G127" s="3568"/>
      <c r="H127" s="3568"/>
      <c r="I127" s="3567"/>
      <c r="AA127" s="725"/>
    </row>
    <row r="128" spans="1:27" ht="21.75" customHeight="1">
      <c r="A128" s="3569" t="s">
        <v>1452</v>
      </c>
      <c r="B128" s="3569"/>
      <c r="C128" s="3569"/>
      <c r="D128" s="3569"/>
      <c r="E128" s="3569"/>
      <c r="F128" s="3569"/>
      <c r="G128" s="3569"/>
      <c r="H128" s="3569"/>
      <c r="I128" s="3569"/>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145870</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22215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76882</v>
      </c>
      <c r="D5" s="211" t="s">
        <v>1468</v>
      </c>
      <c r="E5" s="212" t="s">
        <v>1469</v>
      </c>
      <c r="F5" s="212" t="s">
        <v>1470</v>
      </c>
      <c r="G5" s="213"/>
    </row>
    <row r="6" spans="1:9" s="214" customFormat="1" ht="13.5" customHeight="1">
      <c r="A6" s="778" t="s">
        <v>1471</v>
      </c>
      <c r="B6" s="215" t="s">
        <v>1472</v>
      </c>
      <c r="C6" s="216">
        <f>'土地比较法-住宅、综合'!B2</f>
        <v>73332</v>
      </c>
      <c r="D6" s="217"/>
      <c r="E6" s="218"/>
      <c r="F6" s="218"/>
      <c r="G6" s="219"/>
    </row>
    <row r="7" spans="1:9" s="214" customFormat="1" ht="13.5" customHeight="1">
      <c r="A7" s="778" t="s">
        <v>1473</v>
      </c>
      <c r="B7" s="215" t="s">
        <v>1474</v>
      </c>
      <c r="C7" s="220">
        <f>ROUND(C6*F7,0)</f>
        <v>2237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1313</v>
      </c>
      <c r="D8" s="222"/>
      <c r="E8" s="220"/>
      <c r="F8" s="221"/>
      <c r="G8" s="1855" t="s">
        <v>3436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c r="H9" s="1137"/>
      <c r="I9" s="1857" t="s">
        <v>1478</v>
      </c>
    </row>
    <row r="10" spans="1:9" s="214" customFormat="1" ht="13.5" customHeight="1">
      <c r="A10" s="779" t="s">
        <v>356</v>
      </c>
      <c r="B10" s="224" t="s">
        <v>1479</v>
      </c>
      <c r="C10" s="225">
        <f ca="1">ROUND(D10*E10/10000,0)</f>
        <v>1313</v>
      </c>
      <c r="D10" s="845">
        <f ca="1">IF(B1="",'数据-汇总表'!E6,IF(INDIRECT("'数据-取费表'!c"&amp;$G$1)="住宅",INDIRECT("'数据-取费表'!s"&amp;$G$1),INDIRECT("'数据-取费表'!k"&amp;$G$1)+INDIRECT("'数据-取费表'!s"&amp;$G$1)))</f>
        <v>65662.34</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65662.34</v>
      </c>
      <c r="E19" s="211">
        <f>'数据-取费表'!B31</f>
        <v>200</v>
      </c>
      <c r="F19" s="231"/>
      <c r="G19" s="1855" t="s">
        <v>3437</v>
      </c>
    </row>
    <row r="20" spans="1:7" s="214" customFormat="1" ht="13.5" customHeight="1">
      <c r="A20" s="255" t="s">
        <v>1492</v>
      </c>
      <c r="B20" s="210" t="s">
        <v>1493</v>
      </c>
      <c r="C20" s="232">
        <f ca="1">ROUND((C5+C19)*F20,0)</f>
        <v>1538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8306</v>
      </c>
      <c r="D22" s="235">
        <f ca="1">C26</f>
        <v>1E-3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8226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80</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14116</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ROUND((C5+C19+C20)*F27*'数据-取费表'!B21/'数据-取费表'!B20,0)</f>
        <v>14116</v>
      </c>
      <c r="D28" s="235"/>
      <c r="E28" s="236"/>
      <c r="F28" s="246"/>
      <c r="G28" s="247"/>
    </row>
    <row r="29" spans="1:7" s="214" customFormat="1" ht="13.5" customHeight="1">
      <c r="A29" s="780" t="s">
        <v>347</v>
      </c>
      <c r="B29" s="248" t="s">
        <v>1516</v>
      </c>
      <c r="C29" s="238">
        <f ca="1">ROUND(C21*F27*'数据-取费表'!B21/'数据-取费表'!B20,4)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109255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32794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29839</v>
      </c>
      <c r="D34" s="217"/>
      <c r="E34" s="220"/>
      <c r="F34" s="257">
        <f ca="1">IF('数据-取费表'!B24=0,1,IF(B1="",'数据-取费表'!N16,INDIRECT("'数据-取费表'!n"&amp;$G$1)))</f>
        <v>1</v>
      </c>
      <c r="G34" s="219" t="s">
        <v>1525</v>
      </c>
    </row>
    <row r="35" spans="1:7" ht="13.5" customHeight="1">
      <c r="A35" s="780" t="s">
        <v>351</v>
      </c>
      <c r="B35" s="215" t="s">
        <v>1526</v>
      </c>
      <c r="C35" s="220">
        <f ca="1">ROUND(C34*F35,0)</f>
        <v>1194</v>
      </c>
      <c r="D35" s="220"/>
      <c r="E35" s="220"/>
      <c r="F35" s="259">
        <f>'数据-取费表'!B33</f>
        <v>0.04</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1313</v>
      </c>
      <c r="D37" s="217">
        <f ca="1">D19</f>
        <v>65662.34</v>
      </c>
      <c r="E37" s="249">
        <f>'数据-取费表'!B35</f>
        <v>200</v>
      </c>
      <c r="F37" s="259"/>
      <c r="G37" s="261" t="s">
        <v>1531</v>
      </c>
    </row>
    <row r="38" spans="1:7" ht="13.5" customHeight="1">
      <c r="A38" s="780" t="s">
        <v>354</v>
      </c>
      <c r="B38" s="215" t="s">
        <v>1532</v>
      </c>
      <c r="C38" s="220">
        <f ca="1">ROUND(C34*F38,0)</f>
        <v>448</v>
      </c>
      <c r="D38" s="220"/>
      <c r="E38" s="220"/>
      <c r="F38" s="259">
        <f>'数据-取费表'!B36</f>
        <v>1.4999999999999999E-2</v>
      </c>
      <c r="G38" s="219" t="s">
        <v>1527</v>
      </c>
    </row>
    <row r="39" spans="1:7" s="214" customFormat="1" ht="13.5" customHeight="1">
      <c r="A39" s="255" t="s">
        <v>1533</v>
      </c>
      <c r="B39" s="210" t="s">
        <v>1534</v>
      </c>
      <c r="C39" s="232">
        <f ca="1">ROUND(C33*F20,0)</f>
        <v>656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1744</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1710</v>
      </c>
      <c r="D42" s="238"/>
      <c r="E42" s="238"/>
      <c r="F42" s="239"/>
      <c r="G42" s="3639" t="s">
        <v>1543</v>
      </c>
    </row>
    <row r="43" spans="1:7" ht="13.5" customHeight="1">
      <c r="A43" s="780" t="s">
        <v>347</v>
      </c>
      <c r="B43" s="215" t="s">
        <v>1544</v>
      </c>
      <c r="C43" s="238">
        <f ca="1">ROUND(IF('数据-取费表'!B22&lt;=1,C39*F22*'数据-取费表'!B21/2,C39*(POWER((1+F22),'数据-取费表'!B21/2)-1)),0)</f>
        <v>34</v>
      </c>
      <c r="D43" s="238"/>
      <c r="E43" s="238"/>
      <c r="F43" s="239"/>
      <c r="G43" s="3640"/>
    </row>
    <row r="44" spans="1:7" ht="13.5" customHeight="1">
      <c r="A44" s="780" t="s">
        <v>348</v>
      </c>
      <c r="B44" s="215" t="s">
        <v>1545</v>
      </c>
      <c r="C44" s="238">
        <f ca="1">ROUND(IF('数据-取费表'!B22&lt;=1,C40*F22*'数据-取费表'!B21/2,C40*(POWER((1+F22),'数据-取费表'!B21/2)-1)),4)</f>
        <v>1E-3</v>
      </c>
      <c r="D44" s="238"/>
      <c r="E44" s="238"/>
      <c r="F44" s="239"/>
      <c r="G44" s="3641"/>
    </row>
    <row r="45" spans="1:7" s="214" customFormat="1" ht="13.5" customHeight="1">
      <c r="A45" s="255" t="s">
        <v>1546</v>
      </c>
      <c r="B45" s="244" t="s">
        <v>1512</v>
      </c>
      <c r="C45" s="245">
        <f ca="1">C46</f>
        <v>6021</v>
      </c>
      <c r="D45" s="235">
        <f ca="1">C47</f>
        <v>3.5999999999999999E-3</v>
      </c>
      <c r="E45" s="236" t="s">
        <v>1538</v>
      </c>
      <c r="F45" s="246">
        <f ca="1">F27</f>
        <v>0.18</v>
      </c>
      <c r="G45" s="247" t="s">
        <v>1547</v>
      </c>
    </row>
    <row r="46" spans="1:7" s="214" customFormat="1" ht="13.5" customHeight="1">
      <c r="A46" s="780" t="s">
        <v>346</v>
      </c>
      <c r="B46" s="248" t="s">
        <v>1548</v>
      </c>
      <c r="C46" s="249">
        <f ca="1">ROUND((C33+C39)*F27,0)</f>
        <v>6021</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44653</v>
      </c>
      <c r="D49" s="232"/>
      <c r="E49" s="232"/>
      <c r="F49" s="264"/>
      <c r="G49" s="234" t="s">
        <v>1553</v>
      </c>
    </row>
    <row r="50" spans="1:7" s="258" customFormat="1" ht="24">
      <c r="A50" s="255" t="s">
        <v>1554</v>
      </c>
      <c r="B50" s="210" t="s">
        <v>1555</v>
      </c>
      <c r="C50" s="232"/>
      <c r="D50" s="232"/>
      <c r="E50" s="232"/>
      <c r="F50" s="264">
        <f>IF('数据-取费表'!B24=0,'数据-取费表'!N16,1)</f>
        <v>0.82</v>
      </c>
      <c r="G50" s="247" t="s">
        <v>1556</v>
      </c>
    </row>
    <row r="51" spans="1:7" ht="16.5" customHeight="1">
      <c r="A51" s="255" t="s">
        <v>1557</v>
      </c>
      <c r="B51" s="210" t="s">
        <v>1558</v>
      </c>
      <c r="C51" s="232">
        <f ca="1">ROUND(C49*F50,0)</f>
        <v>36615</v>
      </c>
      <c r="D51" s="232"/>
      <c r="E51" s="232"/>
      <c r="F51" s="264"/>
      <c r="G51" s="234" t="s">
        <v>1559</v>
      </c>
    </row>
    <row r="52" spans="1:7" s="208" customFormat="1" ht="16.5" thickBot="1">
      <c r="A52" s="265" t="s">
        <v>1560</v>
      </c>
      <c r="B52" s="266"/>
      <c r="C52" s="267">
        <f ca="1">C31+C51</f>
        <v>145870</v>
      </c>
      <c r="D52" s="266"/>
      <c r="E52" s="266"/>
      <c r="F52" s="266"/>
      <c r="G52" s="268"/>
    </row>
    <row r="55" spans="1:7" ht="15">
      <c r="B55" s="270" t="s">
        <v>1561</v>
      </c>
      <c r="C55" s="271"/>
    </row>
    <row r="56" spans="1:7">
      <c r="B56" s="273" t="s">
        <v>802</v>
      </c>
      <c r="C56" s="275">
        <f ca="1">1-C57</f>
        <v>0.749</v>
      </c>
    </row>
    <row r="57" spans="1:7">
      <c r="B57" s="273" t="s">
        <v>803</v>
      </c>
      <c r="C57" s="274">
        <f ca="1">ROUND(C51/C52,3)</f>
        <v>0.251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北京市昌平区黄平路19号院3号楼商业及地下车库用房房地产抵押价值预评估</v>
      </c>
      <c r="C37" s="3456"/>
      <c r="D37" s="3456"/>
      <c r="E37" s="3456"/>
      <c r="F37" s="3456"/>
      <c r="G37" s="3456"/>
      <c r="H37" s="3456"/>
      <c r="I37" s="3456"/>
    </row>
    <row r="38" spans="1:9">
      <c r="A38" s="844"/>
      <c r="B38" s="844"/>
    </row>
    <row r="39" spans="1:9">
      <c r="A39" s="842" t="s">
        <v>371</v>
      </c>
      <c r="B39" s="842" t="s">
        <v>373</v>
      </c>
    </row>
    <row r="40" spans="1:9">
      <c r="A40" s="842"/>
      <c r="B40" s="1473" t="str">
        <f>项目基本情况!B5</f>
        <v>上海浦东发展银行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欧红伟（注册号：1120000080)、崔锴（注册号：1120100036)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40347.644099999998</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6145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13132468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13132468</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13132468</v>
      </c>
      <c r="D10" s="845">
        <f ca="1">IF(B1="",'数据-汇总表'!E6,IF(INDIRECT("'数据-取费表'!c"&amp;$G$1)="住宅",INDIRECT("'数据-取费表'!s"&amp;$G$1),INDIRECT("'数据-取费表'!k"&amp;$G$1)+INDIRECT("'数据-取费表'!s"&amp;$G$1)))</f>
        <v>65662.34</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13132468</v>
      </c>
      <c r="D19" s="849">
        <f ca="1">D9+D10</f>
        <v>65662.34</v>
      </c>
      <c r="E19" s="211">
        <f>'数据-取费表'!B31</f>
        <v>200</v>
      </c>
      <c r="F19" s="231"/>
      <c r="G19" s="1855"/>
    </row>
    <row r="20" spans="1:7" s="214" customFormat="1" ht="13.5" customHeight="1">
      <c r="A20" s="255" t="s">
        <v>1573</v>
      </c>
      <c r="B20" s="210" t="s">
        <v>1574</v>
      </c>
      <c r="C20" s="232">
        <f ca="1">ROUND((C5+C19)*F20,0)</f>
        <v>525299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2837776</v>
      </c>
      <c r="D22" s="235">
        <f ca="1">C26</f>
        <v>1E-3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1405193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1405193</v>
      </c>
      <c r="D24" s="238"/>
      <c r="E24" s="238"/>
      <c r="F24" s="239"/>
      <c r="G24" s="240" t="s">
        <v>1585</v>
      </c>
    </row>
    <row r="25" spans="1:7" s="214" customFormat="1" ht="24">
      <c r="A25" s="780" t="s">
        <v>1475</v>
      </c>
      <c r="B25" s="215" t="s">
        <v>1586</v>
      </c>
      <c r="C25" s="1128">
        <f ca="1">ROUND(IF('数据-取费表'!B22&lt;=1,C20*F22*'数据-取费表'!B22/2,C20*(POWER((1+F22),'数据-取费表'!B22/2)-1)),0)</f>
        <v>27390</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4822242</v>
      </c>
      <c r="D27" s="235">
        <f ca="1">C29</f>
        <v>3.5999999999999999E-3</v>
      </c>
      <c r="E27" s="236" t="s">
        <v>1513</v>
      </c>
      <c r="F27" s="246">
        <f ca="1">IF(B1="",'数据-取费表'!Q16,INDIRECT("'数据-取费表'!q"&amp;$G$1))</f>
        <v>0.18</v>
      </c>
      <c r="G27" s="247" t="s">
        <v>1514</v>
      </c>
    </row>
    <row r="28" spans="1:7" s="214" customFormat="1" ht="13.5" customHeight="1">
      <c r="A28" s="780" t="s">
        <v>346</v>
      </c>
      <c r="B28" s="248" t="s">
        <v>1515</v>
      </c>
      <c r="C28" s="249">
        <f ca="1">ROUND((C5+C19+C20)*F27,0)</f>
        <v>4822242</v>
      </c>
      <c r="D28" s="235"/>
      <c r="E28" s="236"/>
      <c r="F28" s="246"/>
      <c r="G28" s="247"/>
    </row>
    <row r="29" spans="1:7" s="214" customFormat="1" ht="13.5" customHeight="1">
      <c r="A29" s="780" t="s">
        <v>347</v>
      </c>
      <c r="B29" s="248" t="s">
        <v>1516</v>
      </c>
      <c r="C29" s="238">
        <f ca="1">ROUND(C21*F27,4)</f>
        <v>3.5999999999999999E-3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37324218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327935789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298391773</v>
      </c>
      <c r="D34" s="217"/>
      <c r="E34" s="220"/>
      <c r="F34" s="257"/>
      <c r="G34" s="219"/>
    </row>
    <row r="35" spans="1:7" ht="13.5" customHeight="1">
      <c r="A35" s="780" t="s">
        <v>351</v>
      </c>
      <c r="B35" s="215" t="s">
        <v>1526</v>
      </c>
      <c r="C35" s="220">
        <f ca="1">ROUND(C34*F35,0)</f>
        <v>11935671</v>
      </c>
      <c r="D35" s="220"/>
      <c r="E35" s="220"/>
      <c r="F35" s="259">
        <f>'数据-取费表'!B33</f>
        <v>0.04</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13132468</v>
      </c>
      <c r="D37" s="217">
        <f ca="1">D19</f>
        <v>65662.34</v>
      </c>
      <c r="E37" s="249">
        <f>'数据-取费表'!B35</f>
        <v>200</v>
      </c>
      <c r="F37" s="259"/>
      <c r="G37" s="261"/>
    </row>
    <row r="38" spans="1:7" ht="13.5" customHeight="1">
      <c r="A38" s="780" t="s">
        <v>354</v>
      </c>
      <c r="B38" s="215" t="s">
        <v>1532</v>
      </c>
      <c r="C38" s="220">
        <f ca="1">ROUND(C34*F38,0)</f>
        <v>4475877</v>
      </c>
      <c r="D38" s="220"/>
      <c r="E38" s="220"/>
      <c r="F38" s="259">
        <f>'数据-取费表'!B36</f>
        <v>1.4999999999999999E-2</v>
      </c>
      <c r="G38" s="219" t="s">
        <v>1527</v>
      </c>
    </row>
    <row r="39" spans="1:7" s="214" customFormat="1" ht="13.5" customHeight="1">
      <c r="A39" s="255" t="s">
        <v>1533</v>
      </c>
      <c r="B39" s="210" t="s">
        <v>1534</v>
      </c>
      <c r="C39" s="232">
        <f ca="1">ROUND(C33*F20,0)</f>
        <v>6558716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17440998</v>
      </c>
      <c r="D41" s="235">
        <f ca="1">C44</f>
        <v>1E-3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17099018</v>
      </c>
      <c r="D42" s="238"/>
      <c r="E42" s="238"/>
      <c r="F42" s="239"/>
      <c r="G42" s="3639" t="s">
        <v>1590</v>
      </c>
    </row>
    <row r="43" spans="1:7" ht="13.5" customHeight="1">
      <c r="A43" s="780" t="s">
        <v>347</v>
      </c>
      <c r="B43" s="215" t="s">
        <v>1544</v>
      </c>
      <c r="C43" s="238">
        <f ca="1">ROUND(IF('数据-取费表'!B22&lt;=1,C39*F22*'数据-取费表'!B20/2,C39*(POWER((1+F22),'数据-取费表'!B20/2)-1)),0)</f>
        <v>341980</v>
      </c>
      <c r="D43" s="238"/>
      <c r="E43" s="238"/>
      <c r="F43" s="239"/>
      <c r="G43" s="3640"/>
    </row>
    <row r="44" spans="1:7" ht="13.5" customHeight="1">
      <c r="A44" s="780" t="s">
        <v>348</v>
      </c>
      <c r="B44" s="215" t="s">
        <v>1545</v>
      </c>
      <c r="C44" s="238">
        <f ca="1">ROUND(IF('数据-取费表'!B22&lt;=1,C40*F22*'数据-取费表'!B20/2,C40*(POWER((1+F22),'数据-取费表'!B20/2)-1)),4)</f>
        <v>1E-3</v>
      </c>
      <c r="D44" s="238"/>
      <c r="E44" s="238"/>
      <c r="F44" s="239"/>
      <c r="G44" s="3641"/>
    </row>
    <row r="45" spans="1:7" s="214" customFormat="1" ht="13.5" customHeight="1">
      <c r="A45" s="255" t="s">
        <v>1546</v>
      </c>
      <c r="B45" s="244" t="s">
        <v>1512</v>
      </c>
      <c r="C45" s="245">
        <f ca="1">C46</f>
        <v>60209011</v>
      </c>
      <c r="D45" s="235">
        <f ca="1">C47</f>
        <v>3.5999999999999999E-3</v>
      </c>
      <c r="E45" s="236" t="s">
        <v>1538</v>
      </c>
      <c r="F45" s="246">
        <f ca="1">F27</f>
        <v>0.18</v>
      </c>
      <c r="G45" s="247" t="s">
        <v>1547</v>
      </c>
    </row>
    <row r="46" spans="1:7" s="214" customFormat="1" ht="13.5" customHeight="1">
      <c r="A46" s="780" t="s">
        <v>346</v>
      </c>
      <c r="B46" s="248" t="s">
        <v>1548</v>
      </c>
      <c r="C46" s="249">
        <f ca="1">ROUND((C33+C39)*F27,0)</f>
        <v>60209011</v>
      </c>
      <c r="D46" s="263"/>
      <c r="E46" s="236"/>
      <c r="F46" s="246"/>
      <c r="G46" s="247"/>
    </row>
    <row r="47" spans="1:7" s="214" customFormat="1" ht="13.5" customHeight="1">
      <c r="A47" s="780" t="s">
        <v>347</v>
      </c>
      <c r="B47" s="248" t="s">
        <v>1549</v>
      </c>
      <c r="C47" s="238">
        <f ca="1">ROUND(C40*F27,4)</f>
        <v>3.5999999999999999E-3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446527101</v>
      </c>
      <c r="D49" s="232"/>
      <c r="E49" s="232"/>
      <c r="F49" s="264"/>
      <c r="G49" s="234" t="s">
        <v>1553</v>
      </c>
    </row>
    <row r="50" spans="1:7" s="258" customFormat="1">
      <c r="A50" s="255" t="s">
        <v>1554</v>
      </c>
      <c r="B50" s="210" t="s">
        <v>1555</v>
      </c>
      <c r="C50" s="232"/>
      <c r="D50" s="232"/>
      <c r="E50" s="232"/>
      <c r="F50" s="264">
        <f>IF('数据-取费表'!B24=0,'数据-取费表'!N16,1)</f>
        <v>0.82</v>
      </c>
      <c r="G50" s="247"/>
    </row>
    <row r="51" spans="1:7" ht="16.5" customHeight="1">
      <c r="A51" s="255" t="s">
        <v>1557</v>
      </c>
      <c r="B51" s="210" t="s">
        <v>1592</v>
      </c>
      <c r="C51" s="232">
        <f ca="1">ROUND(C49*F50,0)</f>
        <v>366152223</v>
      </c>
      <c r="D51" s="232"/>
      <c r="E51" s="232"/>
      <c r="F51" s="264"/>
      <c r="G51" s="234" t="s">
        <v>1559</v>
      </c>
    </row>
    <row r="52" spans="1:7" s="208" customFormat="1" ht="16.5" thickBot="1">
      <c r="A52" s="265" t="s">
        <v>1560</v>
      </c>
      <c r="B52" s="266"/>
      <c r="C52" s="267">
        <f ca="1">C31+C51</f>
        <v>403476441</v>
      </c>
      <c r="D52" s="266"/>
      <c r="E52" s="266"/>
      <c r="F52" s="266"/>
      <c r="G52" s="268"/>
    </row>
    <row r="55" spans="1:7" ht="15">
      <c r="B55" s="270" t="s">
        <v>1561</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0.04</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65662.34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65662.34</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1626</v>
      </c>
      <c r="C20" s="21">
        <f ca="1">ROUND(D20*E20/10000,0)</f>
        <v>1313</v>
      </c>
      <c r="D20" s="846">
        <f ca="1">IF(C1="",'数据-汇总表'!E6,IF(INDIRECT("'数据-取费表'!c"&amp;$K$1)="住宅",INDIRECT("'数据-取费表'!s"&amp;$K$1),INDIRECT("'数据-取费表'!k"&amp;$K$1)+INDIRECT("'数据-取费表'!s"&amp;$K$1)))</f>
        <v>65662.34</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t="e">
        <f ca="1">ROUND(D2/10000,4)</f>
        <v>#DIV/0!</v>
      </c>
      <c r="C2" s="1386" t="s">
        <v>879</v>
      </c>
      <c r="D2" s="1470" t="e">
        <f ca="1">C40+J29+L46</f>
        <v>#DIV/0!</v>
      </c>
      <c r="E2" s="1387" t="s">
        <v>880</v>
      </c>
      <c r="F2" s="1388"/>
      <c r="G2" s="2701"/>
      <c r="H2" s="2690"/>
      <c r="I2" s="2690"/>
      <c r="J2" s="2690"/>
      <c r="K2" s="2691"/>
      <c r="L2" s="2690"/>
      <c r="M2" s="2690"/>
    </row>
    <row r="3" spans="1:37" ht="18" customHeight="1" thickBot="1">
      <c r="A3" s="1389" t="s">
        <v>881</v>
      </c>
      <c r="B3" s="1390">
        <f ca="1">IF(ISERROR(D2/F43),0,ROUND(D2/F43,0))</f>
        <v>0</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42" t="s">
        <v>694</v>
      </c>
      <c r="C6" s="1074">
        <f ca="1">ROUND(F6*F8*F7*(1-F9),0)</f>
        <v>0</v>
      </c>
      <c r="D6" s="155" t="s">
        <v>2105</v>
      </c>
      <c r="E6" s="302" t="s">
        <v>696</v>
      </c>
      <c r="F6" s="303">
        <f ca="1">INDIRECT("'数据-取费表'!u"&amp;$G$1)</f>
        <v>0</v>
      </c>
      <c r="G6" s="1383"/>
      <c r="H6" s="1069" t="s">
        <v>398</v>
      </c>
      <c r="I6" s="3642" t="s">
        <v>694</v>
      </c>
      <c r="J6" s="301">
        <f ca="1">ROUND(M6*M8*M7*(1-M9),0)</f>
        <v>0</v>
      </c>
      <c r="K6" s="1375" t="s">
        <v>2106</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3"/>
      <c r="H7" s="304"/>
      <c r="I7" s="3643"/>
      <c r="J7" s="306"/>
      <c r="K7" s="307"/>
      <c r="L7" s="302" t="s">
        <v>697</v>
      </c>
      <c r="M7" s="303">
        <f ca="1">F7</f>
        <v>0</v>
      </c>
    </row>
    <row r="8" spans="1:37" ht="18" customHeight="1">
      <c r="A8" s="304"/>
      <c r="B8" s="3643"/>
      <c r="C8" s="306"/>
      <c r="D8" s="307"/>
      <c r="E8" s="302" t="s">
        <v>698</v>
      </c>
      <c r="F8" s="303">
        <f ca="1">INDIRECT("'数据-取费表'!ai"&amp;$G$1)</f>
        <v>0</v>
      </c>
      <c r="G8" s="1383"/>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3"/>
      <c r="H9" s="304"/>
      <c r="I9" s="364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ROUND(C13*F37,0)</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3349</v>
      </c>
      <c r="B45" s="1399"/>
      <c r="C45" s="1471" t="e">
        <f ca="1">ROUND((C68-C40)/10000,4)</f>
        <v>#DIV/0!</v>
      </c>
      <c r="D45" s="3427"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45" t="s">
        <v>837</v>
      </c>
      <c r="L53" s="364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2311</v>
      </c>
      <c r="K1" s="2834"/>
      <c r="L1" s="2834"/>
      <c r="M1" s="2834"/>
      <c r="N1" s="2834"/>
      <c r="O1" s="2834"/>
      <c r="P1" s="2834"/>
      <c r="Q1" s="2834"/>
      <c r="R1" s="2835"/>
      <c r="S1" s="2836"/>
      <c r="T1" s="2836"/>
      <c r="U1" s="2836"/>
    </row>
    <row r="2" spans="1:22" s="2848" customFormat="1" ht="13.15" customHeight="1">
      <c r="A2" s="1384" t="s">
        <v>2312</v>
      </c>
      <c r="B2" s="2838" t="e">
        <f>IF(D2="——",C40,C40+E2)</f>
        <v>#DIV/0!</v>
      </c>
      <c r="C2" s="2839" t="s">
        <v>2313</v>
      </c>
      <c r="D2" s="3438" t="s">
        <v>3356</v>
      </c>
      <c r="E2" s="3439"/>
      <c r="F2" s="2841"/>
      <c r="G2" s="2842"/>
      <c r="H2" s="2843"/>
      <c r="I2" s="2844"/>
      <c r="J2" s="3647" t="s">
        <v>2314</v>
      </c>
      <c r="K2" s="3648"/>
      <c r="L2" s="2845" t="s">
        <v>2315</v>
      </c>
      <c r="M2" s="2845" t="s">
        <v>2316</v>
      </c>
      <c r="N2" s="2845" t="s">
        <v>2317</v>
      </c>
      <c r="O2" s="2845" t="s">
        <v>2318</v>
      </c>
      <c r="P2" s="2845" t="s">
        <v>2319</v>
      </c>
      <c r="Q2" s="2846" t="s">
        <v>2320</v>
      </c>
      <c r="R2" s="2847" t="s">
        <v>2321</v>
      </c>
      <c r="S2" s="2836"/>
      <c r="T2" s="2836"/>
      <c r="U2" s="2836"/>
      <c r="V2" s="2844"/>
    </row>
    <row r="3" spans="1:22" s="2848" customFormat="1" ht="13.15" customHeight="1">
      <c r="A3" s="2849" t="s">
        <v>2322</v>
      </c>
      <c r="B3" s="2850" t="e">
        <f>ROUND(B2*10000/B4,0)</f>
        <v>#DIV/0!</v>
      </c>
      <c r="C3" s="2839" t="s">
        <v>2323</v>
      </c>
      <c r="D3" s="2839"/>
      <c r="E3" s="2840"/>
      <c r="F3" s="2841"/>
      <c r="G3" s="2842"/>
      <c r="H3" s="2843"/>
      <c r="I3" s="2844"/>
      <c r="J3" s="3649" t="s">
        <v>2324</v>
      </c>
      <c r="K3" s="3650"/>
      <c r="L3" s="2851"/>
      <c r="M3" s="2851"/>
      <c r="N3" s="2851"/>
      <c r="O3" s="2851"/>
      <c r="P3" s="2851"/>
      <c r="Q3" s="2852"/>
      <c r="R3" s="2853">
        <f>SUM(L3:Q3)</f>
        <v>0</v>
      </c>
      <c r="S3" s="2836"/>
      <c r="T3" s="2836"/>
      <c r="U3" s="2836"/>
      <c r="V3" s="2844"/>
    </row>
    <row r="4" spans="1:22" s="2848" customFormat="1" ht="13.15" customHeight="1">
      <c r="A4" s="2854" t="s">
        <v>2325</v>
      </c>
      <c r="B4" s="2855"/>
      <c r="C4" s="2839"/>
      <c r="D4" s="2839"/>
      <c r="E4" s="2840"/>
      <c r="F4" s="2841"/>
      <c r="G4" s="2842"/>
      <c r="H4" s="2843"/>
      <c r="I4" s="2844"/>
      <c r="J4" s="3649" t="s">
        <v>2326</v>
      </c>
      <c r="K4" s="3650"/>
      <c r="L4" s="2856"/>
      <c r="M4" s="2856"/>
      <c r="N4" s="2856"/>
      <c r="O4" s="2856"/>
      <c r="P4" s="2856"/>
      <c r="Q4" s="2857"/>
      <c r="R4" s="2858">
        <f>SUM(L4:Q4)</f>
        <v>0</v>
      </c>
      <c r="S4" s="2836"/>
      <c r="T4" s="2836"/>
      <c r="U4" s="2836"/>
      <c r="V4" s="2844"/>
    </row>
    <row r="5" spans="1:22" s="2848" customFormat="1" ht="13.15" customHeight="1" thickBot="1">
      <c r="A5" s="2859" t="s">
        <v>2327</v>
      </c>
      <c r="B5" s="2860"/>
      <c r="C5" s="2839"/>
      <c r="D5" s="2861"/>
      <c r="E5" s="2841"/>
      <c r="F5" s="2841"/>
      <c r="G5" s="2842"/>
      <c r="H5" s="2843"/>
      <c r="I5" s="2844"/>
      <c r="J5" s="2862" t="s">
        <v>2328</v>
      </c>
      <c r="K5" s="2863"/>
      <c r="L5" s="2863"/>
      <c r="M5" s="2864"/>
      <c r="N5" s="2864"/>
      <c r="O5" s="2864"/>
      <c r="P5" s="2864"/>
      <c r="Q5" s="2864"/>
      <c r="R5" s="2847">
        <f>SUM(R14,R19,R24,R25,R27,R28)</f>
        <v>0</v>
      </c>
      <c r="S5" s="2836"/>
      <c r="T5" s="2836" t="s">
        <v>2329</v>
      </c>
      <c r="U5" s="2836" t="e">
        <f>ROUND(R5*10000/365/R3,1)</f>
        <v>#DIV/0!</v>
      </c>
      <c r="V5" s="2844"/>
    </row>
    <row r="6" spans="1:22" s="2848" customFormat="1" ht="13.15" customHeight="1" thickBot="1">
      <c r="A6" s="3651" t="s">
        <v>2330</v>
      </c>
      <c r="B6" s="3652"/>
      <c r="C6" s="3653"/>
      <c r="D6" s="2865"/>
      <c r="E6" s="2866"/>
      <c r="F6" s="2867"/>
      <c r="G6" s="2868"/>
      <c r="H6" s="2843"/>
      <c r="I6" s="2844"/>
      <c r="J6" s="3654">
        <v>1</v>
      </c>
      <c r="K6" s="3655" t="s">
        <v>2331</v>
      </c>
      <c r="L6" s="2869" t="s">
        <v>2332</v>
      </c>
      <c r="M6" s="2870" t="s">
        <v>2333</v>
      </c>
      <c r="N6" s="2870" t="s">
        <v>2334</v>
      </c>
      <c r="O6" s="2870" t="s">
        <v>2335</v>
      </c>
      <c r="P6" s="2870" t="s">
        <v>2336</v>
      </c>
      <c r="Q6" s="2870" t="s">
        <v>2337</v>
      </c>
      <c r="R6" s="2853" t="s">
        <v>2338</v>
      </c>
      <c r="S6" s="2836"/>
      <c r="T6" s="2836" t="s">
        <v>2339</v>
      </c>
      <c r="U6" s="2836"/>
      <c r="V6" s="2844"/>
    </row>
    <row r="7" spans="1:22" s="2848" customFormat="1" ht="13.15" customHeight="1">
      <c r="A7" s="2871" t="s">
        <v>2340</v>
      </c>
      <c r="B7" s="2872"/>
      <c r="C7" s="2873"/>
      <c r="D7" s="2874">
        <f>SUM(D9,D10,D11,D17,0)</f>
        <v>0</v>
      </c>
      <c r="E7" s="2875" t="e">
        <f>E9+E10+E11+E17</f>
        <v>#DIV/0!</v>
      </c>
      <c r="F7" s="2876"/>
      <c r="G7" s="2877"/>
      <c r="H7" s="2843"/>
      <c r="I7" s="2844"/>
      <c r="J7" s="3654"/>
      <c r="K7" s="3656"/>
      <c r="L7" s="2878" t="s">
        <v>2341</v>
      </c>
      <c r="M7" s="2879"/>
      <c r="N7" s="2855"/>
      <c r="O7" s="2880"/>
      <c r="P7" s="2880"/>
      <c r="Q7" s="2881">
        <v>365</v>
      </c>
      <c r="R7" s="2882">
        <f>ROUND(M7*N7*O7*P7*Q7/10000,0)</f>
        <v>0</v>
      </c>
      <c r="S7" s="2836"/>
      <c r="T7" s="2836" t="s">
        <v>2342</v>
      </c>
      <c r="U7" s="2836"/>
      <c r="V7" s="2844"/>
    </row>
    <row r="8" spans="1:22" s="2848" customFormat="1" ht="13.15" customHeight="1">
      <c r="A8" s="2883" t="s">
        <v>2343</v>
      </c>
      <c r="B8" s="3658" t="s">
        <v>2344</v>
      </c>
      <c r="C8" s="3659"/>
      <c r="D8" s="2884" t="s">
        <v>2345</v>
      </c>
      <c r="E8" s="2885" t="s">
        <v>2346</v>
      </c>
      <c r="F8" s="2886" t="s">
        <v>2347</v>
      </c>
      <c r="G8" s="2887"/>
      <c r="H8" s="2843"/>
      <c r="I8" s="2844"/>
      <c r="J8" s="3654"/>
      <c r="K8" s="3656"/>
      <c r="L8" s="2878" t="s">
        <v>2348</v>
      </c>
      <c r="M8" s="2879"/>
      <c r="N8" s="2855"/>
      <c r="O8" s="2880"/>
      <c r="P8" s="2880"/>
      <c r="Q8" s="2881">
        <v>365</v>
      </c>
      <c r="R8" s="2882">
        <f t="shared" ref="R8:R13" si="0">ROUND(M8*N8*O8*P8*Q8/10000,0)</f>
        <v>0</v>
      </c>
      <c r="S8" s="2836"/>
      <c r="T8" s="2836" t="s">
        <v>2349</v>
      </c>
      <c r="U8" s="2836"/>
      <c r="V8" s="2844"/>
    </row>
    <row r="9" spans="1:22" s="2848" customFormat="1" ht="13.15" customHeight="1">
      <c r="A9" s="2883">
        <v>1</v>
      </c>
      <c r="B9" s="3658" t="s">
        <v>2350</v>
      </c>
      <c r="C9" s="3659"/>
      <c r="D9" s="2884">
        <f>ROUND(D6*E9,0)</f>
        <v>0</v>
      </c>
      <c r="E9" s="2888"/>
      <c r="F9" s="2889" t="s">
        <v>2351</v>
      </c>
      <c r="G9" s="2868"/>
      <c r="H9" s="2843"/>
      <c r="I9" s="2844"/>
      <c r="J9" s="3654"/>
      <c r="K9" s="3656"/>
      <c r="L9" s="2878" t="s">
        <v>2352</v>
      </c>
      <c r="M9" s="2879"/>
      <c r="N9" s="2855"/>
      <c r="O9" s="2880"/>
      <c r="P9" s="2880"/>
      <c r="Q9" s="2881">
        <v>365</v>
      </c>
      <c r="R9" s="2882">
        <f t="shared" si="0"/>
        <v>0</v>
      </c>
      <c r="S9" s="2836"/>
      <c r="T9" s="2836"/>
      <c r="U9" s="2836"/>
      <c r="V9" s="2844"/>
    </row>
    <row r="10" spans="1:22" s="2848" customFormat="1" ht="13.15" customHeight="1">
      <c r="A10" s="2883">
        <v>2</v>
      </c>
      <c r="B10" s="3658" t="s">
        <v>2353</v>
      </c>
      <c r="C10" s="3659"/>
      <c r="D10" s="2884">
        <f>ROUND(D6*E10,0)</f>
        <v>0</v>
      </c>
      <c r="E10" s="2888"/>
      <c r="F10" s="2889" t="s">
        <v>2354</v>
      </c>
      <c r="G10" s="2868"/>
      <c r="H10" s="2843"/>
      <c r="I10" s="2844"/>
      <c r="J10" s="3654"/>
      <c r="K10" s="3656"/>
      <c r="L10" s="2878" t="s">
        <v>2355</v>
      </c>
      <c r="M10" s="2879"/>
      <c r="N10" s="2855"/>
      <c r="O10" s="2880"/>
      <c r="P10" s="2880"/>
      <c r="Q10" s="2881">
        <v>365</v>
      </c>
      <c r="R10" s="2882">
        <f t="shared" si="0"/>
        <v>0</v>
      </c>
      <c r="S10" s="2836"/>
      <c r="T10" s="2836"/>
      <c r="U10" s="2836"/>
      <c r="V10" s="2844"/>
    </row>
    <row r="11" spans="1:22" s="2848" customFormat="1" ht="13.15" customHeight="1">
      <c r="A11" s="2883">
        <v>3</v>
      </c>
      <c r="B11" s="3658" t="s">
        <v>2356</v>
      </c>
      <c r="C11" s="3659"/>
      <c r="D11" s="2884">
        <f>D12+D14+D15+D16</f>
        <v>0</v>
      </c>
      <c r="E11" s="2890" t="e">
        <f>D11/D6</f>
        <v>#DIV/0!</v>
      </c>
      <c r="F11" s="2886"/>
      <c r="G11" s="2887"/>
      <c r="H11" s="2843"/>
      <c r="I11" s="2844"/>
      <c r="J11" s="3654"/>
      <c r="K11" s="3656"/>
      <c r="L11" s="2878" t="s">
        <v>2357</v>
      </c>
      <c r="M11" s="2879"/>
      <c r="N11" s="2855"/>
      <c r="O11" s="2880"/>
      <c r="P11" s="2880"/>
      <c r="Q11" s="2881">
        <v>365</v>
      </c>
      <c r="R11" s="2882">
        <f t="shared" si="0"/>
        <v>0</v>
      </c>
      <c r="S11" s="2836"/>
      <c r="T11" s="2836"/>
      <c r="U11" s="2836"/>
      <c r="V11" s="2844"/>
    </row>
    <row r="12" spans="1:22" s="2848" customFormat="1" ht="13.15" customHeight="1">
      <c r="A12" s="2891" t="s">
        <v>2358</v>
      </c>
      <c r="B12" s="3660" t="s">
        <v>2359</v>
      </c>
      <c r="C12" s="3661"/>
      <c r="D12" s="2892">
        <f>ROUND(D13*1.2%*(1-30%),0)</f>
        <v>0</v>
      </c>
      <c r="E12" s="2893">
        <v>1.2E-2</v>
      </c>
      <c r="F12" s="2886" t="s">
        <v>2360</v>
      </c>
      <c r="G12" s="2887"/>
      <c r="H12" s="2843"/>
      <c r="I12" s="2844"/>
      <c r="J12" s="3654"/>
      <c r="K12" s="3656"/>
      <c r="L12" s="2878" t="s">
        <v>2361</v>
      </c>
      <c r="M12" s="2879"/>
      <c r="N12" s="2855"/>
      <c r="O12" s="2880"/>
      <c r="P12" s="2880"/>
      <c r="Q12" s="2881">
        <v>365</v>
      </c>
      <c r="R12" s="2882">
        <f t="shared" si="0"/>
        <v>0</v>
      </c>
      <c r="S12" s="2836"/>
      <c r="T12" s="2836"/>
      <c r="U12" s="2836"/>
      <c r="V12" s="2844"/>
    </row>
    <row r="13" spans="1:22" s="2848" customFormat="1" ht="13.15" customHeight="1">
      <c r="A13" s="2891"/>
      <c r="B13" s="2894"/>
      <c r="C13" s="2895" t="s">
        <v>2362</v>
      </c>
      <c r="D13" s="2896"/>
      <c r="E13" s="2897"/>
      <c r="F13" s="2886"/>
      <c r="G13" s="2887"/>
      <c r="H13" s="2843"/>
      <c r="I13" s="2844"/>
      <c r="J13" s="3654"/>
      <c r="K13" s="3656"/>
      <c r="L13" s="2878" t="s">
        <v>2363</v>
      </c>
      <c r="M13" s="2879"/>
      <c r="N13" s="2855"/>
      <c r="O13" s="2880"/>
      <c r="P13" s="2880"/>
      <c r="Q13" s="2881">
        <v>365</v>
      </c>
      <c r="R13" s="2882">
        <f t="shared" si="0"/>
        <v>0</v>
      </c>
      <c r="S13" s="2836"/>
      <c r="T13" s="2836"/>
      <c r="U13" s="2836"/>
      <c r="V13" s="2844"/>
    </row>
    <row r="14" spans="1:22" s="2848" customFormat="1" ht="13.15" customHeight="1">
      <c r="A14" s="2891" t="s">
        <v>2364</v>
      </c>
      <c r="B14" s="3660" t="s">
        <v>2365</v>
      </c>
      <c r="C14" s="3661"/>
      <c r="D14" s="2892">
        <f>ROUND(E14*B5/10000,0)</f>
        <v>0</v>
      </c>
      <c r="E14" s="2881"/>
      <c r="F14" s="2886" t="s">
        <v>2366</v>
      </c>
      <c r="G14" s="2887"/>
      <c r="H14" s="2843"/>
      <c r="I14" s="2844"/>
      <c r="J14" s="3654"/>
      <c r="K14" s="3657"/>
      <c r="L14" s="2898" t="s">
        <v>2367</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2368</v>
      </c>
      <c r="B15" s="3660" t="s">
        <v>2369</v>
      </c>
      <c r="C15" s="3661"/>
      <c r="D15" s="2892">
        <f>ROUND(D6*E15,0)</f>
        <v>0</v>
      </c>
      <c r="E15" s="2893">
        <v>5.5E-2</v>
      </c>
      <c r="F15" s="2886" t="s">
        <v>2370</v>
      </c>
      <c r="G15" s="2868"/>
      <c r="H15" s="2843"/>
      <c r="I15" s="2844"/>
      <c r="J15" s="3654">
        <v>2</v>
      </c>
      <c r="K15" s="3655" t="s">
        <v>2371</v>
      </c>
      <c r="L15" s="2878" t="s">
        <v>2372</v>
      </c>
      <c r="M15" s="2879" t="s">
        <v>2373</v>
      </c>
      <c r="N15" s="2879" t="s">
        <v>2374</v>
      </c>
      <c r="O15" s="2880" t="s">
        <v>2375</v>
      </c>
      <c r="P15" s="2880" t="s">
        <v>2337</v>
      </c>
      <c r="Q15" s="2855" t="s">
        <v>2376</v>
      </c>
      <c r="R15" s="2902" t="s">
        <v>2338</v>
      </c>
      <c r="S15" s="2836"/>
      <c r="T15" s="2836"/>
      <c r="U15" s="2836"/>
      <c r="V15" s="2844"/>
    </row>
    <row r="16" spans="1:22" s="2848" customFormat="1" ht="13.15" customHeight="1">
      <c r="A16" s="2891" t="s">
        <v>2377</v>
      </c>
      <c r="B16" s="3660" t="s">
        <v>2378</v>
      </c>
      <c r="C16" s="3661"/>
      <c r="D16" s="2903">
        <f>D6*E16</f>
        <v>0</v>
      </c>
      <c r="E16" s="2904"/>
      <c r="F16" s="2889" t="s">
        <v>2379</v>
      </c>
      <c r="G16" s="2868"/>
      <c r="H16" s="2843"/>
      <c r="I16" s="2844"/>
      <c r="J16" s="3654"/>
      <c r="K16" s="3656"/>
      <c r="L16" s="2878" t="s">
        <v>2380</v>
      </c>
      <c r="M16" s="2879"/>
      <c r="N16" s="2879"/>
      <c r="O16" s="2880"/>
      <c r="P16" s="2881">
        <v>365</v>
      </c>
      <c r="Q16" s="2855"/>
      <c r="R16" s="2902">
        <f>ROUND(M16*N16*O16*P16/10000,0)</f>
        <v>0</v>
      </c>
      <c r="S16" s="2836"/>
      <c r="T16" s="2836"/>
      <c r="U16" s="2836"/>
      <c r="V16" s="2844"/>
    </row>
    <row r="17" spans="1:22" s="2848" customFormat="1" ht="13.15" customHeight="1" thickBot="1">
      <c r="A17" s="2905">
        <v>4</v>
      </c>
      <c r="B17" s="3662" t="s">
        <v>2381</v>
      </c>
      <c r="C17" s="3663"/>
      <c r="D17" s="2906">
        <f>ROUND(D6*E17,0)</f>
        <v>0</v>
      </c>
      <c r="E17" s="2907"/>
      <c r="F17" s="2908" t="s">
        <v>2382</v>
      </c>
      <c r="G17" s="2868"/>
      <c r="H17" s="2843"/>
      <c r="I17" s="2844"/>
      <c r="J17" s="3654"/>
      <c r="K17" s="3656"/>
      <c r="L17" s="2878" t="s">
        <v>2383</v>
      </c>
      <c r="M17" s="2879"/>
      <c r="N17" s="2879"/>
      <c r="O17" s="2880"/>
      <c r="P17" s="2881">
        <v>365</v>
      </c>
      <c r="Q17" s="2855"/>
      <c r="R17" s="2902">
        <f>ROUND(M17*N17*O17*P17/10000,0)</f>
        <v>0</v>
      </c>
      <c r="S17" s="2836"/>
      <c r="T17" s="2836"/>
      <c r="U17" s="2836"/>
      <c r="V17" s="2844"/>
    </row>
    <row r="18" spans="1:22" s="2848" customFormat="1" ht="13.15" customHeight="1" thickBot="1">
      <c r="A18" s="2871" t="s">
        <v>2384</v>
      </c>
      <c r="B18" s="2872"/>
      <c r="C18" s="2872"/>
      <c r="D18" s="2909">
        <f>ROUND(D6*E18,0)</f>
        <v>0</v>
      </c>
      <c r="E18" s="2910"/>
      <c r="F18" s="2911" t="s">
        <v>2385</v>
      </c>
      <c r="G18" s="2868"/>
      <c r="H18" s="2843"/>
      <c r="I18" s="2844"/>
      <c r="J18" s="3654"/>
      <c r="K18" s="3656"/>
      <c r="L18" s="2878" t="s">
        <v>2386</v>
      </c>
      <c r="M18" s="2879"/>
      <c r="N18" s="2879"/>
      <c r="O18" s="2880"/>
      <c r="P18" s="2881">
        <v>365</v>
      </c>
      <c r="Q18" s="2855"/>
      <c r="R18" s="2902">
        <f>ROUND(M18*N18*O18*P18/10000,0)</f>
        <v>0</v>
      </c>
      <c r="S18" s="2836"/>
      <c r="T18" s="2836"/>
      <c r="U18" s="2836"/>
      <c r="V18" s="2844"/>
    </row>
    <row r="19" spans="1:22" s="2848" customFormat="1" ht="13.15" customHeight="1" thickBot="1">
      <c r="A19" s="2912" t="s">
        <v>2387</v>
      </c>
      <c r="B19" s="2866"/>
      <c r="C19" s="2866"/>
      <c r="D19" s="2866"/>
      <c r="E19" s="2866"/>
      <c r="F19" s="2867"/>
      <c r="G19" s="2887"/>
      <c r="H19" s="2843"/>
      <c r="I19" s="2844"/>
      <c r="J19" s="3654"/>
      <c r="K19" s="3657"/>
      <c r="L19" s="2898" t="s">
        <v>2367</v>
      </c>
      <c r="M19" s="2899"/>
      <c r="N19" s="2899">
        <f>SUM(N16:N18)</f>
        <v>0</v>
      </c>
      <c r="O19" s="2900"/>
      <c r="P19" s="2913" t="s">
        <v>2431</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4">
        <v>3</v>
      </c>
      <c r="K20" s="3655" t="s">
        <v>2388</v>
      </c>
      <c r="L20" s="2878" t="s">
        <v>2389</v>
      </c>
      <c r="M20" s="2879" t="s">
        <v>2390</v>
      </c>
      <c r="N20" s="2916" t="s">
        <v>2391</v>
      </c>
      <c r="O20" s="2880" t="s">
        <v>2392</v>
      </c>
      <c r="P20" s="2881" t="s">
        <v>2393</v>
      </c>
      <c r="Q20" s="2855" t="s">
        <v>2394</v>
      </c>
      <c r="R20" s="2902" t="s">
        <v>2395</v>
      </c>
      <c r="S20" s="2917"/>
      <c r="T20" s="2917"/>
      <c r="U20" s="2917"/>
      <c r="V20" s="2844"/>
    </row>
    <row r="21" spans="1:22" s="2848" customFormat="1" ht="13.15" customHeight="1">
      <c r="A21" s="2871"/>
      <c r="B21" s="2872"/>
      <c r="C21" s="2918" t="s">
        <v>2396</v>
      </c>
      <c r="D21" s="2919" t="s">
        <v>2397</v>
      </c>
      <c r="E21" s="2920" t="s">
        <v>2398</v>
      </c>
      <c r="F21" s="2915"/>
      <c r="G21" s="2887"/>
      <c r="H21" s="2843"/>
      <c r="I21" s="2844"/>
      <c r="J21" s="3654"/>
      <c r="K21" s="3656"/>
      <c r="L21" s="2878" t="s">
        <v>2399</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2400</v>
      </c>
      <c r="D22" s="2923" t="s">
        <v>2401</v>
      </c>
      <c r="E22" s="2924" t="s">
        <v>2402</v>
      </c>
      <c r="F22" s="2915"/>
      <c r="G22" s="2925"/>
      <c r="H22" s="2843"/>
      <c r="I22" s="2844"/>
      <c r="J22" s="3654"/>
      <c r="K22" s="3656"/>
      <c r="L22" s="2878" t="s">
        <v>2403</v>
      </c>
      <c r="M22" s="2879"/>
      <c r="N22" s="2879"/>
      <c r="O22" s="2880"/>
      <c r="P22" s="2881">
        <v>365</v>
      </c>
      <c r="Q22" s="2855"/>
      <c r="R22" s="2921">
        <f>ROUND(M22*N22*O22*P22/10000,0)</f>
        <v>0</v>
      </c>
      <c r="S22" s="2917"/>
      <c r="T22" s="2917"/>
      <c r="U22" s="2917"/>
      <c r="V22" s="2844"/>
    </row>
    <row r="23" spans="1:22" s="2848" customFormat="1" ht="13.15" customHeight="1">
      <c r="A23" s="2926">
        <v>1</v>
      </c>
      <c r="B23" s="2927" t="s">
        <v>2404</v>
      </c>
      <c r="C23" s="2928">
        <f>D6</f>
        <v>0</v>
      </c>
      <c r="D23" s="2929">
        <f>C23*(1+D24)</f>
        <v>0</v>
      </c>
      <c r="E23" s="2930">
        <f>D23*(1+E24)</f>
        <v>0</v>
      </c>
      <c r="F23" s="2931"/>
      <c r="G23" s="2932"/>
      <c r="H23" s="2843"/>
      <c r="I23" s="2844"/>
      <c r="J23" s="3654"/>
      <c r="K23" s="3656"/>
      <c r="L23" s="2878" t="s">
        <v>2405</v>
      </c>
      <c r="M23" s="2879"/>
      <c r="N23" s="2879"/>
      <c r="O23" s="2880"/>
      <c r="P23" s="2881">
        <v>365</v>
      </c>
      <c r="Q23" s="2855"/>
      <c r="R23" s="2921">
        <f>ROUND(M23*N23*O23*P23/10000,0)</f>
        <v>0</v>
      </c>
      <c r="S23" s="2836"/>
      <c r="T23" s="2836"/>
      <c r="U23" s="2836"/>
      <c r="V23" s="2844"/>
    </row>
    <row r="24" spans="1:22" s="2848" customFormat="1" ht="13.15" customHeight="1">
      <c r="A24" s="2933"/>
      <c r="B24" s="2934" t="s">
        <v>2406</v>
      </c>
      <c r="C24" s="2935"/>
      <c r="D24" s="2936"/>
      <c r="E24" s="2937"/>
      <c r="F24" s="2938"/>
      <c r="G24" s="2932"/>
      <c r="H24" s="2843"/>
      <c r="I24" s="2844"/>
      <c r="J24" s="3654"/>
      <c r="K24" s="3657"/>
      <c r="L24" s="2898" t="s">
        <v>2367</v>
      </c>
      <c r="M24" s="2899">
        <f>SUM(M21:M23)</f>
        <v>0</v>
      </c>
      <c r="N24" s="2899"/>
      <c r="O24" s="2900"/>
      <c r="P24" s="2913" t="s">
        <v>2431</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2407</v>
      </c>
      <c r="L25" s="2941"/>
      <c r="M25" s="2941"/>
      <c r="N25" s="2941"/>
      <c r="O25" s="2941"/>
      <c r="P25" s="2942"/>
      <c r="Q25" s="2943">
        <v>0</v>
      </c>
      <c r="R25" s="2914">
        <f>ROUND(R14*Q25,0)</f>
        <v>0</v>
      </c>
      <c r="S25" s="2836"/>
      <c r="T25" s="2836"/>
      <c r="U25" s="2836"/>
      <c r="V25" s="2944"/>
    </row>
    <row r="26" spans="1:22" s="2945" customFormat="1" ht="13.15" customHeight="1">
      <c r="A26" s="2926">
        <v>2</v>
      </c>
      <c r="B26" s="2927" t="s">
        <v>2408</v>
      </c>
      <c r="C26" s="2928">
        <f>D7</f>
        <v>0</v>
      </c>
      <c r="D26" s="2929">
        <f>D23*D27</f>
        <v>0</v>
      </c>
      <c r="E26" s="2930">
        <f>E23*E27</f>
        <v>0</v>
      </c>
      <c r="F26" s="2931"/>
      <c r="G26" s="2932"/>
      <c r="H26" s="2843"/>
      <c r="I26" s="2844"/>
      <c r="J26" s="3664">
        <v>5</v>
      </c>
      <c r="K26" s="2946" t="s">
        <v>2409</v>
      </c>
      <c r="L26" s="2947"/>
      <c r="M26" s="2948"/>
      <c r="N26" s="2949" t="s">
        <v>2410</v>
      </c>
      <c r="O26" s="2949" t="s">
        <v>2411</v>
      </c>
      <c r="P26" s="2950" t="s">
        <v>2412</v>
      </c>
      <c r="Q26" s="2950" t="s">
        <v>2413</v>
      </c>
      <c r="R26" s="2853" t="s">
        <v>2338</v>
      </c>
      <c r="S26" s="2951"/>
      <c r="T26" s="2951"/>
      <c r="U26" s="2951"/>
      <c r="V26" s="2944"/>
    </row>
    <row r="27" spans="1:22" s="2848" customFormat="1" ht="13.15" customHeight="1">
      <c r="A27" s="2933"/>
      <c r="B27" s="2934" t="s">
        <v>2414</v>
      </c>
      <c r="C27" s="2952" t="e">
        <f>E7</f>
        <v>#DIV/0!</v>
      </c>
      <c r="D27" s="2936"/>
      <c r="E27" s="2937"/>
      <c r="F27" s="2938"/>
      <c r="G27" s="2932"/>
      <c r="H27" s="2953"/>
      <c r="I27" s="2944"/>
      <c r="J27" s="3665"/>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2415</v>
      </c>
      <c r="F28" s="2938"/>
      <c r="G28" s="2925"/>
      <c r="H28" s="2953"/>
      <c r="I28" s="2944"/>
      <c r="J28" s="2959">
        <v>6</v>
      </c>
      <c r="K28" s="2960" t="s">
        <v>2416</v>
      </c>
      <c r="L28" s="2961" t="s">
        <v>2417</v>
      </c>
      <c r="M28" s="2962"/>
      <c r="N28" s="2961" t="s">
        <v>2418</v>
      </c>
      <c r="O28" s="2963"/>
      <c r="P28" s="2961" t="s">
        <v>2419</v>
      </c>
      <c r="Q28" s="2964">
        <v>1.4999999999999999E-2</v>
      </c>
      <c r="R28" s="2965"/>
      <c r="S28" s="2917"/>
      <c r="T28" s="2917"/>
      <c r="U28" s="2917"/>
      <c r="V28" s="2944"/>
    </row>
    <row r="29" spans="1:22" s="2945" customFormat="1" ht="13.15" customHeight="1">
      <c r="A29" s="2926">
        <v>3</v>
      </c>
      <c r="B29" s="2927" t="s">
        <v>2420</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2414</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2421</v>
      </c>
      <c r="K31" s="2834"/>
      <c r="L31" s="2834"/>
      <c r="M31" s="2834"/>
      <c r="N31" s="2834"/>
      <c r="O31" s="2834"/>
      <c r="P31" s="2834"/>
      <c r="Q31" s="2834"/>
      <c r="R31" s="2835"/>
      <c r="S31" s="2917"/>
      <c r="T31" s="2836"/>
      <c r="U31" s="2836"/>
      <c r="V31" s="2944"/>
    </row>
    <row r="32" spans="1:22" s="2945" customFormat="1" ht="13.15" customHeight="1">
      <c r="A32" s="2926">
        <v>4</v>
      </c>
      <c r="B32" s="2927" t="s">
        <v>2422</v>
      </c>
      <c r="C32" s="2928">
        <f>C23-C26-C29</f>
        <v>0</v>
      </c>
      <c r="D32" s="2929">
        <f>D23-D26-D29</f>
        <v>0</v>
      </c>
      <c r="E32" s="2930">
        <f>E23-E26-E29</f>
        <v>0</v>
      </c>
      <c r="F32" s="2931"/>
      <c r="G32" s="2925"/>
      <c r="H32" s="2843"/>
      <c r="I32" s="2844"/>
      <c r="J32" s="3647" t="s">
        <v>2314</v>
      </c>
      <c r="K32" s="3648"/>
      <c r="L32" s="2845" t="s">
        <v>2315</v>
      </c>
      <c r="M32" s="2845" t="s">
        <v>2316</v>
      </c>
      <c r="N32" s="2845" t="s">
        <v>2317</v>
      </c>
      <c r="O32" s="2845" t="s">
        <v>2318</v>
      </c>
      <c r="P32" s="2845" t="s">
        <v>2319</v>
      </c>
      <c r="Q32" s="2846" t="s">
        <v>2320</v>
      </c>
      <c r="R32" s="2968" t="s">
        <v>2321</v>
      </c>
      <c r="S32" s="2917"/>
      <c r="T32" s="2836"/>
      <c r="U32" s="2836"/>
      <c r="V32" s="2944"/>
    </row>
    <row r="33" spans="1:23" s="2848" customFormat="1" ht="13.15" customHeight="1">
      <c r="A33" s="2926"/>
      <c r="B33" s="2927"/>
      <c r="C33" s="2928"/>
      <c r="D33" s="2969"/>
      <c r="E33" s="2970"/>
      <c r="F33" s="2931"/>
      <c r="G33" s="2925"/>
      <c r="H33" s="2953"/>
      <c r="I33" s="2944"/>
      <c r="J33" s="3649" t="s">
        <v>2324</v>
      </c>
      <c r="K33" s="3650"/>
      <c r="L33" s="2851"/>
      <c r="M33" s="2851"/>
      <c r="N33" s="2851"/>
      <c r="O33" s="2851"/>
      <c r="P33" s="2851"/>
      <c r="Q33" s="2852"/>
      <c r="R33" s="2971">
        <f>SUM(L33:Q33)</f>
        <v>0</v>
      </c>
      <c r="S33" s="2917"/>
      <c r="T33" s="2836"/>
      <c r="U33" s="2836"/>
      <c r="V33" s="2844"/>
    </row>
    <row r="34" spans="1:23" s="2848" customFormat="1" ht="13.15" customHeight="1">
      <c r="A34" s="2926">
        <v>5</v>
      </c>
      <c r="B34" s="2927" t="s">
        <v>2423</v>
      </c>
      <c r="C34" s="2972"/>
      <c r="D34" s="2973"/>
      <c r="E34" s="2974"/>
      <c r="F34" s="2931"/>
      <c r="G34" s="2925"/>
      <c r="H34" s="2953"/>
      <c r="I34" s="2944"/>
      <c r="J34" s="3649" t="s">
        <v>2326</v>
      </c>
      <c r="K34" s="365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2424</v>
      </c>
      <c r="C35" s="2976"/>
      <c r="D35" s="2977"/>
      <c r="E35" s="2978"/>
      <c r="F35" s="2931"/>
      <c r="G35" s="2979"/>
      <c r="H35" s="2843"/>
      <c r="I35" s="2944"/>
      <c r="J35" s="2862" t="s">
        <v>2328</v>
      </c>
      <c r="K35" s="2863"/>
      <c r="L35" s="2863"/>
      <c r="M35" s="2864"/>
      <c r="N35" s="2864"/>
      <c r="O35" s="2864"/>
      <c r="P35" s="2864"/>
      <c r="Q35" s="2864"/>
      <c r="R35" s="2980">
        <f>R40+R41+R43</f>
        <v>0</v>
      </c>
      <c r="S35" s="2917"/>
      <c r="T35" s="2836" t="s">
        <v>2329</v>
      </c>
      <c r="U35" s="2836"/>
      <c r="V35" s="2844"/>
    </row>
    <row r="36" spans="1:23" s="2848" customFormat="1" ht="13.15" customHeight="1" thickBot="1">
      <c r="A36" s="2926">
        <v>7</v>
      </c>
      <c r="B36" s="2981" t="s">
        <v>2425</v>
      </c>
      <c r="C36" s="2982"/>
      <c r="D36" s="2983"/>
      <c r="E36" s="2984"/>
      <c r="F36" s="2985">
        <f>C36+D36+E36</f>
        <v>0</v>
      </c>
      <c r="G36" s="2925"/>
      <c r="H36" s="2843"/>
      <c r="I36" s="2844"/>
      <c r="J36" s="3654">
        <v>1</v>
      </c>
      <c r="K36" s="3655" t="s">
        <v>2426</v>
      </c>
      <c r="L36" s="2869"/>
      <c r="M36" s="2870"/>
      <c r="N36" s="2870"/>
      <c r="O36" s="2870"/>
      <c r="P36" s="2870"/>
      <c r="Q36" s="2870"/>
      <c r="R36" s="2853" t="s">
        <v>2338</v>
      </c>
      <c r="S36" s="2917"/>
      <c r="T36" s="2836" t="s">
        <v>2339</v>
      </c>
      <c r="U36" s="2836"/>
      <c r="V36" s="2844"/>
    </row>
    <row r="37" spans="1:23" s="2848" customFormat="1" ht="13.15" customHeight="1">
      <c r="A37" s="2926"/>
      <c r="B37" s="2927"/>
      <c r="C37" s="2927"/>
      <c r="D37" s="2927"/>
      <c r="E37" s="2927"/>
      <c r="F37" s="2931"/>
      <c r="G37" s="2925"/>
      <c r="H37" s="2843"/>
      <c r="I37" s="2844"/>
      <c r="J37" s="3654"/>
      <c r="K37" s="3656"/>
      <c r="L37" s="2878"/>
      <c r="M37" s="2879"/>
      <c r="N37" s="2855"/>
      <c r="O37" s="2880"/>
      <c r="P37" s="2880"/>
      <c r="Q37" s="2881"/>
      <c r="R37" s="2882"/>
      <c r="S37" s="2917"/>
      <c r="T37" s="2836" t="s">
        <v>2342</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4"/>
      <c r="K38" s="3656"/>
      <c r="L38" s="2878"/>
      <c r="M38" s="2879"/>
      <c r="N38" s="2855"/>
      <c r="O38" s="2880"/>
      <c r="P38" s="2880"/>
      <c r="Q38" s="2881"/>
      <c r="R38" s="2882"/>
      <c r="S38" s="2917"/>
      <c r="T38" s="2836" t="s">
        <v>2349</v>
      </c>
      <c r="U38" s="2836"/>
      <c r="V38" s="2844"/>
    </row>
    <row r="39" spans="1:23" s="2848" customFormat="1" ht="13.15" customHeight="1">
      <c r="A39" s="2926">
        <v>9</v>
      </c>
      <c r="B39" s="2927" t="s">
        <v>2427</v>
      </c>
      <c r="C39" s="2892" t="e">
        <f>C38</f>
        <v>#DIV/0!</v>
      </c>
      <c r="D39" s="2927">
        <f>D38/(1+D34)^C36</f>
        <v>0</v>
      </c>
      <c r="E39" s="2927">
        <f>E38/(1+E34)^(C36+D36)</f>
        <v>0</v>
      </c>
      <c r="F39" s="2931"/>
      <c r="G39" s="2986"/>
      <c r="H39" s="2843"/>
      <c r="I39" s="2844"/>
      <c r="J39" s="3654"/>
      <c r="K39" s="3656"/>
      <c r="L39" s="2878"/>
      <c r="M39" s="2879"/>
      <c r="N39" s="2855"/>
      <c r="O39" s="2880"/>
      <c r="P39" s="2880"/>
      <c r="Q39" s="2881"/>
      <c r="R39" s="2882"/>
      <c r="S39" s="2917"/>
      <c r="T39" s="2836"/>
      <c r="U39" s="2836"/>
      <c r="V39" s="2844"/>
    </row>
    <row r="40" spans="1:23" s="2848" customFormat="1" ht="13.15" customHeight="1">
      <c r="A40" s="2987">
        <v>10</v>
      </c>
      <c r="B40" s="2927" t="s">
        <v>2428</v>
      </c>
      <c r="C40" s="2988" t="e">
        <f>C39+D39+E39</f>
        <v>#DIV/0!</v>
      </c>
      <c r="D40" s="2989"/>
      <c r="E40" s="2989"/>
      <c r="F40" s="2990"/>
      <c r="G40" s="2925"/>
      <c r="H40" s="2843"/>
      <c r="I40" s="2844"/>
      <c r="J40" s="3654"/>
      <c r="K40" s="3657"/>
      <c r="L40" s="2898" t="s">
        <v>2367</v>
      </c>
      <c r="M40" s="2899"/>
      <c r="N40" s="2899"/>
      <c r="O40" s="2900"/>
      <c r="P40" s="2900"/>
      <c r="Q40" s="2901"/>
      <c r="R40" s="2847">
        <f>SUM(R37:R39)</f>
        <v>0</v>
      </c>
      <c r="S40" s="2917"/>
      <c r="T40" s="2836"/>
      <c r="U40" s="2836"/>
      <c r="V40" s="2844"/>
    </row>
    <row r="41" spans="1:23" s="2848" customFormat="1" ht="13.15" customHeight="1" thickBot="1">
      <c r="A41" s="2991">
        <v>11</v>
      </c>
      <c r="B41" s="2992" t="s">
        <v>2429</v>
      </c>
      <c r="C41" s="2992" t="e">
        <f>ROUND(C40*10000/B4,0)</f>
        <v>#DIV/0!</v>
      </c>
      <c r="D41" s="2993"/>
      <c r="E41" s="2993"/>
      <c r="F41" s="2994"/>
      <c r="G41" s="2995"/>
      <c r="H41" s="2843"/>
      <c r="I41" s="2844"/>
      <c r="J41" s="2939">
        <v>2</v>
      </c>
      <c r="K41" s="2940" t="s">
        <v>2407</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4">
        <v>3</v>
      </c>
      <c r="K42" s="2946" t="s">
        <v>2409</v>
      </c>
      <c r="L42" s="2947"/>
      <c r="M42" s="2948"/>
      <c r="N42" s="2949" t="s">
        <v>2410</v>
      </c>
      <c r="O42" s="2949" t="s">
        <v>2411</v>
      </c>
      <c r="P42" s="2950" t="s">
        <v>2412</v>
      </c>
      <c r="Q42" s="2950" t="s">
        <v>2413</v>
      </c>
      <c r="R42" s="2853" t="s">
        <v>2338</v>
      </c>
      <c r="S42" s="2951"/>
      <c r="T42" s="2951"/>
      <c r="U42" s="2836"/>
      <c r="V42" s="2844"/>
    </row>
    <row r="43" spans="1:23" ht="13.15" customHeight="1">
      <c r="A43" s="2848"/>
      <c r="B43" s="2848"/>
      <c r="C43" s="2848"/>
      <c r="D43" s="2848"/>
      <c r="E43" s="2848"/>
      <c r="F43" s="2848"/>
      <c r="I43" s="2831"/>
      <c r="J43" s="3665"/>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2416</v>
      </c>
      <c r="L44" s="2999" t="s">
        <v>2417</v>
      </c>
      <c r="M44" s="2962"/>
      <c r="N44" s="2999" t="s">
        <v>2418</v>
      </c>
      <c r="O44" s="2962"/>
      <c r="P44" s="2999" t="s">
        <v>2419</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80" zoomScaleNormal="60" zoomScaleSheetLayoutView="80" workbookViewId="0">
      <selection activeCell="D76" sqref="D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8.625" style="357" customWidth="1"/>
    <col min="6" max="6" width="12.25" style="357" customWidth="1"/>
    <col min="7" max="7" width="20.625" style="357" customWidth="1"/>
    <col min="8" max="8" width="12.25" style="357" customWidth="1"/>
    <col min="9" max="9" width="20.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73332</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11168</v>
      </c>
      <c r="C3" s="203" t="s">
        <v>1868</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84" t="s">
        <v>1769</v>
      </c>
      <c r="D4" s="3685"/>
      <c r="E4" s="3686" t="s">
        <v>1770</v>
      </c>
      <c r="F4" s="3687"/>
      <c r="G4" s="3684" t="s">
        <v>1771</v>
      </c>
      <c r="H4" s="3685"/>
      <c r="I4" s="3684" t="s">
        <v>1772</v>
      </c>
      <c r="J4" s="3685"/>
      <c r="K4" s="559" t="s">
        <v>1773</v>
      </c>
      <c r="L4" s="2710"/>
      <c r="M4" s="2711"/>
      <c r="N4" s="2711"/>
      <c r="O4" s="2711"/>
      <c r="P4" s="3688" t="s">
        <v>1774</v>
      </c>
      <c r="Q4" s="3689"/>
      <c r="R4" s="3671" t="s">
        <v>1770</v>
      </c>
      <c r="S4" s="3672"/>
      <c r="T4" s="3671" t="s">
        <v>1771</v>
      </c>
      <c r="U4" s="3672"/>
      <c r="V4" s="3696" t="s">
        <v>1772</v>
      </c>
      <c r="W4" s="3696"/>
      <c r="X4" s="1354"/>
      <c r="Y4" s="3671" t="s">
        <v>1774</v>
      </c>
      <c r="Z4" s="3672"/>
      <c r="AA4" s="3666" t="s">
        <v>1770</v>
      </c>
      <c r="AB4" s="3667" t="s">
        <v>1771</v>
      </c>
      <c r="AC4" s="3666" t="s">
        <v>1772</v>
      </c>
    </row>
    <row r="5" spans="1:30" ht="47.25" customHeight="1">
      <c r="A5" s="358"/>
      <c r="B5" s="359"/>
      <c r="C5" s="3677" t="s">
        <v>1672</v>
      </c>
      <c r="D5" s="3678"/>
      <c r="E5" s="3675" t="str">
        <f>土地案例!A2</f>
        <v>北京市海淀区西北旺镇永丰产业基地(新)HD00-0403-009地块F3其他类多功能用地</v>
      </c>
      <c r="F5" s="3676"/>
      <c r="G5" s="3677" t="str">
        <f>土地案例!A3</f>
        <v>北京市海淀区西北旺镇永丰产业基地(新)HD00-0403-001地块F3其他类多功能用地</v>
      </c>
      <c r="H5" s="3678"/>
      <c r="I5" s="3677" t="str">
        <f>土地案例!A4</f>
        <v>北京市海淀区西北旺镇永丰产业基地(新)HD00-0403-024地块F3其他类多功能用地</v>
      </c>
      <c r="J5" s="3678"/>
      <c r="K5" s="559"/>
      <c r="L5" s="2710"/>
      <c r="M5" s="2711"/>
      <c r="N5" s="2711"/>
      <c r="O5" s="2711"/>
      <c r="P5" s="3690"/>
      <c r="Q5" s="3691"/>
      <c r="R5" s="3673"/>
      <c r="S5" s="3674"/>
      <c r="T5" s="3673"/>
      <c r="U5" s="3674"/>
      <c r="V5" s="3696"/>
      <c r="W5" s="3696"/>
      <c r="X5" s="1354"/>
      <c r="Y5" s="3673"/>
      <c r="Z5" s="3674"/>
      <c r="AA5" s="3667"/>
      <c r="AB5" s="3667"/>
      <c r="AC5" s="3667"/>
    </row>
    <row r="6" spans="1:30" ht="15.75" thickBot="1">
      <c r="A6" s="360"/>
      <c r="B6" s="361"/>
      <c r="C6" s="3679" t="s">
        <v>1676</v>
      </c>
      <c r="D6" s="3680"/>
      <c r="E6" s="3681" t="s">
        <v>1676</v>
      </c>
      <c r="F6" s="3682"/>
      <c r="G6" s="3679" t="s">
        <v>1676</v>
      </c>
      <c r="H6" s="3680"/>
      <c r="I6" s="3679" t="s">
        <v>1676</v>
      </c>
      <c r="J6" s="3680"/>
      <c r="K6" s="559" t="s">
        <v>1677</v>
      </c>
      <c r="L6" s="2710"/>
      <c r="M6" s="2711"/>
      <c r="N6" s="2711"/>
      <c r="O6" s="2711"/>
      <c r="P6" s="3692"/>
      <c r="Q6" s="3693"/>
      <c r="R6" s="3673"/>
      <c r="S6" s="3674"/>
      <c r="T6" s="3694"/>
      <c r="U6" s="3695"/>
      <c r="V6" s="3696"/>
      <c r="W6" s="3696"/>
      <c r="X6" s="1354"/>
      <c r="Y6" s="3694"/>
      <c r="Z6" s="3695"/>
      <c r="AA6" s="3668"/>
      <c r="AB6" s="3668"/>
      <c r="AC6" s="3668"/>
    </row>
    <row r="7" spans="1:30" s="108" customFormat="1" ht="15.75" thickBot="1">
      <c r="A7" s="362" t="s">
        <v>1678</v>
      </c>
      <c r="B7" s="363"/>
      <c r="C7" s="364">
        <f>'数据-取费表'!B2</f>
        <v>45058</v>
      </c>
      <c r="D7" s="365">
        <v>100</v>
      </c>
      <c r="E7" s="366">
        <f>土地案例!J2</f>
        <v>44865.000497685185</v>
      </c>
      <c r="F7" s="367">
        <f>SUMIF(69:69,YEAR(E7)&amp;"-"&amp;INT((MONTH(E7)+2)/3),70:70)</f>
        <v>99</v>
      </c>
      <c r="G7" s="1973">
        <f>土地案例!J3</f>
        <v>44865.000497685185</v>
      </c>
      <c r="H7" s="365">
        <f>SUMIF(69:69,YEAR(G7)&amp;"-"&amp;INT((MONTH(G7)+2)/3),70:70)</f>
        <v>99</v>
      </c>
      <c r="I7" s="1973">
        <f>土地案例!J4</f>
        <v>44495.000497685185</v>
      </c>
      <c r="J7" s="365">
        <f>SUMIF(69:69,YEAR(I7)&amp;"-"&amp;INT((MONTH(I7)+2)/3),70:70)</f>
        <v>97</v>
      </c>
      <c r="K7" s="560"/>
      <c r="L7" s="2712"/>
      <c r="M7" s="2713"/>
      <c r="N7" s="2713"/>
      <c r="O7" s="2713"/>
      <c r="P7" s="3669" t="s">
        <v>1679</v>
      </c>
      <c r="Q7" s="3697"/>
      <c r="R7" s="701" t="s">
        <v>14</v>
      </c>
      <c r="S7" s="702">
        <f t="shared" ref="S7:S15" si="0">F7</f>
        <v>99</v>
      </c>
      <c r="T7" s="701" t="s">
        <v>14</v>
      </c>
      <c r="U7" s="702">
        <f t="shared" ref="U7:U15" si="1">H7</f>
        <v>99</v>
      </c>
      <c r="V7" s="701" t="s">
        <v>14</v>
      </c>
      <c r="W7" s="702">
        <f t="shared" ref="W7:W15" si="2">J7</f>
        <v>97</v>
      </c>
      <c r="X7" s="703"/>
      <c r="Y7" s="3669" t="s">
        <v>1679</v>
      </c>
      <c r="Z7" s="3670"/>
      <c r="AA7" s="704">
        <f>D7/F7</f>
        <v>1.0101010101010102</v>
      </c>
      <c r="AB7" s="704">
        <f>D7/H7</f>
        <v>1.0101010101010102</v>
      </c>
      <c r="AC7" s="704">
        <f>D7/J7</f>
        <v>1.0309278350515463</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2"/>
      <c r="M8" s="2713"/>
      <c r="N8" s="2713"/>
      <c r="O8" s="2713"/>
      <c r="P8" s="3669" t="s">
        <v>1682</v>
      </c>
      <c r="Q8" s="3670"/>
      <c r="R8" s="701" t="s">
        <v>14</v>
      </c>
      <c r="S8" s="702">
        <f t="shared" si="0"/>
        <v>100</v>
      </c>
      <c r="T8" s="701" t="s">
        <v>14</v>
      </c>
      <c r="U8" s="702">
        <f t="shared" si="1"/>
        <v>100</v>
      </c>
      <c r="V8" s="701" t="s">
        <v>14</v>
      </c>
      <c r="W8" s="702">
        <f t="shared" si="2"/>
        <v>100</v>
      </c>
      <c r="X8" s="703"/>
      <c r="Y8" s="3669" t="s">
        <v>1682</v>
      </c>
      <c r="Z8" s="3670"/>
      <c r="AA8" s="704">
        <f t="shared" ref="AA8:AA45" si="3">D8/F8</f>
        <v>1</v>
      </c>
      <c r="AB8" s="704">
        <f t="shared" ref="AB8:AB45" si="4">D8/H8</f>
        <v>1</v>
      </c>
      <c r="AC8" s="704">
        <f t="shared" ref="AC8:AC45" si="5">D8/J8</f>
        <v>1</v>
      </c>
    </row>
    <row r="9" spans="1:30" s="108" customFormat="1" ht="15">
      <c r="A9" s="369" t="s">
        <v>1683</v>
      </c>
      <c r="B9" s="63" t="s">
        <v>1684</v>
      </c>
      <c r="C9" s="1976" t="s">
        <v>3809</v>
      </c>
      <c r="D9" s="126">
        <v>100</v>
      </c>
      <c r="E9" s="1976" t="s">
        <v>3806</v>
      </c>
      <c r="F9" s="126">
        <f>SUMIF(74:74,E9,75:75)-SUMIF(74:74,C9,75:75)+100</f>
        <v>95</v>
      </c>
      <c r="G9" s="1976" t="s">
        <v>3806</v>
      </c>
      <c r="H9" s="126">
        <f>SUMIF(74:74,G9,75:75)-SUMIF(74:74,C9,75:75)+100</f>
        <v>95</v>
      </c>
      <c r="I9" s="1976" t="s">
        <v>3806</v>
      </c>
      <c r="J9" s="126">
        <f>SUMIF(74:74,I9,75:75)-SUMIF(74:74,C9,75:75)+100</f>
        <v>95</v>
      </c>
      <c r="K9" s="560"/>
      <c r="L9" s="2712"/>
      <c r="M9" s="2713"/>
      <c r="N9" s="2713"/>
      <c r="O9" s="2767"/>
      <c r="P9" s="3683" t="s">
        <v>1685</v>
      </c>
      <c r="Q9" s="1342" t="str">
        <f t="shared" ref="Q9:Q15" si="6">B9</f>
        <v>用途</v>
      </c>
      <c r="R9" s="701" t="s">
        <v>14</v>
      </c>
      <c r="S9" s="702">
        <f t="shared" si="0"/>
        <v>95</v>
      </c>
      <c r="T9" s="701" t="s">
        <v>14</v>
      </c>
      <c r="U9" s="702">
        <f t="shared" si="1"/>
        <v>95</v>
      </c>
      <c r="V9" s="701" t="s">
        <v>14</v>
      </c>
      <c r="W9" s="702">
        <f t="shared" si="2"/>
        <v>95</v>
      </c>
      <c r="X9" s="703"/>
      <c r="Y9" s="3615" t="s">
        <v>1686</v>
      </c>
      <c r="Z9" s="52" t="str">
        <f t="shared" ref="Z9:Z15" si="7">Q9</f>
        <v>用途</v>
      </c>
      <c r="AA9" s="704">
        <f t="shared" si="3"/>
        <v>1.0526315789473684</v>
      </c>
      <c r="AB9" s="704">
        <f t="shared" si="4"/>
        <v>1.0526315789473684</v>
      </c>
      <c r="AC9" s="704">
        <f t="shared" si="5"/>
        <v>1.0526315789473684</v>
      </c>
    </row>
    <row r="10" spans="1:30" s="378" customFormat="1" ht="27">
      <c r="A10" s="374"/>
      <c r="B10" s="375" t="s">
        <v>1687</v>
      </c>
      <c r="C10" s="383">
        <f>'数据-取费表'!F6</f>
        <v>25.34</v>
      </c>
      <c r="D10" s="127">
        <v>100</v>
      </c>
      <c r="E10" s="416" t="s">
        <v>3811</v>
      </c>
      <c r="F10" s="127">
        <f>ROUND(100/'数据-取费表'!G16,0)</f>
        <v>119</v>
      </c>
      <c r="G10" s="416" t="s">
        <v>3811</v>
      </c>
      <c r="H10" s="127">
        <f>ROUND(100/'数据-取费表'!G16,0)</f>
        <v>119</v>
      </c>
      <c r="I10" s="416" t="s">
        <v>3811</v>
      </c>
      <c r="J10" s="127">
        <f>ROUND(100/'数据-取费表'!G16,0)</f>
        <v>119</v>
      </c>
      <c r="K10" s="620"/>
      <c r="L10" s="2714"/>
      <c r="M10" s="2715"/>
      <c r="N10" s="2715"/>
      <c r="O10" s="2768"/>
      <c r="P10" s="3683"/>
      <c r="Q10" s="1342" t="str">
        <f t="shared" si="6"/>
        <v>土地使用年限（年）</v>
      </c>
      <c r="R10" s="701" t="s">
        <v>14</v>
      </c>
      <c r="S10" s="702">
        <f t="shared" si="0"/>
        <v>119</v>
      </c>
      <c r="T10" s="701" t="s">
        <v>14</v>
      </c>
      <c r="U10" s="702">
        <f t="shared" si="1"/>
        <v>119</v>
      </c>
      <c r="V10" s="701" t="s">
        <v>14</v>
      </c>
      <c r="W10" s="702">
        <f t="shared" si="2"/>
        <v>119</v>
      </c>
      <c r="X10" s="703"/>
      <c r="Y10" s="3615"/>
      <c r="Z10" s="52" t="str">
        <f t="shared" si="7"/>
        <v>土地使用年限（年）</v>
      </c>
      <c r="AA10" s="704">
        <f t="shared" si="3"/>
        <v>0.84033613445378152</v>
      </c>
      <c r="AB10" s="704">
        <f t="shared" si="4"/>
        <v>0.84033613445378152</v>
      </c>
      <c r="AC10" s="704">
        <f t="shared" si="5"/>
        <v>0.84033613445378152</v>
      </c>
    </row>
    <row r="11" spans="1:30" ht="15">
      <c r="A11" s="379"/>
      <c r="B11" s="375" t="s">
        <v>1688</v>
      </c>
      <c r="C11" s="380">
        <f>'数据-汇总表'!I4</f>
        <v>2.29</v>
      </c>
      <c r="D11" s="127">
        <v>100</v>
      </c>
      <c r="E11" s="380">
        <f>土地案例!H2</f>
        <v>2.2000000000000002</v>
      </c>
      <c r="F11" s="127">
        <f>LOOKUP(E11,79:79,80:80)-LOOKUP(C11,79:79,80:80)+100</f>
        <v>100</v>
      </c>
      <c r="G11" s="381">
        <f>土地案例!H3</f>
        <v>2.2000000000000002</v>
      </c>
      <c r="H11" s="127">
        <f>LOOKUP(G11,79:79,80:80)-LOOKUP(C11,79:79,80:80)+100</f>
        <v>100</v>
      </c>
      <c r="I11" s="380">
        <f>土地案例!H4</f>
        <v>2.2000000000000002</v>
      </c>
      <c r="J11" s="127">
        <f>LOOKUP(I11,79:79,80:80)-LOOKUP(C11,79:79,80:80)+100</f>
        <v>100</v>
      </c>
      <c r="K11" s="621">
        <v>2</v>
      </c>
      <c r="L11" s="2716"/>
      <c r="M11" s="2711"/>
      <c r="N11" s="2711"/>
      <c r="O11" s="2769"/>
      <c r="P11" s="3683"/>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30" s="108" customFormat="1" ht="15" hidden="1">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83"/>
      <c r="Q12" s="1342"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83"/>
      <c r="Q13" s="1342">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83"/>
      <c r="Q14" s="1342">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15" hidden="1">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8" t="s">
        <v>1690</v>
      </c>
      <c r="Q15" s="1351" t="str">
        <f t="shared" si="6"/>
        <v>居住社区成熟度</v>
      </c>
      <c r="R15" s="705" t="s">
        <v>14</v>
      </c>
      <c r="S15" s="706">
        <f t="shared" si="0"/>
        <v>100</v>
      </c>
      <c r="T15" s="705" t="s">
        <v>14</v>
      </c>
      <c r="U15" s="706">
        <f t="shared" si="1"/>
        <v>100</v>
      </c>
      <c r="V15" s="705" t="s">
        <v>14</v>
      </c>
      <c r="W15" s="706">
        <f t="shared" si="2"/>
        <v>100</v>
      </c>
      <c r="X15" s="1354"/>
      <c r="Y15" s="3698"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7"/>
      <c r="M16" s="2711"/>
      <c r="N16" s="2711"/>
      <c r="O16" s="2769"/>
      <c r="P16" s="3699"/>
      <c r="Q16" s="1351"/>
      <c r="R16" s="705"/>
      <c r="S16" s="706"/>
      <c r="T16" s="705"/>
      <c r="U16" s="706"/>
      <c r="V16" s="705"/>
      <c r="W16" s="706"/>
      <c r="X16" s="1354"/>
      <c r="Y16" s="3699"/>
      <c r="Z16" s="1355"/>
      <c r="AA16" s="1352">
        <v>1</v>
      </c>
      <c r="AB16" s="1352">
        <v>1</v>
      </c>
      <c r="AC16" s="1352">
        <v>1</v>
      </c>
    </row>
    <row r="17" spans="1:29" ht="15">
      <c r="A17" s="379"/>
      <c r="B17" s="402" t="s">
        <v>1776</v>
      </c>
      <c r="C17" s="1954" t="str">
        <f>估价对象房地状况!C16</f>
        <v>一般</v>
      </c>
      <c r="D17" s="401">
        <v>100</v>
      </c>
      <c r="E17" s="403" t="s">
        <v>3428</v>
      </c>
      <c r="F17" s="401">
        <f>SUMIF(89:89,E18,90:90)-SUMIF(89:89,C18,90:90)+100</f>
        <v>100</v>
      </c>
      <c r="G17" s="403" t="s">
        <v>3428</v>
      </c>
      <c r="H17" s="406">
        <f>SUMIF(89:89,G18,90:90)-SUMIF(89:89,C18,90:90)+100</f>
        <v>100</v>
      </c>
      <c r="I17" s="403" t="s">
        <v>3428</v>
      </c>
      <c r="J17" s="406">
        <f>SUMIF(89:89,I18,90:90)-SUMIF(89:89,C18,90:90)+100</f>
        <v>100</v>
      </c>
      <c r="K17" s="621">
        <v>5</v>
      </c>
      <c r="L17" s="2717"/>
      <c r="M17" s="2711"/>
      <c r="N17" s="2711"/>
      <c r="O17" s="2769"/>
      <c r="P17" s="3699"/>
      <c r="Q17" s="1351" t="str">
        <f>B17</f>
        <v>商业繁华度</v>
      </c>
      <c r="R17" s="705" t="s">
        <v>14</v>
      </c>
      <c r="S17" s="706">
        <f>F17</f>
        <v>100</v>
      </c>
      <c r="T17" s="705" t="s">
        <v>14</v>
      </c>
      <c r="U17" s="706">
        <f>H17</f>
        <v>100</v>
      </c>
      <c r="V17" s="705" t="s">
        <v>14</v>
      </c>
      <c r="W17" s="706">
        <f>J17</f>
        <v>100</v>
      </c>
      <c r="X17" s="1354"/>
      <c r="Y17" s="3699"/>
      <c r="Z17" s="1355" t="str">
        <f>Q17</f>
        <v>商业繁华度</v>
      </c>
      <c r="AA17" s="1352">
        <f t="shared" si="3"/>
        <v>1</v>
      </c>
      <c r="AB17" s="1352">
        <f t="shared" si="4"/>
        <v>1</v>
      </c>
      <c r="AC17" s="1352">
        <f t="shared" si="5"/>
        <v>1</v>
      </c>
    </row>
    <row r="18" spans="1:29" ht="15">
      <c r="A18" s="379"/>
      <c r="B18" s="407"/>
      <c r="C18" s="1900" t="s">
        <v>3428</v>
      </c>
      <c r="D18" s="401"/>
      <c r="E18" s="1902" t="s">
        <v>3428</v>
      </c>
      <c r="F18" s="401"/>
      <c r="G18" s="1902" t="s">
        <v>3428</v>
      </c>
      <c r="H18" s="399"/>
      <c r="I18" s="1902" t="s">
        <v>3428</v>
      </c>
      <c r="J18" s="399"/>
      <c r="K18" s="620"/>
      <c r="L18" s="2717"/>
      <c r="M18" s="2711"/>
      <c r="N18" s="2711"/>
      <c r="O18" s="2769"/>
      <c r="P18" s="3699"/>
      <c r="Q18" s="1351"/>
      <c r="R18" s="705"/>
      <c r="S18" s="706"/>
      <c r="T18" s="705"/>
      <c r="U18" s="706"/>
      <c r="V18" s="705"/>
      <c r="W18" s="706"/>
      <c r="X18" s="1354"/>
      <c r="Y18" s="3699"/>
      <c r="Z18" s="1355"/>
      <c r="AA18" s="1352">
        <v>1</v>
      </c>
      <c r="AB18" s="1352">
        <v>1</v>
      </c>
      <c r="AC18" s="1352">
        <v>1</v>
      </c>
    </row>
    <row r="19" spans="1:29" ht="15">
      <c r="A19" s="379"/>
      <c r="B19" s="402" t="s">
        <v>1810</v>
      </c>
      <c r="C19" s="1954" t="str">
        <f>估价对象房地状况!C17</f>
        <v>一般</v>
      </c>
      <c r="D19" s="406">
        <v>100</v>
      </c>
      <c r="E19" s="410" t="s">
        <v>3426</v>
      </c>
      <c r="F19" s="406">
        <f>SUMIF(91:91,E20,92:92)-SUMIF(91:91,C20,92:92)+100</f>
        <v>105</v>
      </c>
      <c r="G19" s="410" t="s">
        <v>3426</v>
      </c>
      <c r="H19" s="401">
        <f>SUMIF(91:91,G20,92:92)-SUMIF(91:91,C20,92:92)+100</f>
        <v>105</v>
      </c>
      <c r="I19" s="410" t="s">
        <v>3426</v>
      </c>
      <c r="J19" s="401">
        <f>SUMIF(91:91,I20,92:92)-SUMIF(91:91,C20,92:92)+100</f>
        <v>105</v>
      </c>
      <c r="K19" s="621">
        <v>5</v>
      </c>
      <c r="L19" s="2717"/>
      <c r="M19" s="2711"/>
      <c r="N19" s="2711"/>
      <c r="O19" s="2769"/>
      <c r="P19" s="3699"/>
      <c r="Q19" s="1351" t="str">
        <f>B19</f>
        <v>办公集聚程度</v>
      </c>
      <c r="R19" s="705" t="s">
        <v>14</v>
      </c>
      <c r="S19" s="706">
        <f>F19</f>
        <v>105</v>
      </c>
      <c r="T19" s="705" t="s">
        <v>14</v>
      </c>
      <c r="U19" s="706">
        <f>H19</f>
        <v>105</v>
      </c>
      <c r="V19" s="705" t="s">
        <v>14</v>
      </c>
      <c r="W19" s="706">
        <f>J19</f>
        <v>105</v>
      </c>
      <c r="X19" s="1354"/>
      <c r="Y19" s="3699"/>
      <c r="Z19" s="1355" t="str">
        <f>Q19</f>
        <v>办公集聚程度</v>
      </c>
      <c r="AA19" s="1352">
        <f t="shared" si="3"/>
        <v>0.95238095238095233</v>
      </c>
      <c r="AB19" s="1352">
        <f t="shared" si="4"/>
        <v>0.95238095238095233</v>
      </c>
      <c r="AC19" s="1352">
        <f t="shared" si="5"/>
        <v>0.95238095238095233</v>
      </c>
    </row>
    <row r="20" spans="1:29" ht="15">
      <c r="A20" s="379"/>
      <c r="B20" s="407"/>
      <c r="C20" s="398" t="s">
        <v>3428</v>
      </c>
      <c r="D20" s="399"/>
      <c r="E20" s="1896" t="s">
        <v>3426</v>
      </c>
      <c r="F20" s="399"/>
      <c r="G20" s="1896" t="s">
        <v>3426</v>
      </c>
      <c r="H20" s="399"/>
      <c r="I20" s="1896" t="s">
        <v>3426</v>
      </c>
      <c r="J20" s="399"/>
      <c r="K20" s="620"/>
      <c r="L20" s="2717"/>
      <c r="M20" s="2711"/>
      <c r="N20" s="2711"/>
      <c r="O20" s="2769"/>
      <c r="P20" s="3699"/>
      <c r="Q20" s="1351"/>
      <c r="R20" s="705"/>
      <c r="S20" s="706"/>
      <c r="T20" s="705"/>
      <c r="U20" s="706"/>
      <c r="V20" s="705"/>
      <c r="W20" s="706"/>
      <c r="X20" s="1354"/>
      <c r="Y20" s="3699"/>
      <c r="Z20" s="1355"/>
      <c r="AA20" s="1352">
        <v>1</v>
      </c>
      <c r="AB20" s="1352">
        <v>1</v>
      </c>
      <c r="AC20" s="1352">
        <v>1</v>
      </c>
    </row>
    <row r="21" spans="1:29" ht="15">
      <c r="A21" s="379"/>
      <c r="B21" s="402" t="s">
        <v>1832</v>
      </c>
      <c r="C21" s="1899" t="str">
        <f>估价对象房地状况!C18</f>
        <v>一般</v>
      </c>
      <c r="D21" s="401">
        <v>100</v>
      </c>
      <c r="E21" s="403" t="s">
        <v>3428</v>
      </c>
      <c r="F21" s="406">
        <f>SUMIF(93:93,E22,94:94)-SUMIF(93:93,C22,94:94)+100</f>
        <v>100</v>
      </c>
      <c r="G21" s="403" t="s">
        <v>3428</v>
      </c>
      <c r="H21" s="401">
        <f>SUMIF(93:93,G22,94:94)-SUMIF(93:93,C22,94:94)+100</f>
        <v>100</v>
      </c>
      <c r="I21" s="405" t="s">
        <v>3428</v>
      </c>
      <c r="J21" s="401">
        <f>SUMIF(93:93,I22,94:94)-SUMIF(93:93,C22,94:94)+100</f>
        <v>100</v>
      </c>
      <c r="K21" s="621">
        <v>2</v>
      </c>
      <c r="L21" s="2717"/>
      <c r="M21" s="2711"/>
      <c r="N21" s="2711"/>
      <c r="O21" s="2769"/>
      <c r="P21" s="3699"/>
      <c r="Q21" s="1351" t="str">
        <f>B21</f>
        <v>交通便捷度</v>
      </c>
      <c r="R21" s="705" t="s">
        <v>14</v>
      </c>
      <c r="S21" s="706">
        <f>F21</f>
        <v>100</v>
      </c>
      <c r="T21" s="705" t="s">
        <v>14</v>
      </c>
      <c r="U21" s="706">
        <f>H21</f>
        <v>100</v>
      </c>
      <c r="V21" s="705" t="s">
        <v>14</v>
      </c>
      <c r="W21" s="706">
        <f>J21</f>
        <v>100</v>
      </c>
      <c r="X21" s="1354"/>
      <c r="Y21" s="3699"/>
      <c r="Z21" s="1355" t="str">
        <f>Q21</f>
        <v>交通便捷度</v>
      </c>
      <c r="AA21" s="1352">
        <f t="shared" si="3"/>
        <v>1</v>
      </c>
      <c r="AB21" s="1352">
        <f t="shared" si="4"/>
        <v>1</v>
      </c>
      <c r="AC21" s="1352">
        <f t="shared" si="5"/>
        <v>1</v>
      </c>
    </row>
    <row r="22" spans="1:29" ht="15">
      <c r="A22" s="379"/>
      <c r="B22" s="1131"/>
      <c r="C22" s="398" t="s">
        <v>3428</v>
      </c>
      <c r="D22" s="401"/>
      <c r="E22" s="1897" t="s">
        <v>3428</v>
      </c>
      <c r="F22" s="399"/>
      <c r="G22" s="1897" t="s">
        <v>3428</v>
      </c>
      <c r="H22" s="399"/>
      <c r="I22" s="1896" t="s">
        <v>3428</v>
      </c>
      <c r="J22" s="399"/>
      <c r="K22" s="620"/>
      <c r="L22" s="2717"/>
      <c r="M22" s="2711"/>
      <c r="N22" s="2711"/>
      <c r="O22" s="2769"/>
      <c r="P22" s="3699"/>
      <c r="Q22" s="1351"/>
      <c r="R22" s="705"/>
      <c r="S22" s="706"/>
      <c r="T22" s="705"/>
      <c r="U22" s="706"/>
      <c r="V22" s="705"/>
      <c r="W22" s="706"/>
      <c r="X22" s="1354"/>
      <c r="Y22" s="3699"/>
      <c r="Z22" s="1355"/>
      <c r="AA22" s="1352">
        <v>1</v>
      </c>
      <c r="AB22" s="1352">
        <v>1</v>
      </c>
      <c r="AC22" s="1352">
        <v>1</v>
      </c>
    </row>
    <row r="23" spans="1:29" ht="15">
      <c r="A23" s="358"/>
      <c r="B23" s="402" t="s">
        <v>1870</v>
      </c>
      <c r="C23" s="1136">
        <f>估价对象房地状况!C19</f>
        <v>0</v>
      </c>
      <c r="D23" s="406">
        <v>100</v>
      </c>
      <c r="E23" s="403">
        <v>0</v>
      </c>
      <c r="F23" s="406">
        <f>SUMIF(95:95,E24,96:96)-SUMIF(95:95,C24,96:96)+100</f>
        <v>100</v>
      </c>
      <c r="G23" s="405">
        <v>0</v>
      </c>
      <c r="H23" s="406">
        <f>SUMIF(95:95,G24,96:96)-SUMIF(95:95,C24,96:96)+100</f>
        <v>100</v>
      </c>
      <c r="I23" s="405">
        <v>0</v>
      </c>
      <c r="J23" s="406">
        <f>SUMIF(95:95,I24,96:96)-SUMIF(95:95,C24,96:96)+100</f>
        <v>100</v>
      </c>
      <c r="K23" s="621">
        <v>2</v>
      </c>
      <c r="L23" s="2717"/>
      <c r="M23" s="2711"/>
      <c r="N23" s="2711"/>
      <c r="O23" s="2769"/>
      <c r="P23" s="3699"/>
      <c r="Q23" s="1351" t="str">
        <f t="shared" ref="Q23:Q37" si="8">B23</f>
        <v>区域土地利用方向</v>
      </c>
      <c r="R23" s="705" t="s">
        <v>14</v>
      </c>
      <c r="S23" s="706">
        <f>F23</f>
        <v>100</v>
      </c>
      <c r="T23" s="705" t="s">
        <v>14</v>
      </c>
      <c r="U23" s="706">
        <f>H23</f>
        <v>100</v>
      </c>
      <c r="V23" s="705" t="s">
        <v>14</v>
      </c>
      <c r="W23" s="706">
        <f>J23</f>
        <v>100</v>
      </c>
      <c r="X23" s="1354"/>
      <c r="Y23" s="3699"/>
      <c r="Z23" s="1355" t="str">
        <f>Q23</f>
        <v>区域土地利用方向</v>
      </c>
      <c r="AA23" s="1352">
        <f t="shared" si="3"/>
        <v>1</v>
      </c>
      <c r="AB23" s="1352">
        <f t="shared" si="4"/>
        <v>1</v>
      </c>
      <c r="AC23" s="1352">
        <f t="shared" si="5"/>
        <v>1</v>
      </c>
    </row>
    <row r="24" spans="1:29" ht="15">
      <c r="A24" s="358"/>
      <c r="B24" s="407"/>
      <c r="C24" s="565" t="s">
        <v>3426</v>
      </c>
      <c r="D24" s="399"/>
      <c r="E24" s="1897" t="s">
        <v>3426</v>
      </c>
      <c r="F24" s="399"/>
      <c r="G24" s="1896" t="s">
        <v>3426</v>
      </c>
      <c r="H24" s="399"/>
      <c r="I24" s="1896" t="s">
        <v>3426</v>
      </c>
      <c r="J24" s="399"/>
      <c r="K24" s="740"/>
      <c r="L24" s="2717"/>
      <c r="M24" s="2711"/>
      <c r="N24" s="2711"/>
      <c r="O24" s="2769"/>
      <c r="P24" s="3699"/>
      <c r="Q24" s="1351"/>
      <c r="R24" s="705"/>
      <c r="S24" s="706"/>
      <c r="T24" s="705"/>
      <c r="U24" s="706"/>
      <c r="V24" s="705"/>
      <c r="W24" s="706"/>
      <c r="X24" s="1354"/>
      <c r="Y24" s="3699"/>
      <c r="Z24" s="1355"/>
      <c r="AA24" s="1352"/>
      <c r="AB24" s="1352"/>
      <c r="AC24" s="1352"/>
    </row>
    <row r="25" spans="1:29" ht="27">
      <c r="A25" s="358"/>
      <c r="B25" s="1131" t="s">
        <v>1871</v>
      </c>
      <c r="C25" s="1954" t="str">
        <f>估价对象房地状况!C20</f>
        <v>较好</v>
      </c>
      <c r="D25" s="401">
        <v>100</v>
      </c>
      <c r="E25" s="403" t="s">
        <v>3426</v>
      </c>
      <c r="F25" s="401">
        <f>SUMIF(97:97,E26,98:98)-SUMIF(97:97,C26,98:98)+100</f>
        <v>100</v>
      </c>
      <c r="G25" s="403" t="s">
        <v>3426</v>
      </c>
      <c r="H25" s="401">
        <f>SUMIF(97:97,G26,98:98)-SUMIF(97:97,C26,98:98)+100</f>
        <v>100</v>
      </c>
      <c r="I25" s="405" t="s">
        <v>3426</v>
      </c>
      <c r="J25" s="401">
        <f>SUMIF(97:97,I26,98:98)-SUMIF(97:97,C26,98:98)+100</f>
        <v>100</v>
      </c>
      <c r="K25" s="621">
        <v>2</v>
      </c>
      <c r="L25" s="2717"/>
      <c r="M25" s="2711"/>
      <c r="N25" s="2711"/>
      <c r="O25" s="2769"/>
      <c r="P25" s="3699"/>
      <c r="Q25" s="1351" t="str">
        <f t="shared" si="8"/>
        <v>自然及人文环境状况</v>
      </c>
      <c r="R25" s="705" t="s">
        <v>14</v>
      </c>
      <c r="S25" s="706">
        <f>F25</f>
        <v>100</v>
      </c>
      <c r="T25" s="705" t="s">
        <v>14</v>
      </c>
      <c r="U25" s="706">
        <f>H25</f>
        <v>100</v>
      </c>
      <c r="V25" s="705" t="s">
        <v>14</v>
      </c>
      <c r="W25" s="706">
        <f>J25</f>
        <v>100</v>
      </c>
      <c r="X25" s="1354"/>
      <c r="Y25" s="3699"/>
      <c r="Z25" s="1355" t="str">
        <f>Q25</f>
        <v>自然及人文环境状况</v>
      </c>
      <c r="AA25" s="1352">
        <f t="shared" si="3"/>
        <v>1</v>
      </c>
      <c r="AB25" s="1352">
        <f t="shared" si="4"/>
        <v>1</v>
      </c>
      <c r="AC25" s="1352">
        <f t="shared" si="5"/>
        <v>1</v>
      </c>
    </row>
    <row r="26" spans="1:29" ht="15">
      <c r="A26" s="358"/>
      <c r="B26" s="407"/>
      <c r="C26" s="398" t="s">
        <v>3426</v>
      </c>
      <c r="D26" s="399"/>
      <c r="E26" s="1903" t="s">
        <v>3426</v>
      </c>
      <c r="F26" s="399"/>
      <c r="G26" s="1903" t="s">
        <v>3426</v>
      </c>
      <c r="H26" s="399"/>
      <c r="I26" s="398" t="s">
        <v>3426</v>
      </c>
      <c r="J26" s="399"/>
      <c r="K26" s="620"/>
      <c r="L26" s="2717"/>
      <c r="M26" s="2711"/>
      <c r="N26" s="2711"/>
      <c r="O26" s="2769"/>
      <c r="P26" s="3699"/>
      <c r="Q26" s="1351"/>
      <c r="R26" s="705"/>
      <c r="S26" s="706"/>
      <c r="T26" s="705"/>
      <c r="U26" s="706"/>
      <c r="V26" s="705"/>
      <c r="W26" s="706"/>
      <c r="X26" s="1354"/>
      <c r="Y26" s="3699"/>
      <c r="Z26" s="1355"/>
      <c r="AA26" s="1352">
        <v>1</v>
      </c>
      <c r="AB26" s="1352">
        <v>1</v>
      </c>
      <c r="AC26" s="1352">
        <v>1</v>
      </c>
    </row>
    <row r="27" spans="1:29" s="108" customFormat="1" ht="15">
      <c r="A27" s="597"/>
      <c r="B27" s="1131" t="s">
        <v>1777</v>
      </c>
      <c r="C27" s="1899" t="str">
        <f>估价对象房地状况!C21</f>
        <v>较好</v>
      </c>
      <c r="D27" s="401">
        <v>100</v>
      </c>
      <c r="E27" s="403" t="s">
        <v>3428</v>
      </c>
      <c r="F27" s="401">
        <f>SUMIF(99:99,E28,100:100)-SUMIF(99:99,C28,100:100)+100</f>
        <v>98</v>
      </c>
      <c r="G27" s="403" t="s">
        <v>3428</v>
      </c>
      <c r="H27" s="401">
        <f>SUMIF(99:99,G28,100:100)-SUMIF(99:99,C28,100:100)+100</f>
        <v>98</v>
      </c>
      <c r="I27" s="403" t="s">
        <v>3428</v>
      </c>
      <c r="J27" s="401">
        <f>SUMIF(99:99,I28,100:100)-SUMIF(99:99,C28,100:100)+100</f>
        <v>98</v>
      </c>
      <c r="K27" s="621">
        <v>2</v>
      </c>
      <c r="L27" s="2712"/>
      <c r="M27" s="2713"/>
      <c r="N27" s="2713"/>
      <c r="O27" s="2767"/>
      <c r="P27" s="3699"/>
      <c r="Q27" s="1342" t="str">
        <f t="shared" si="8"/>
        <v>公共配套设施</v>
      </c>
      <c r="R27" s="701" t="s">
        <v>14</v>
      </c>
      <c r="S27" s="702">
        <f>F27</f>
        <v>98</v>
      </c>
      <c r="T27" s="701" t="s">
        <v>14</v>
      </c>
      <c r="U27" s="702">
        <f>H27</f>
        <v>98</v>
      </c>
      <c r="V27" s="701" t="s">
        <v>14</v>
      </c>
      <c r="W27" s="702">
        <f>J27</f>
        <v>98</v>
      </c>
      <c r="X27" s="703"/>
      <c r="Y27" s="3699"/>
      <c r="Z27" s="52" t="str">
        <f>Q27</f>
        <v>公共配套设施</v>
      </c>
      <c r="AA27" s="1352">
        <f>D27/F27</f>
        <v>1.0204081632653061</v>
      </c>
      <c r="AB27" s="1352">
        <f>D27/H27</f>
        <v>1.0204081632653061</v>
      </c>
      <c r="AC27" s="1352">
        <f>D27/J27</f>
        <v>1.0204081632653061</v>
      </c>
    </row>
    <row r="28" spans="1:29" s="108" customFormat="1" ht="15">
      <c r="A28" s="597"/>
      <c r="B28" s="407"/>
      <c r="C28" s="1977" t="s">
        <v>3426</v>
      </c>
      <c r="D28" s="399"/>
      <c r="E28" s="1897" t="s">
        <v>3428</v>
      </c>
      <c r="F28" s="399"/>
      <c r="G28" s="1897" t="s">
        <v>3428</v>
      </c>
      <c r="H28" s="399"/>
      <c r="I28" s="1897" t="s">
        <v>3428</v>
      </c>
      <c r="J28" s="399"/>
      <c r="K28" s="620"/>
      <c r="L28" s="2712"/>
      <c r="M28" s="2713"/>
      <c r="N28" s="2713"/>
      <c r="O28" s="2767"/>
      <c r="P28" s="3699"/>
      <c r="Q28" s="1342"/>
      <c r="R28" s="701"/>
      <c r="S28" s="702"/>
      <c r="T28" s="701"/>
      <c r="U28" s="702"/>
      <c r="V28" s="701"/>
      <c r="W28" s="702"/>
      <c r="X28" s="703"/>
      <c r="Y28" s="3699"/>
      <c r="Z28" s="52"/>
      <c r="AA28" s="1352">
        <v>1</v>
      </c>
      <c r="AB28" s="1352">
        <v>1</v>
      </c>
      <c r="AC28" s="1352">
        <v>1</v>
      </c>
    </row>
    <row r="29" spans="1:29" s="108" customFormat="1" ht="15">
      <c r="A29" s="597"/>
      <c r="B29" s="1131" t="s">
        <v>1778</v>
      </c>
      <c r="C29" s="1899" t="str">
        <f>估价对象房地状况!C22</f>
        <v>七通</v>
      </c>
      <c r="D29" s="401">
        <v>100</v>
      </c>
      <c r="E29" s="403" t="s">
        <v>3432</v>
      </c>
      <c r="F29" s="401">
        <f>SUMIF(101:101,E30,102:102)-SUMIF(101:101,C30,102:102)+100</f>
        <v>100</v>
      </c>
      <c r="G29" s="403" t="s">
        <v>3432</v>
      </c>
      <c r="H29" s="401">
        <f>SUMIF(101:101,G30,102:102)-SUMIF(101:101,C30,102:102)+100</f>
        <v>100</v>
      </c>
      <c r="I29" s="405" t="s">
        <v>3432</v>
      </c>
      <c r="J29" s="401">
        <f>SUMIF(101:101,I30,102:102)-SUMIF(101:101,C30,102:102)+100</f>
        <v>100</v>
      </c>
      <c r="K29" s="621">
        <v>1</v>
      </c>
      <c r="L29" s="2712"/>
      <c r="M29" s="2713"/>
      <c r="N29" s="2713"/>
      <c r="O29" s="2767"/>
      <c r="P29" s="3699"/>
      <c r="Q29" s="1342"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2">
        <f>D29/F29</f>
        <v>1</v>
      </c>
      <c r="AB29" s="1352">
        <f>D29/H29</f>
        <v>1</v>
      </c>
      <c r="AC29" s="1352">
        <f>D29/J29</f>
        <v>1</v>
      </c>
    </row>
    <row r="30" spans="1:29" s="108" customFormat="1" ht="15.75" thickBot="1">
      <c r="A30" s="597"/>
      <c r="B30" s="407"/>
      <c r="C30" s="1977" t="s">
        <v>3432</v>
      </c>
      <c r="D30" s="399"/>
      <c r="E30" s="1978" t="s">
        <v>3432</v>
      </c>
      <c r="F30" s="399"/>
      <c r="G30" s="1978" t="s">
        <v>3432</v>
      </c>
      <c r="H30" s="399"/>
      <c r="I30" s="1978" t="s">
        <v>3432</v>
      </c>
      <c r="J30" s="399"/>
      <c r="K30" s="620"/>
      <c r="L30" s="2712"/>
      <c r="M30" s="2713"/>
      <c r="N30" s="2713"/>
      <c r="O30" s="2767"/>
      <c r="P30" s="3699"/>
      <c r="Q30" s="1342"/>
      <c r="R30" s="701"/>
      <c r="S30" s="702"/>
      <c r="T30" s="701"/>
      <c r="U30" s="702"/>
      <c r="V30" s="701"/>
      <c r="W30" s="702"/>
      <c r="X30" s="703"/>
      <c r="Y30" s="3699"/>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9"/>
      <c r="Z31" s="1355" t="str">
        <f t="shared" ref="Z31:Z45" si="13">Q31</f>
        <v>临街状况</v>
      </c>
      <c r="AA31" s="1352">
        <f t="shared" si="3"/>
        <v>1</v>
      </c>
      <c r="AB31" s="1352">
        <f t="shared" si="4"/>
        <v>1</v>
      </c>
      <c r="AC31" s="1352">
        <f t="shared" si="5"/>
        <v>1</v>
      </c>
    </row>
    <row r="32" spans="1:29" ht="27" hidden="1">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9"/>
      <c r="Q32" s="1351" t="str">
        <f t="shared" si="8"/>
        <v>毗邻道路的类型与等级</v>
      </c>
      <c r="R32" s="705" t="s">
        <v>14</v>
      </c>
      <c r="S32" s="706">
        <f t="shared" si="10"/>
        <v>100</v>
      </c>
      <c r="T32" s="705" t="s">
        <v>14</v>
      </c>
      <c r="U32" s="706">
        <f t="shared" si="11"/>
        <v>100</v>
      </c>
      <c r="V32" s="705" t="s">
        <v>14</v>
      </c>
      <c r="W32" s="706">
        <f t="shared" si="12"/>
        <v>100</v>
      </c>
      <c r="X32" s="1354"/>
      <c r="Y32" s="3699"/>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7"/>
      <c r="M33" s="2711"/>
      <c r="N33" s="2711"/>
      <c r="O33" s="2769"/>
      <c r="P33" s="3699"/>
      <c r="Q33" s="1351"/>
      <c r="R33" s="705"/>
      <c r="S33" s="706"/>
      <c r="T33" s="705"/>
      <c r="U33" s="706"/>
      <c r="V33" s="705"/>
      <c r="W33" s="706"/>
      <c r="X33" s="1354"/>
      <c r="Y33" s="3699"/>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9"/>
      <c r="Q34" s="1351" t="str">
        <f t="shared" si="8"/>
        <v>土地级别</v>
      </c>
      <c r="R34" s="705" t="s">
        <v>14</v>
      </c>
      <c r="S34" s="706">
        <f t="shared" si="10"/>
        <v>100</v>
      </c>
      <c r="T34" s="705" t="s">
        <v>14</v>
      </c>
      <c r="U34" s="706">
        <f t="shared" si="11"/>
        <v>100</v>
      </c>
      <c r="V34" s="705" t="s">
        <v>14</v>
      </c>
      <c r="W34" s="706">
        <f t="shared" si="12"/>
        <v>100</v>
      </c>
      <c r="X34" s="1354"/>
      <c r="Y34" s="3699"/>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9"/>
      <c r="Q35" s="1351">
        <f t="shared" si="8"/>
        <v>111</v>
      </c>
      <c r="R35" s="705" t="s">
        <v>14</v>
      </c>
      <c r="S35" s="706">
        <f t="shared" si="10"/>
        <v>100</v>
      </c>
      <c r="T35" s="705" t="s">
        <v>14</v>
      </c>
      <c r="U35" s="706">
        <f t="shared" si="11"/>
        <v>100</v>
      </c>
      <c r="V35" s="705" t="s">
        <v>14</v>
      </c>
      <c r="W35" s="706">
        <f t="shared" si="12"/>
        <v>100</v>
      </c>
      <c r="X35" s="1354"/>
      <c r="Y35" s="3699"/>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00" t="s">
        <v>1695</v>
      </c>
      <c r="Q36" s="1351">
        <f t="shared" si="8"/>
        <v>111</v>
      </c>
      <c r="R36" s="705" t="s">
        <v>14</v>
      </c>
      <c r="S36" s="706">
        <f t="shared" si="10"/>
        <v>100</v>
      </c>
      <c r="T36" s="705" t="s">
        <v>14</v>
      </c>
      <c r="U36" s="706">
        <f t="shared" si="11"/>
        <v>100</v>
      </c>
      <c r="V36" s="705" t="s">
        <v>14</v>
      </c>
      <c r="W36" s="706">
        <f t="shared" si="12"/>
        <v>100</v>
      </c>
      <c r="X36" s="1354"/>
      <c r="Y36" s="3701"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1"/>
      <c r="Q37" s="1351">
        <f t="shared" si="8"/>
        <v>111</v>
      </c>
      <c r="R37" s="708" t="s">
        <v>14</v>
      </c>
      <c r="S37" s="709">
        <f t="shared" si="10"/>
        <v>100</v>
      </c>
      <c r="T37" s="708" t="s">
        <v>14</v>
      </c>
      <c r="U37" s="709">
        <f t="shared" si="11"/>
        <v>100</v>
      </c>
      <c r="V37" s="708" t="s">
        <v>14</v>
      </c>
      <c r="W37" s="709">
        <f t="shared" si="12"/>
        <v>100</v>
      </c>
      <c r="X37" s="710"/>
      <c r="Y37" s="3701"/>
      <c r="Z37" s="711">
        <f t="shared" si="13"/>
        <v>111</v>
      </c>
      <c r="AA37" s="1352">
        <f t="shared" si="3"/>
        <v>1</v>
      </c>
      <c r="AB37" s="1352">
        <f t="shared" si="4"/>
        <v>1</v>
      </c>
      <c r="AC37" s="1352">
        <f t="shared" si="5"/>
        <v>1</v>
      </c>
    </row>
    <row r="38" spans="1:29" ht="15">
      <c r="A38" s="423" t="s">
        <v>1693</v>
      </c>
      <c r="B38" s="407" t="s">
        <v>1873</v>
      </c>
      <c r="C38" s="627">
        <f>'数据-汇总表'!D3</f>
        <v>17111.18</v>
      </c>
      <c r="D38" s="418">
        <v>100</v>
      </c>
      <c r="E38" s="627">
        <f>土地案例!F2</f>
        <v>32733.22</v>
      </c>
      <c r="F38" s="418">
        <f>LOOKUP(E38,116:116,117:117)-LOOKUP(C38,116:116,117:117)+100</f>
        <v>102</v>
      </c>
      <c r="G38" s="627">
        <f>土地案例!F3</f>
        <v>29506.55</v>
      </c>
      <c r="H38" s="418">
        <f>LOOKUP(G38,116:116,117:117)-LOOKUP(C38,116:116,117:117)+100</f>
        <v>102</v>
      </c>
      <c r="I38" s="479">
        <f>土地案例!F4</f>
        <v>38252.550000000003</v>
      </c>
      <c r="J38" s="418">
        <f>LOOKUP(I38,116:116,117:117)-LOOKUP(C38,116:116,117:117)+100</f>
        <v>102</v>
      </c>
      <c r="K38" s="562"/>
      <c r="L38" s="2717"/>
      <c r="M38" s="2711"/>
      <c r="N38" s="2711"/>
      <c r="O38" s="2769"/>
      <c r="P38" s="3701"/>
      <c r="Q38" s="1351" t="str">
        <f>B38</f>
        <v>宗地面积</v>
      </c>
      <c r="R38" s="705" t="s">
        <v>14</v>
      </c>
      <c r="S38" s="706">
        <f t="shared" si="10"/>
        <v>102</v>
      </c>
      <c r="T38" s="705" t="s">
        <v>14</v>
      </c>
      <c r="U38" s="706">
        <f t="shared" si="11"/>
        <v>102</v>
      </c>
      <c r="V38" s="705" t="s">
        <v>14</v>
      </c>
      <c r="W38" s="706">
        <f t="shared" si="12"/>
        <v>102</v>
      </c>
      <c r="X38" s="1354"/>
      <c r="Y38" s="3701"/>
      <c r="Z38" s="1355" t="str">
        <f t="shared" si="13"/>
        <v>宗地面积</v>
      </c>
      <c r="AA38" s="1352">
        <f t="shared" si="3"/>
        <v>0.98039215686274506</v>
      </c>
      <c r="AB38" s="1352">
        <f t="shared" si="4"/>
        <v>0.98039215686274506</v>
      </c>
      <c r="AC38" s="1352">
        <f t="shared" si="5"/>
        <v>0.98039215686274506</v>
      </c>
    </row>
    <row r="39" spans="1:29" ht="15">
      <c r="A39" s="423"/>
      <c r="B39" s="375" t="s">
        <v>1874</v>
      </c>
      <c r="C39" s="1905" t="s">
        <v>3812</v>
      </c>
      <c r="D39" s="386">
        <v>100</v>
      </c>
      <c r="E39" s="1905" t="s">
        <v>3812</v>
      </c>
      <c r="F39" s="386">
        <f>SUMIF(118:118,E39,119:119)-SUMIF(118:118,C39,119:119)+100</f>
        <v>100</v>
      </c>
      <c r="G39" s="1905" t="s">
        <v>3812</v>
      </c>
      <c r="H39" s="386">
        <f>SUMIF(118:118,G39,119:119)-SUMIF(118:118,C39,119:119)+100</f>
        <v>100</v>
      </c>
      <c r="I39" s="1905" t="s">
        <v>3812</v>
      </c>
      <c r="J39" s="386">
        <f>SUMIF(118:118,I39,119:119)-SUMIF(118:118,C39,119:119)+100</f>
        <v>100</v>
      </c>
      <c r="K39" s="561">
        <v>2</v>
      </c>
      <c r="L39" s="2717"/>
      <c r="M39" s="2711"/>
      <c r="N39" s="2711"/>
      <c r="O39" s="2769"/>
      <c r="P39" s="3701"/>
      <c r="Q39" s="1351" t="str">
        <f t="shared" ref="Q39:Q45" si="14">B39</f>
        <v>宗地形状</v>
      </c>
      <c r="R39" s="705" t="s">
        <v>14</v>
      </c>
      <c r="S39" s="706">
        <f t="shared" si="10"/>
        <v>100</v>
      </c>
      <c r="T39" s="705" t="s">
        <v>14</v>
      </c>
      <c r="U39" s="706">
        <f t="shared" si="11"/>
        <v>100</v>
      </c>
      <c r="V39" s="705" t="s">
        <v>14</v>
      </c>
      <c r="W39" s="706">
        <f t="shared" si="12"/>
        <v>100</v>
      </c>
      <c r="X39" s="1354"/>
      <c r="Y39" s="3701"/>
      <c r="Z39" s="1355" t="str">
        <f t="shared" si="13"/>
        <v>宗地形状</v>
      </c>
      <c r="AA39" s="1352">
        <f t="shared" si="3"/>
        <v>1</v>
      </c>
      <c r="AB39" s="1352">
        <f t="shared" si="4"/>
        <v>1</v>
      </c>
      <c r="AC39" s="1352">
        <f t="shared" si="5"/>
        <v>1</v>
      </c>
    </row>
    <row r="40" spans="1:29" ht="15">
      <c r="A40" s="423"/>
      <c r="B40" s="375" t="s">
        <v>1875</v>
      </c>
      <c r="C40" s="1905" t="s">
        <v>3814</v>
      </c>
      <c r="D40" s="386">
        <v>100</v>
      </c>
      <c r="E40" s="1905" t="s">
        <v>3814</v>
      </c>
      <c r="F40" s="386">
        <f>SUMIF(120:120,E40,121:121)-SUMIF(120:120,C40,121:121)+100</f>
        <v>100</v>
      </c>
      <c r="G40" s="1905" t="s">
        <v>3814</v>
      </c>
      <c r="H40" s="386">
        <f>SUMIF(120:120,G40,121:121)-SUMIF(120:120,C40,121:121)+100</f>
        <v>100</v>
      </c>
      <c r="I40" s="1905" t="s">
        <v>3814</v>
      </c>
      <c r="J40" s="386">
        <f>SUMIF(120:120,I40,121:121)-SUMIF(120:120,C40,121:121)+100</f>
        <v>100</v>
      </c>
      <c r="K40" s="561">
        <v>2</v>
      </c>
      <c r="L40" s="2717"/>
      <c r="M40" s="2711"/>
      <c r="N40" s="2711"/>
      <c r="O40" s="2769"/>
      <c r="P40" s="3701"/>
      <c r="Q40" s="1351" t="str">
        <f t="shared" si="14"/>
        <v>临街宽度及深度</v>
      </c>
      <c r="R40" s="705" t="s">
        <v>14</v>
      </c>
      <c r="S40" s="706">
        <f t="shared" si="10"/>
        <v>100</v>
      </c>
      <c r="T40" s="705" t="s">
        <v>14</v>
      </c>
      <c r="U40" s="706">
        <f t="shared" si="11"/>
        <v>100</v>
      </c>
      <c r="V40" s="705" t="s">
        <v>14</v>
      </c>
      <c r="W40" s="706">
        <f t="shared" si="12"/>
        <v>100</v>
      </c>
      <c r="X40" s="1354"/>
      <c r="Y40" s="3701"/>
      <c r="Z40" s="1355" t="str">
        <f t="shared" si="13"/>
        <v>临街宽度及深度</v>
      </c>
      <c r="AA40" s="1352">
        <f t="shared" si="3"/>
        <v>1</v>
      </c>
      <c r="AB40" s="1352">
        <f t="shared" si="4"/>
        <v>1</v>
      </c>
      <c r="AC40" s="1352">
        <f t="shared" si="5"/>
        <v>1</v>
      </c>
    </row>
    <row r="41" spans="1:29" s="108" customFormat="1" ht="15">
      <c r="A41" s="424"/>
      <c r="B41" s="375" t="s">
        <v>1876</v>
      </c>
      <c r="C41" s="1979" t="s">
        <v>3816</v>
      </c>
      <c r="D41" s="127">
        <v>100</v>
      </c>
      <c r="E41" s="1979" t="s">
        <v>3816</v>
      </c>
      <c r="F41" s="386">
        <f>SUMIF(122:122,E41,123:123)-SUMIF(122:122,C41,123:123)+100</f>
        <v>100</v>
      </c>
      <c r="G41" s="1979" t="s">
        <v>3816</v>
      </c>
      <c r="H41" s="386">
        <f>SUMIF(122:122,G41,123:123)-SUMIF(122:122,C41,123:123)+100</f>
        <v>100</v>
      </c>
      <c r="I41" s="1979" t="s">
        <v>3816</v>
      </c>
      <c r="J41" s="386">
        <f>SUMIF(122:122,I41,123:123)-SUMIF(122:122,C41,123:123)+100</f>
        <v>100</v>
      </c>
      <c r="K41" s="561">
        <v>1</v>
      </c>
      <c r="L41" s="2712"/>
      <c r="M41" s="2713"/>
      <c r="N41" s="2713"/>
      <c r="O41" s="2767"/>
      <c r="P41" s="3701"/>
      <c r="Q41" s="1351"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75" thickBot="1">
      <c r="A42" s="423"/>
      <c r="B42" s="375" t="s">
        <v>1877</v>
      </c>
      <c r="C42" s="1905" t="s">
        <v>3426</v>
      </c>
      <c r="D42" s="386">
        <v>100</v>
      </c>
      <c r="E42" s="1905" t="s">
        <v>3426</v>
      </c>
      <c r="F42" s="386">
        <f>SUMIF(124:124,E42,125:125)-SUMIF(124:124,C42,125:125)+100</f>
        <v>100</v>
      </c>
      <c r="G42" s="1905" t="s">
        <v>3426</v>
      </c>
      <c r="H42" s="386">
        <f>SUMIF(124:124,G42,125:125)-SUMIF(124:124,C42,125:125)+100</f>
        <v>100</v>
      </c>
      <c r="I42" s="1905" t="s">
        <v>3426</v>
      </c>
      <c r="J42" s="386">
        <f>SUMIF(124:124,I42,125:125)-SUMIF(124:124,C42,125:125)+100</f>
        <v>100</v>
      </c>
      <c r="K42" s="561">
        <v>2</v>
      </c>
      <c r="L42" s="2717"/>
      <c r="M42" s="2711"/>
      <c r="N42" s="2711"/>
      <c r="O42" s="2769"/>
      <c r="P42" s="3701" t="s">
        <v>1695</v>
      </c>
      <c r="Q42" s="1351" t="str">
        <f t="shared" si="14"/>
        <v>工程地质条件</v>
      </c>
      <c r="R42" s="705" t="s">
        <v>14</v>
      </c>
      <c r="S42" s="706">
        <f t="shared" si="10"/>
        <v>100</v>
      </c>
      <c r="T42" s="705" t="s">
        <v>14</v>
      </c>
      <c r="U42" s="706">
        <f t="shared" si="11"/>
        <v>100</v>
      </c>
      <c r="V42" s="705" t="s">
        <v>14</v>
      </c>
      <c r="W42" s="706">
        <f t="shared" si="12"/>
        <v>100</v>
      </c>
      <c r="X42" s="1354"/>
      <c r="Y42" s="3701" t="s">
        <v>1695</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1"/>
      <c r="Q43" s="1351">
        <f t="shared" si="14"/>
        <v>111</v>
      </c>
      <c r="R43" s="705" t="s">
        <v>14</v>
      </c>
      <c r="S43" s="706">
        <f t="shared" si="10"/>
        <v>100</v>
      </c>
      <c r="T43" s="705" t="s">
        <v>14</v>
      </c>
      <c r="U43" s="706">
        <f t="shared" si="11"/>
        <v>100</v>
      </c>
      <c r="V43" s="705" t="s">
        <v>14</v>
      </c>
      <c r="W43" s="706">
        <f t="shared" si="12"/>
        <v>100</v>
      </c>
      <c r="X43" s="1354"/>
      <c r="Y43" s="3701"/>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1"/>
      <c r="Q44" s="1351">
        <f t="shared" si="14"/>
        <v>111</v>
      </c>
      <c r="R44" s="705" t="s">
        <v>14</v>
      </c>
      <c r="S44" s="706">
        <f t="shared" si="10"/>
        <v>100</v>
      </c>
      <c r="T44" s="705" t="s">
        <v>14</v>
      </c>
      <c r="U44" s="706">
        <f t="shared" si="11"/>
        <v>100</v>
      </c>
      <c r="V44" s="705" t="s">
        <v>14</v>
      </c>
      <c r="W44" s="706">
        <f t="shared" si="12"/>
        <v>100</v>
      </c>
      <c r="X44" s="1354"/>
      <c r="Y44" s="3701"/>
      <c r="Z44" s="1355">
        <f t="shared" si="13"/>
        <v>111</v>
      </c>
      <c r="AA44" s="1352">
        <f t="shared" si="3"/>
        <v>1</v>
      </c>
      <c r="AB44" s="1352">
        <f t="shared" si="4"/>
        <v>1</v>
      </c>
      <c r="AC44" s="1352">
        <f t="shared" si="5"/>
        <v>1</v>
      </c>
    </row>
    <row r="45" spans="1:29" s="422" customFormat="1" ht="15.75" hidden="1"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1"/>
      <c r="Q45" s="1351">
        <f t="shared" si="14"/>
        <v>111</v>
      </c>
      <c r="R45" s="708" t="s">
        <v>14</v>
      </c>
      <c r="S45" s="709">
        <f t="shared" si="10"/>
        <v>100</v>
      </c>
      <c r="T45" s="708" t="s">
        <v>14</v>
      </c>
      <c r="U45" s="709">
        <f t="shared" si="11"/>
        <v>100</v>
      </c>
      <c r="V45" s="708" t="s">
        <v>14</v>
      </c>
      <c r="W45" s="709">
        <f t="shared" si="12"/>
        <v>100</v>
      </c>
      <c r="X45" s="710"/>
      <c r="Y45" s="3701"/>
      <c r="Z45" s="711">
        <f t="shared" si="13"/>
        <v>111</v>
      </c>
      <c r="AA45" s="1352">
        <f t="shared" si="3"/>
        <v>1</v>
      </c>
      <c r="AB45" s="1352">
        <f t="shared" si="4"/>
        <v>1</v>
      </c>
      <c r="AC45" s="1352">
        <f t="shared" si="5"/>
        <v>1</v>
      </c>
    </row>
    <row r="46" spans="1:29" ht="15">
      <c r="A46" s="430" t="s">
        <v>1843</v>
      </c>
      <c r="B46" s="1981" t="s">
        <v>1878</v>
      </c>
      <c r="C46" s="630" t="s">
        <v>0</v>
      </c>
      <c r="D46" s="432"/>
      <c r="E46" s="433">
        <f>土地案例!R2</f>
        <v>20691</v>
      </c>
      <c r="F46" s="434"/>
      <c r="G46" s="435">
        <f>土地案例!R3</f>
        <v>20797</v>
      </c>
      <c r="H46" s="436"/>
      <c r="I46" s="433">
        <f>土地案例!R4</f>
        <v>20795</v>
      </c>
      <c r="J46" s="436"/>
      <c r="K46" s="714"/>
      <c r="L46" s="2719"/>
      <c r="M46" s="2720"/>
      <c r="N46" s="2711"/>
      <c r="O46" s="2720"/>
      <c r="P46" s="3683" t="str">
        <f>A46</f>
        <v>成交单价</v>
      </c>
      <c r="Q46" s="3683"/>
      <c r="R46" s="3696">
        <f>E46</f>
        <v>20691</v>
      </c>
      <c r="S46" s="3696"/>
      <c r="T46" s="3696">
        <f>G46</f>
        <v>20797</v>
      </c>
      <c r="U46" s="3696"/>
      <c r="V46" s="3696">
        <f>I46</f>
        <v>20795</v>
      </c>
      <c r="W46" s="3696"/>
      <c r="X46" s="690"/>
      <c r="Y46" s="712"/>
      <c r="Z46" s="690"/>
      <c r="AA46" s="690"/>
      <c r="AB46" s="690"/>
      <c r="AC46" s="690"/>
    </row>
    <row r="47" spans="1:29" ht="15.75" thickBot="1">
      <c r="A47" s="437" t="s">
        <v>1792</v>
      </c>
      <c r="B47" s="631"/>
      <c r="C47" s="440">
        <f>R48</f>
        <v>17795</v>
      </c>
      <c r="D47" s="2316" t="s">
        <v>2137</v>
      </c>
      <c r="E47" s="440">
        <f>R47</f>
        <v>17614</v>
      </c>
      <c r="F47" s="2317"/>
      <c r="G47" s="439">
        <f>T47</f>
        <v>17704</v>
      </c>
      <c r="H47" s="2317"/>
      <c r="I47" s="440">
        <f>V47</f>
        <v>18068</v>
      </c>
      <c r="J47" s="2317"/>
      <c r="K47" s="2319">
        <f>F47+H47+J47</f>
        <v>0</v>
      </c>
      <c r="L47" s="2719"/>
      <c r="M47" s="2720"/>
      <c r="N47" s="2720"/>
      <c r="O47" s="2720"/>
      <c r="P47" s="3683" t="str">
        <f>A47</f>
        <v>比较价值（元/平方米）</v>
      </c>
      <c r="Q47" s="3683"/>
      <c r="R47" s="3702">
        <f>ROUND(PRODUCT(R46,AA7:AA45),0)</f>
        <v>17614</v>
      </c>
      <c r="S47" s="3702"/>
      <c r="T47" s="3702">
        <f>ROUND(PRODUCT(T46,AB7:AB45),0)</f>
        <v>17704</v>
      </c>
      <c r="U47" s="3702"/>
      <c r="V47" s="3702">
        <f>ROUND(PRODUCT(V46,AC7:AC45),0)</f>
        <v>18068</v>
      </c>
      <c r="W47" s="3702"/>
      <c r="X47" s="690"/>
      <c r="Y47" s="690"/>
      <c r="Z47" s="690"/>
      <c r="AA47" s="690"/>
      <c r="AB47" s="690"/>
      <c r="AC47" s="690"/>
    </row>
    <row r="48" spans="1:29" ht="15.75" thickBot="1">
      <c r="A48" s="441" t="s">
        <v>1879</v>
      </c>
      <c r="B48" s="442"/>
      <c r="C48" s="443">
        <f>R48</f>
        <v>17795</v>
      </c>
      <c r="D48" s="443"/>
      <c r="E48" s="443"/>
      <c r="F48" s="443"/>
      <c r="G48" s="443"/>
      <c r="H48" s="443"/>
      <c r="I48" s="443"/>
      <c r="J48" s="443"/>
      <c r="K48" s="715"/>
      <c r="L48" s="2719"/>
      <c r="M48" s="2720"/>
      <c r="N48" s="2720"/>
      <c r="O48" s="2720"/>
      <c r="P48" s="3703" t="str">
        <f>A48</f>
        <v>估价对象XX用房的比较价值（楼面单价，元/平方米）</v>
      </c>
      <c r="Q48" s="3704"/>
      <c r="R48" s="3705">
        <f>ROUND(IF(D47="简单平均",AVERAGE(R47:W47),R47*F47+T47*H47+V47*J47),0)</f>
        <v>17795</v>
      </c>
      <c r="S48" s="3705"/>
      <c r="T48" s="3705"/>
      <c r="U48" s="3705"/>
      <c r="V48" s="3705"/>
      <c r="W48" s="3705"/>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f>IF(E46&lt;E47,E47/E46-1,E46/E47-1)</f>
        <v>0.17469058703304197</v>
      </c>
      <c r="F51" s="449" t="str">
        <f>IF(OR(E51&gt;=0.3,E51&lt;=-0.3),"超过30%","")</f>
        <v/>
      </c>
      <c r="G51" s="448">
        <f>IF(G46&lt;G47,G47/G46-1,G46/G47-1)</f>
        <v>0.17470628106642572</v>
      </c>
      <c r="H51" s="449" t="str">
        <f>IF(OR(G51&gt;=0.3,G51&lt;=-0.3),"超过30%","")</f>
        <v/>
      </c>
      <c r="I51" s="448">
        <f>IF(I46&lt;I47,I47/I46-1,I46/I47-1)</f>
        <v>0.15092982067744076</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f>IF(E47&lt;G47,G47/E47-1,E47/G47-1)</f>
        <v>5.1095719314182553E-3</v>
      </c>
      <c r="F52" s="449" t="str">
        <f>IF(OR(E52&gt;=0.2,E52&lt;=-0.2),"超过20%","")</f>
        <v/>
      </c>
      <c r="G52" s="448">
        <f>IF(G47&lt;I47,I47/G47-1,G47/I47-1)</f>
        <v>2.0560325350203357E-2</v>
      </c>
      <c r="H52" s="449" t="str">
        <f>IF(OR(G52&gt;=0.2,G52&lt;=-0.2),"超过20%","")</f>
        <v/>
      </c>
      <c r="I52" s="448">
        <f>IF(I47&lt;E47,E47/I47-1,I47/E47-1)</f>
        <v>2.5774951742931762E-2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f>IF(E46&lt;G46,G46/E46-1,E46/G46-1)</f>
        <v>5.1230003383113676E-3</v>
      </c>
      <c r="F53" s="449" t="str">
        <f>IF(OR(E53&gt;=0.3,E53&lt;=-0.3),"超过30%","")</f>
        <v/>
      </c>
      <c r="G53" s="448">
        <f>IF(G46&lt;I46,I46/G46-1,G46/I46-1)</f>
        <v>9.6176965616701082E-5</v>
      </c>
      <c r="H53" s="449" t="str">
        <f>IF(OR(G53&gt;=0.3,G53&lt;=-0.3),"超过30%","")</f>
        <v/>
      </c>
      <c r="I53" s="448">
        <f>IF(I46&lt;E46,E46/I46-1,I46/E46-1)</f>
        <v>5.0263399545695808E-3</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2" t="s">
        <v>1882</v>
      </c>
      <c r="D55" s="1983" t="s">
        <v>1883</v>
      </c>
      <c r="E55" s="634" t="s">
        <v>1884</v>
      </c>
      <c r="F55" s="890" t="s">
        <v>1885</v>
      </c>
      <c r="G55" s="3684" t="s">
        <v>1886</v>
      </c>
      <c r="H55" s="3706"/>
      <c r="I55" s="135" t="s">
        <v>1887</v>
      </c>
      <c r="J55" s="1984">
        <f>项目基本情况!F35</f>
        <v>0</v>
      </c>
      <c r="K55" s="1985"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f>C48</f>
        <v>17795</v>
      </c>
      <c r="C56" s="638">
        <v>1</v>
      </c>
      <c r="D56" s="944">
        <v>1</v>
      </c>
      <c r="E56" s="638">
        <f>'数据-汇总表'!E8+'数据-汇总表'!E9</f>
        <v>38627.68</v>
      </c>
      <c r="F56" s="886">
        <f t="shared" ref="F56:F64" si="15">ROUND(B56*E56/10000,0)</f>
        <v>68738</v>
      </c>
      <c r="G56" s="3707"/>
      <c r="H56" s="368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f>ROUND($C$48*C57*D57,0)</f>
        <v>2669</v>
      </c>
      <c r="C57" s="171">
        <f t="shared" ref="C57:C64" si="16">IF($C$55="北京市系数",I57,J57)</f>
        <v>0.6</v>
      </c>
      <c r="D57" s="945">
        <v>0.25</v>
      </c>
      <c r="E57" s="642">
        <f>'数据-基础表'!K17+'数据-基础表'!K18</f>
        <v>14121.230000000001</v>
      </c>
      <c r="F57" s="886">
        <f t="shared" si="15"/>
        <v>3769</v>
      </c>
      <c r="G57" s="3001" t="s">
        <v>1891</v>
      </c>
      <c r="H57" s="887" t="str">
        <f>项目基本情况!B37</f>
        <v>六级</v>
      </c>
      <c r="I57" s="891">
        <f>SUMIF(修正!A57:A68,H57,修正!B57:B68)</f>
        <v>0.6</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f t="shared" ref="B58:B64" si="17">ROUND($C$48*C58*D58,0)</f>
        <v>1335</v>
      </c>
      <c r="C58" s="171">
        <f t="shared" si="16"/>
        <v>0.3</v>
      </c>
      <c r="D58" s="945">
        <v>0.25</v>
      </c>
      <c r="E58" s="642"/>
      <c r="F58" s="886">
        <f t="shared" si="15"/>
        <v>0</v>
      </c>
      <c r="G58" s="3002"/>
      <c r="H58" s="887" t="str">
        <f>项目基本情况!B37</f>
        <v>六级</v>
      </c>
      <c r="I58" s="891">
        <f>SUMIF(修正!A57:A68,H58,修正!C57:C68)</f>
        <v>0.3</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f t="shared" si="17"/>
        <v>1112</v>
      </c>
      <c r="C59" s="171">
        <f t="shared" si="16"/>
        <v>0.25</v>
      </c>
      <c r="D59" s="945">
        <v>0.25</v>
      </c>
      <c r="E59" s="642"/>
      <c r="F59" s="886">
        <f t="shared" si="15"/>
        <v>0</v>
      </c>
      <c r="G59" s="3002"/>
      <c r="H59" s="887" t="str">
        <f>项目基本情况!B37</f>
        <v>六级</v>
      </c>
      <c r="I59" s="891">
        <f>SUMIF(修正!A57:A68,H59,修正!D57:D68)</f>
        <v>0.25</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f t="shared" si="17"/>
        <v>0</v>
      </c>
      <c r="C60" s="171">
        <f t="shared" si="16"/>
        <v>0</v>
      </c>
      <c r="D60" s="945">
        <v>0.25</v>
      </c>
      <c r="E60" s="217">
        <f>'数据-汇总表'!E11</f>
        <v>0</v>
      </c>
      <c r="F60" s="886">
        <f t="shared" si="15"/>
        <v>0</v>
      </c>
      <c r="G60" s="1986"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f t="shared" si="17"/>
        <v>0</v>
      </c>
      <c r="C62" s="171">
        <f t="shared" si="16"/>
        <v>0</v>
      </c>
      <c r="D62" s="945">
        <v>0.25</v>
      </c>
      <c r="E62" s="217">
        <f>'数据-汇总表'!E13</f>
        <v>0</v>
      </c>
      <c r="F62" s="886">
        <f t="shared" si="15"/>
        <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f t="shared" si="17"/>
        <v>667</v>
      </c>
      <c r="C63" s="171">
        <f t="shared" si="16"/>
        <v>0.15</v>
      </c>
      <c r="D63" s="945">
        <v>0.25</v>
      </c>
      <c r="E63" s="217">
        <f>'数据-汇总表'!E14</f>
        <v>12362.01</v>
      </c>
      <c r="F63" s="886">
        <f t="shared" si="15"/>
        <v>825</v>
      </c>
      <c r="G63" s="1986" t="s">
        <v>1891</v>
      </c>
      <c r="H63" s="887" t="str">
        <f>项目基本情况!B37</f>
        <v>六级</v>
      </c>
      <c r="I63" s="891">
        <f>SUMIF(修正!A57:A68,H63,修正!G57:G68)</f>
        <v>0.15</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f t="shared" si="17"/>
        <v>0</v>
      </c>
      <c r="C64" s="171">
        <f t="shared" si="16"/>
        <v>0</v>
      </c>
      <c r="D64" s="945">
        <v>0.25</v>
      </c>
      <c r="E64" s="217">
        <f>'数据-汇总表'!E15</f>
        <v>0</v>
      </c>
      <c r="F64" s="886">
        <f t="shared" si="15"/>
        <v>0</v>
      </c>
      <c r="G64" s="1987"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65110.920000000006</v>
      </c>
      <c r="F65" s="645">
        <f>IF(B46="楼面地价",SUM(F56:F64),ROUND(C48*E65/10000,0))</f>
        <v>73332</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8" t="s">
        <v>1903</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1"/>
      <c r="Q69" s="2736"/>
      <c r="R69" s="2736"/>
      <c r="S69" s="2736"/>
      <c r="T69" s="2736"/>
      <c r="U69" s="2736"/>
      <c r="V69" s="2736"/>
      <c r="W69" s="2736"/>
      <c r="X69" s="2736"/>
      <c r="Y69" s="2736"/>
      <c r="Z69" s="2736"/>
      <c r="AA69" s="2736"/>
      <c r="AB69" s="2736"/>
      <c r="AC69" s="2736"/>
    </row>
    <row r="70" spans="1:29" s="108" customFormat="1" ht="30" customHeight="1">
      <c r="A70" s="1989" t="s">
        <v>1904</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t="s">
        <v>3810</v>
      </c>
      <c r="D74" s="479" t="s">
        <v>3807</v>
      </c>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95</v>
      </c>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0（含）-3</v>
      </c>
      <c r="D78" s="496" t="str">
        <f t="shared" ref="D78:L78" si="21">D79&amp;"（含）"&amp;"-"&amp;E79</f>
        <v>3（含）-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3</v>
      </c>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95</v>
      </c>
      <c r="E90" s="493">
        <f>D90-$K17</f>
        <v>90</v>
      </c>
      <c r="F90" s="493">
        <f>E90-$K17</f>
        <v>85</v>
      </c>
      <c r="G90" s="493">
        <f>F90-$K17</f>
        <v>80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95</v>
      </c>
      <c r="E92" s="493">
        <f>D92-$K19</f>
        <v>90</v>
      </c>
      <c r="F92" s="493">
        <f>E92-$K19</f>
        <v>85</v>
      </c>
      <c r="G92" s="493">
        <f>F92-$K19</f>
        <v>80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0(含)-20000</v>
      </c>
      <c r="D115" s="478" t="str">
        <f t="shared" ref="D115:M115" si="26">D116&amp;"(含)"&amp;"-"&amp;E116</f>
        <v>20000(含)-50000</v>
      </c>
      <c r="E115" s="478" t="str">
        <f t="shared" si="26"/>
        <v>50000(含)-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50000</v>
      </c>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f>C117+2</f>
        <v>102</v>
      </c>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3854" t="s">
        <v>3813</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3855" t="s">
        <v>3815</v>
      </c>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3855" t="s">
        <v>3817</v>
      </c>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3855" t="s">
        <v>3818</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AL55" sqref="AL5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2"/>
      <c r="G1" s="1488"/>
      <c r="H1" s="1488"/>
      <c r="I1" s="1488"/>
      <c r="J1" s="1488"/>
      <c r="K1" s="1488"/>
      <c r="L1" s="1488"/>
      <c r="M1" s="1488"/>
      <c r="N1" s="1488"/>
      <c r="O1" s="1488"/>
      <c r="P1" s="1488"/>
      <c r="Q1" s="1488"/>
      <c r="R1" s="1488"/>
      <c r="S1" s="1488"/>
    </row>
    <row r="2" spans="1:22" ht="15.75">
      <c r="A2" s="1869" t="s">
        <v>1461</v>
      </c>
      <c r="B2" s="1870">
        <f ca="1">SUMIF(B6:B13,"&lt;&gt;#ref!",B6:B13)</f>
        <v>103001</v>
      </c>
      <c r="C2" s="1871" t="s">
        <v>1650</v>
      </c>
      <c r="D2" s="1872" t="s">
        <v>1651</v>
      </c>
      <c r="E2" s="2602">
        <f>SUM(E6:E13)</f>
        <v>65662.340000000011</v>
      </c>
      <c r="F2" s="2702"/>
      <c r="G2" s="1488"/>
      <c r="H2" s="1488"/>
      <c r="I2" s="1488"/>
      <c r="J2" s="1488"/>
      <c r="K2" s="1488"/>
      <c r="L2" s="1488"/>
      <c r="M2" s="1488"/>
      <c r="N2" s="1488"/>
      <c r="O2" s="1488"/>
      <c r="P2" s="1488"/>
      <c r="Q2" s="1488"/>
      <c r="R2" s="1488"/>
      <c r="S2" s="1488"/>
    </row>
    <row r="3" spans="1:22" ht="15.75">
      <c r="A3" s="1869" t="s">
        <v>686</v>
      </c>
      <c r="B3" s="2596">
        <f ca="1">ROUND(B2*10000/E2,0)</f>
        <v>15686</v>
      </c>
      <c r="C3" s="1871" t="s">
        <v>1658</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1652</v>
      </c>
      <c r="B5" s="3708" t="s">
        <v>1653</v>
      </c>
      <c r="C5" s="3709"/>
      <c r="D5" s="2703"/>
      <c r="E5" s="1873" t="s">
        <v>1654</v>
      </c>
      <c r="F5" s="1874" t="s">
        <v>1655</v>
      </c>
      <c r="G5" s="1488"/>
      <c r="H5" s="1488"/>
      <c r="I5" s="1488"/>
      <c r="J5" s="1488"/>
      <c r="K5" s="1488"/>
      <c r="L5" s="1488"/>
      <c r="M5" s="1488"/>
      <c r="N5" s="1488"/>
      <c r="O5" s="1488"/>
      <c r="P5" s="1488"/>
      <c r="Q5" s="1488"/>
      <c r="R5" s="1488"/>
      <c r="S5" s="1488"/>
    </row>
    <row r="6" spans="1:22">
      <c r="A6" s="2599" t="str">
        <f>'数据-取费表'!AN6</f>
        <v>收益法-商业</v>
      </c>
      <c r="B6" s="2597">
        <f ca="1">IF(F6="是",'数据-取费表'!AO6,0)</f>
        <v>97836</v>
      </c>
      <c r="C6" s="1871" t="s">
        <v>1650</v>
      </c>
      <c r="D6" s="2704"/>
      <c r="E6" s="2601">
        <f>IF(OR(A6=0,F6="否"),0,'数据-取费表'!K6+'数据-取费表'!S6)</f>
        <v>53195.640000000007</v>
      </c>
      <c r="F6" s="1875" t="s">
        <v>1656</v>
      </c>
      <c r="G6" s="1488"/>
      <c r="H6" s="1488"/>
      <c r="I6" s="1488"/>
      <c r="J6" s="1488"/>
      <c r="K6" s="1488"/>
      <c r="L6" s="1488"/>
      <c r="M6" s="1488"/>
      <c r="N6" s="1488"/>
      <c r="O6" s="1488"/>
      <c r="P6" s="1488"/>
      <c r="Q6" s="1488"/>
      <c r="R6" s="1488"/>
      <c r="S6" s="1488"/>
    </row>
    <row r="7" spans="1:22">
      <c r="A7" s="2599" t="str">
        <f>'数据-取费表'!AN7</f>
        <v>收益法-车库</v>
      </c>
      <c r="B7" s="2597">
        <f ca="1">IF(F7="是",'数据-取费表'!AO7,0)</f>
        <v>5165</v>
      </c>
      <c r="C7" s="1871" t="s">
        <v>1650</v>
      </c>
      <c r="D7" s="2704"/>
      <c r="E7" s="2601">
        <f>IF(OR(A7=0,F7="否"),0,'数据-取费表'!K7+'数据-取费表'!S7)</f>
        <v>12466.7</v>
      </c>
      <c r="F7" s="1875" t="s">
        <v>1656</v>
      </c>
      <c r="G7" s="1488"/>
      <c r="H7" s="1488"/>
      <c r="I7" s="1488"/>
      <c r="J7" s="1488"/>
      <c r="K7" s="1488"/>
      <c r="L7" s="1488"/>
      <c r="M7" s="1488"/>
      <c r="N7" s="1488"/>
      <c r="O7" s="1488"/>
      <c r="P7" s="1488"/>
      <c r="Q7" s="1488"/>
      <c r="R7" s="1488"/>
      <c r="S7" s="1488"/>
    </row>
    <row r="8" spans="1:22">
      <c r="A8" s="2599">
        <f>'数据-取费表'!AN8</f>
        <v>0</v>
      </c>
      <c r="B8" s="2597">
        <f>IF(F8="是",'数据-取费表'!AO8,0)</f>
        <v>0</v>
      </c>
      <c r="C8" s="1871" t="s">
        <v>1650</v>
      </c>
      <c r="D8" s="2704"/>
      <c r="E8" s="2601">
        <f>IF(OR(A8=0,F8="否"),0,'数据-取费表'!K8+'数据-取费表'!S8)</f>
        <v>0</v>
      </c>
      <c r="F8" s="1875"/>
      <c r="G8" s="1488"/>
      <c r="H8" s="1488"/>
      <c r="I8" s="1488"/>
      <c r="J8" s="1488"/>
      <c r="K8" s="1488"/>
      <c r="L8" s="1488"/>
      <c r="M8" s="1488"/>
      <c r="N8" s="1488"/>
      <c r="O8" s="1488"/>
      <c r="P8" s="1488"/>
      <c r="Q8" s="1488"/>
      <c r="R8" s="1488"/>
      <c r="S8" s="1488"/>
    </row>
    <row r="9" spans="1:22">
      <c r="A9" s="2599">
        <f>'数据-取费表'!AN9</f>
        <v>0</v>
      </c>
      <c r="B9" s="2597">
        <f>IF(F9="是",'数据-取费表'!AO9,0)</f>
        <v>0</v>
      </c>
      <c r="C9" s="1871" t="s">
        <v>1650</v>
      </c>
      <c r="D9" s="2704"/>
      <c r="E9" s="2601">
        <f>IF(OR(A9=0,F9="否"),0,'数据-取费表'!K9+'数据-取费表'!S9)</f>
        <v>0</v>
      </c>
      <c r="F9" s="1875"/>
      <c r="G9" s="1488"/>
      <c r="H9" s="1488"/>
      <c r="I9" s="1488"/>
      <c r="J9" s="1488"/>
      <c r="K9" s="1488"/>
      <c r="L9" s="1488"/>
      <c r="M9" s="1488"/>
      <c r="N9" s="1488"/>
      <c r="O9" s="1488"/>
      <c r="P9" s="1488"/>
      <c r="Q9" s="1488"/>
      <c r="R9" s="1488"/>
      <c r="S9" s="1488"/>
    </row>
    <row r="10" spans="1:22">
      <c r="A10" s="2599">
        <f>'数据-取费表'!AN10</f>
        <v>0</v>
      </c>
      <c r="B10" s="2597">
        <f>IF(F10="是",'数据-取费表'!AO10,0)</f>
        <v>0</v>
      </c>
      <c r="C10" s="1871" t="s">
        <v>1650</v>
      </c>
      <c r="D10" s="2704"/>
      <c r="E10" s="2601">
        <f>IF(OR(A10=0,F10="否"),0,'数据-取费表'!K10+'数据-取费表'!S10)</f>
        <v>0</v>
      </c>
      <c r="F10" s="1875"/>
      <c r="G10" s="1488"/>
      <c r="H10" s="1488"/>
      <c r="I10" s="1488"/>
      <c r="J10" s="1488"/>
      <c r="K10" s="1488"/>
      <c r="L10" s="1488"/>
      <c r="M10" s="1488"/>
      <c r="N10" s="1488"/>
      <c r="O10" s="1488"/>
      <c r="P10" s="1488"/>
      <c r="Q10" s="1488"/>
      <c r="R10" s="1488"/>
      <c r="S10" s="1488"/>
    </row>
    <row r="11" spans="1:22">
      <c r="A11" s="2599">
        <f>'数据-取费表'!AN11</f>
        <v>0</v>
      </c>
      <c r="B11" s="2597">
        <f>IF(F11="是",'数据-取费表'!AO11,0)</f>
        <v>0</v>
      </c>
      <c r="C11" s="1871" t="s">
        <v>1650</v>
      </c>
      <c r="D11" s="2704"/>
      <c r="E11" s="2601">
        <f>IF(OR(A11=0,F11="否"),0,'数据-取费表'!K11+'数据-取费表'!S11)</f>
        <v>0</v>
      </c>
      <c r="F11" s="1875"/>
      <c r="G11" s="1488"/>
      <c r="H11" s="1488"/>
      <c r="I11" s="1488"/>
      <c r="J11" s="1488"/>
      <c r="K11" s="1488"/>
      <c r="L11" s="1488"/>
      <c r="M11" s="1488"/>
      <c r="N11" s="1488"/>
      <c r="O11" s="1488"/>
      <c r="P11" s="1488"/>
      <c r="Q11" s="1488"/>
      <c r="R11" s="1488"/>
      <c r="S11" s="1488"/>
    </row>
    <row r="12" spans="1:22">
      <c r="A12" s="2599">
        <f>'数据-取费表'!AN12</f>
        <v>0</v>
      </c>
      <c r="B12" s="2597">
        <f>IF(F12="是",'数据-取费表'!AO12,0)</f>
        <v>0</v>
      </c>
      <c r="C12" s="1871" t="s">
        <v>1650</v>
      </c>
      <c r="D12" s="2704"/>
      <c r="E12" s="2601">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0">
        <f>'数据-取费表'!AN13</f>
        <v>0</v>
      </c>
      <c r="B13" s="2597">
        <f>IF(F13="是",'数据-取费表'!AO13,0)</f>
        <v>0</v>
      </c>
      <c r="C13" s="1876" t="s">
        <v>1650</v>
      </c>
      <c r="D13" s="2705"/>
      <c r="E13" s="2601">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1"/>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65662.34</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1665</v>
      </c>
      <c r="B4" s="356"/>
      <c r="C4" s="3684" t="s">
        <v>1666</v>
      </c>
      <c r="D4" s="3685"/>
      <c r="E4" s="3686" t="s">
        <v>1667</v>
      </c>
      <c r="F4" s="3687"/>
      <c r="G4" s="3684" t="s">
        <v>1668</v>
      </c>
      <c r="H4" s="3685"/>
      <c r="I4" s="3684" t="s">
        <v>1669</v>
      </c>
      <c r="J4" s="3685"/>
      <c r="K4" s="1888" t="s">
        <v>1670</v>
      </c>
      <c r="L4" s="2710"/>
      <c r="M4" s="2711"/>
      <c r="N4" s="2711"/>
      <c r="O4" s="2711"/>
      <c r="P4" s="3688" t="s">
        <v>1671</v>
      </c>
      <c r="Q4" s="3689"/>
      <c r="R4" s="3671" t="s">
        <v>1667</v>
      </c>
      <c r="S4" s="3672"/>
      <c r="T4" s="3671" t="s">
        <v>1668</v>
      </c>
      <c r="U4" s="3672"/>
      <c r="V4" s="3696" t="s">
        <v>1669</v>
      </c>
      <c r="W4" s="3696"/>
      <c r="X4" s="1354"/>
      <c r="Y4" s="3671" t="s">
        <v>1671</v>
      </c>
      <c r="Z4" s="3672"/>
      <c r="AA4" s="3666" t="s">
        <v>1667</v>
      </c>
      <c r="AB4" s="3666" t="s">
        <v>1668</v>
      </c>
      <c r="AC4" s="3666" t="s">
        <v>1669</v>
      </c>
    </row>
    <row r="5" spans="1:29" ht="15">
      <c r="A5" s="358"/>
      <c r="B5" s="359"/>
      <c r="C5" s="3677" t="s">
        <v>1672</v>
      </c>
      <c r="D5" s="3678"/>
      <c r="E5" s="3675" t="s">
        <v>1673</v>
      </c>
      <c r="F5" s="3676"/>
      <c r="G5" s="3677" t="s">
        <v>1674</v>
      </c>
      <c r="H5" s="3678"/>
      <c r="I5" s="3677" t="s">
        <v>1675</v>
      </c>
      <c r="J5" s="3678"/>
      <c r="K5" s="1889"/>
      <c r="L5" s="2710"/>
      <c r="M5" s="2711"/>
      <c r="N5" s="2711"/>
      <c r="O5" s="2711"/>
      <c r="P5" s="3690"/>
      <c r="Q5" s="3691"/>
      <c r="R5" s="3673"/>
      <c r="S5" s="3674"/>
      <c r="T5" s="3673"/>
      <c r="U5" s="3674"/>
      <c r="V5" s="3696"/>
      <c r="W5" s="3696"/>
      <c r="X5" s="1354"/>
      <c r="Y5" s="3673"/>
      <c r="Z5" s="3674"/>
      <c r="AA5" s="3667"/>
      <c r="AB5" s="3667"/>
      <c r="AC5" s="3667"/>
    </row>
    <row r="6" spans="1:29" ht="15.75" thickBot="1">
      <c r="A6" s="360"/>
      <c r="B6" s="361"/>
      <c r="C6" s="3679" t="s">
        <v>1676</v>
      </c>
      <c r="D6" s="3680"/>
      <c r="E6" s="3681" t="s">
        <v>1676</v>
      </c>
      <c r="F6" s="3682"/>
      <c r="G6" s="3679" t="s">
        <v>1676</v>
      </c>
      <c r="H6" s="3680"/>
      <c r="I6" s="3679" t="s">
        <v>1676</v>
      </c>
      <c r="J6" s="3680"/>
      <c r="K6" s="1889" t="s">
        <v>1677</v>
      </c>
      <c r="L6" s="2710"/>
      <c r="M6" s="2711"/>
      <c r="N6" s="2711"/>
      <c r="O6" s="2711"/>
      <c r="P6" s="3692"/>
      <c r="Q6" s="3693"/>
      <c r="R6" s="3673"/>
      <c r="S6" s="3674"/>
      <c r="T6" s="3694"/>
      <c r="U6" s="3695"/>
      <c r="V6" s="3696"/>
      <c r="W6" s="3696"/>
      <c r="X6" s="1354"/>
      <c r="Y6" s="3694"/>
      <c r="Z6" s="3695"/>
      <c r="AA6" s="3668"/>
      <c r="AB6" s="3668"/>
      <c r="AC6" s="3668"/>
    </row>
    <row r="7" spans="1:29" s="108" customFormat="1" ht="15.75" thickBot="1">
      <c r="A7" s="362" t="s">
        <v>1678</v>
      </c>
      <c r="B7" s="363"/>
      <c r="C7" s="364">
        <f>'数据-取费表'!B2</f>
        <v>45058</v>
      </c>
      <c r="D7" s="365">
        <v>100</v>
      </c>
      <c r="E7" s="366"/>
      <c r="F7" s="367">
        <f>SUMIF(58:58,YEAR(E7)&amp;"-"&amp;MONTH(E7),59:59)</f>
        <v>0</v>
      </c>
      <c r="G7" s="366"/>
      <c r="H7" s="365">
        <f>SUMIF(58:58,YEAR(G7)&amp;"-"&amp;MONTH(G7),59:59)</f>
        <v>0</v>
      </c>
      <c r="I7" s="366"/>
      <c r="J7" s="365">
        <f>SUMIF(58:58,YEAR(I7)&amp;"-"&amp;MONTH(I7),59:59)</f>
        <v>0</v>
      </c>
      <c r="K7" s="1890"/>
      <c r="L7" s="2712"/>
      <c r="M7" s="2713"/>
      <c r="N7" s="2713"/>
      <c r="O7" s="2713"/>
      <c r="P7" s="3669" t="s">
        <v>1679</v>
      </c>
      <c r="Q7" s="3697"/>
      <c r="R7" s="701" t="s">
        <v>20</v>
      </c>
      <c r="S7" s="702">
        <f t="shared" ref="S7:S15" si="0">F7</f>
        <v>0</v>
      </c>
      <c r="T7" s="701" t="s">
        <v>20</v>
      </c>
      <c r="U7" s="702">
        <f t="shared" ref="U7:U15" si="1">H7</f>
        <v>0</v>
      </c>
      <c r="V7" s="701" t="s">
        <v>20</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2"/>
      <c r="M8" s="2713"/>
      <c r="N8" s="2713"/>
      <c r="O8" s="2713"/>
      <c r="P8" s="3669" t="s">
        <v>1682</v>
      </c>
      <c r="Q8" s="3670"/>
      <c r="R8" s="701" t="s">
        <v>20</v>
      </c>
      <c r="S8" s="702">
        <f t="shared" si="0"/>
        <v>100</v>
      </c>
      <c r="T8" s="701" t="s">
        <v>20</v>
      </c>
      <c r="U8" s="702">
        <f t="shared" si="1"/>
        <v>100</v>
      </c>
      <c r="V8" s="701" t="s">
        <v>20</v>
      </c>
      <c r="W8" s="702">
        <f t="shared" si="2"/>
        <v>100</v>
      </c>
      <c r="X8" s="703"/>
      <c r="Y8" s="3669" t="s">
        <v>1682</v>
      </c>
      <c r="Z8" s="367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2"/>
      <c r="M9" s="2713"/>
      <c r="N9" s="2713"/>
      <c r="O9" s="2713"/>
      <c r="P9" s="3707" t="s">
        <v>1685</v>
      </c>
      <c r="Q9" s="1342"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07"/>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07"/>
      <c r="Q11" s="1342"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707"/>
      <c r="Q12" s="1342">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707"/>
      <c r="Q13" s="1342">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707"/>
      <c r="Q14" s="1342">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1689</v>
      </c>
      <c r="B15" s="61" t="s">
        <v>1256</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6" t="s">
        <v>1690</v>
      </c>
      <c r="Q15" s="1351" t="str">
        <f t="shared" si="6"/>
        <v>居住社区成熟度</v>
      </c>
      <c r="R15" s="705" t="s">
        <v>18</v>
      </c>
      <c r="S15" s="706">
        <f t="shared" si="0"/>
        <v>100</v>
      </c>
      <c r="T15" s="705" t="s">
        <v>18</v>
      </c>
      <c r="U15" s="706">
        <f t="shared" si="1"/>
        <v>100</v>
      </c>
      <c r="V15" s="705" t="s">
        <v>18</v>
      </c>
      <c r="W15" s="706">
        <f t="shared" si="2"/>
        <v>100</v>
      </c>
      <c r="X15" s="1354"/>
      <c r="Y15" s="3698"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7"/>
      <c r="M16" s="2711"/>
      <c r="N16" s="2711"/>
      <c r="O16" s="2711"/>
      <c r="P16" s="3717"/>
      <c r="Q16" s="1351"/>
      <c r="R16" s="705"/>
      <c r="S16" s="706"/>
      <c r="T16" s="705"/>
      <c r="U16" s="706"/>
      <c r="V16" s="705"/>
      <c r="W16" s="706"/>
      <c r="X16" s="1354"/>
      <c r="Y16" s="3699"/>
      <c r="Z16" s="1355"/>
      <c r="AA16" s="1352">
        <v>1</v>
      </c>
      <c r="AB16" s="1352">
        <v>1</v>
      </c>
      <c r="AC16" s="1352">
        <v>1</v>
      </c>
    </row>
    <row r="17" spans="1:29" ht="71.2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7"/>
      <c r="Q17" s="1351" t="str">
        <f>B17</f>
        <v>交通便捷度</v>
      </c>
      <c r="R17" s="705" t="s">
        <v>18</v>
      </c>
      <c r="S17" s="706">
        <f>F17</f>
        <v>100</v>
      </c>
      <c r="T17" s="705" t="s">
        <v>18</v>
      </c>
      <c r="U17" s="706">
        <f>H17</f>
        <v>100</v>
      </c>
      <c r="V17" s="705" t="s">
        <v>18</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7"/>
      <c r="M18" s="2711"/>
      <c r="N18" s="2711"/>
      <c r="O18" s="2711"/>
      <c r="P18" s="3717"/>
      <c r="Q18" s="1351"/>
      <c r="R18" s="705"/>
      <c r="S18" s="706"/>
      <c r="T18" s="705"/>
      <c r="U18" s="706"/>
      <c r="V18" s="705"/>
      <c r="W18" s="706"/>
      <c r="X18" s="1354"/>
      <c r="Y18" s="3699"/>
      <c r="Z18" s="1355"/>
      <c r="AA18" s="1352">
        <v>1</v>
      </c>
      <c r="AB18" s="1352">
        <v>1</v>
      </c>
      <c r="AC18" s="1352">
        <v>1</v>
      </c>
    </row>
    <row r="19" spans="1:29" ht="42.75">
      <c r="A19" s="379"/>
      <c r="B19" s="402" t="s">
        <v>1257</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7"/>
      <c r="Q19" s="1351" t="str">
        <f>B19</f>
        <v>公共配套设施</v>
      </c>
      <c r="R19" s="705" t="s">
        <v>18</v>
      </c>
      <c r="S19" s="706">
        <f>F19</f>
        <v>100</v>
      </c>
      <c r="T19" s="705" t="s">
        <v>18</v>
      </c>
      <c r="U19" s="706">
        <f>H19</f>
        <v>100</v>
      </c>
      <c r="V19" s="705" t="s">
        <v>18</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7"/>
      <c r="M20" s="2711"/>
      <c r="N20" s="2711"/>
      <c r="O20" s="2711"/>
      <c r="P20" s="3717"/>
      <c r="Q20" s="1351"/>
      <c r="R20" s="705"/>
      <c r="S20" s="706"/>
      <c r="T20" s="705"/>
      <c r="U20" s="706"/>
      <c r="V20" s="705"/>
      <c r="W20" s="706"/>
      <c r="X20" s="1354"/>
      <c r="Y20" s="3699"/>
      <c r="Z20" s="1355"/>
      <c r="AA20" s="1352">
        <v>1</v>
      </c>
      <c r="AB20" s="1352">
        <v>1</v>
      </c>
      <c r="AC20" s="1352">
        <v>1</v>
      </c>
    </row>
    <row r="21" spans="1:29" ht="28.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7"/>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7"/>
      <c r="M22" s="2711"/>
      <c r="N22" s="2711"/>
      <c r="O22" s="2711"/>
      <c r="P22" s="3717"/>
      <c r="Q22" s="1351"/>
      <c r="R22" s="705"/>
      <c r="S22" s="706"/>
      <c r="T22" s="705"/>
      <c r="U22" s="706"/>
      <c r="V22" s="705"/>
      <c r="W22" s="706"/>
      <c r="X22" s="1354"/>
      <c r="Y22" s="3699"/>
      <c r="Z22" s="1355"/>
      <c r="AA22" s="1352">
        <v>1</v>
      </c>
      <c r="AB22" s="1352">
        <v>1</v>
      </c>
      <c r="AC22" s="1352">
        <v>1</v>
      </c>
    </row>
    <row r="23" spans="1:29" ht="42.7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7"/>
      <c r="Q23" s="1351" t="str">
        <f>B23</f>
        <v>自然及人文环境</v>
      </c>
      <c r="R23" s="705" t="s">
        <v>18</v>
      </c>
      <c r="S23" s="706">
        <f>F23</f>
        <v>100</v>
      </c>
      <c r="T23" s="705" t="s">
        <v>18</v>
      </c>
      <c r="U23" s="706">
        <f>H23</f>
        <v>100</v>
      </c>
      <c r="V23" s="705" t="s">
        <v>18</v>
      </c>
      <c r="W23" s="706">
        <f>J23</f>
        <v>100</v>
      </c>
      <c r="X23" s="1354"/>
      <c r="Y23" s="369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7"/>
      <c r="M24" s="2711"/>
      <c r="N24" s="2711"/>
      <c r="O24" s="2711"/>
      <c r="P24" s="3717"/>
      <c r="Q24" s="1351"/>
      <c r="R24" s="705"/>
      <c r="S24" s="706"/>
      <c r="T24" s="705"/>
      <c r="U24" s="706"/>
      <c r="V24" s="705"/>
      <c r="W24" s="706"/>
      <c r="X24" s="1354"/>
      <c r="Y24" s="3699"/>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71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9"/>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717"/>
      <c r="Q26" s="1351" t="str">
        <f t="shared" si="11"/>
        <v>朝向</v>
      </c>
      <c r="R26" s="705" t="s">
        <v>18</v>
      </c>
      <c r="S26" s="706">
        <f t="shared" si="12"/>
        <v>100</v>
      </c>
      <c r="T26" s="705" t="s">
        <v>18</v>
      </c>
      <c r="U26" s="706">
        <f t="shared" si="13"/>
        <v>100</v>
      </c>
      <c r="V26" s="705" t="s">
        <v>18</v>
      </c>
      <c r="W26" s="706">
        <f t="shared" si="14"/>
        <v>100</v>
      </c>
      <c r="X26" s="1354"/>
      <c r="Y26" s="369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717"/>
      <c r="Q27" s="1342">
        <f t="shared" si="11"/>
        <v>111</v>
      </c>
      <c r="R27" s="701" t="s">
        <v>18</v>
      </c>
      <c r="S27" s="702">
        <f t="shared" si="12"/>
        <v>100</v>
      </c>
      <c r="T27" s="701" t="s">
        <v>18</v>
      </c>
      <c r="U27" s="702">
        <f t="shared" si="13"/>
        <v>100</v>
      </c>
      <c r="V27" s="701" t="s">
        <v>18</v>
      </c>
      <c r="W27" s="702">
        <f t="shared" si="14"/>
        <v>100</v>
      </c>
      <c r="X27" s="703"/>
      <c r="Y27" s="369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717"/>
      <c r="Q28" s="1351">
        <f t="shared" si="11"/>
        <v>111</v>
      </c>
      <c r="R28" s="705" t="s">
        <v>18</v>
      </c>
      <c r="S28" s="706">
        <f t="shared" si="12"/>
        <v>100</v>
      </c>
      <c r="T28" s="705" t="s">
        <v>18</v>
      </c>
      <c r="U28" s="706">
        <f t="shared" si="13"/>
        <v>100</v>
      </c>
      <c r="V28" s="705" t="s">
        <v>18</v>
      </c>
      <c r="W28" s="706">
        <f t="shared" si="14"/>
        <v>100</v>
      </c>
      <c r="X28" s="1354"/>
      <c r="Y28" s="369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717"/>
      <c r="Q29" s="1351">
        <f t="shared" si="11"/>
        <v>111</v>
      </c>
      <c r="R29" s="705" t="s">
        <v>18</v>
      </c>
      <c r="S29" s="706">
        <f t="shared" si="12"/>
        <v>100</v>
      </c>
      <c r="T29" s="705" t="s">
        <v>18</v>
      </c>
      <c r="U29" s="706">
        <f t="shared" si="13"/>
        <v>100</v>
      </c>
      <c r="V29" s="705" t="s">
        <v>18</v>
      </c>
      <c r="W29" s="706">
        <f t="shared" si="14"/>
        <v>100</v>
      </c>
      <c r="X29" s="1354"/>
      <c r="Y29" s="369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717"/>
      <c r="Q30" s="1351">
        <f t="shared" si="11"/>
        <v>111</v>
      </c>
      <c r="R30" s="705" t="s">
        <v>18</v>
      </c>
      <c r="S30" s="706">
        <f t="shared" si="12"/>
        <v>100</v>
      </c>
      <c r="T30" s="705" t="s">
        <v>18</v>
      </c>
      <c r="U30" s="706">
        <f t="shared" si="13"/>
        <v>100</v>
      </c>
      <c r="V30" s="705" t="s">
        <v>18</v>
      </c>
      <c r="W30" s="706">
        <f t="shared" si="14"/>
        <v>100</v>
      </c>
      <c r="X30" s="1354"/>
      <c r="Y30" s="369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717"/>
      <c r="Q31" s="1351">
        <f t="shared" si="11"/>
        <v>111</v>
      </c>
      <c r="R31" s="705" t="s">
        <v>18</v>
      </c>
      <c r="S31" s="706">
        <f t="shared" si="12"/>
        <v>100</v>
      </c>
      <c r="T31" s="705" t="s">
        <v>18</v>
      </c>
      <c r="U31" s="706">
        <f t="shared" si="13"/>
        <v>100</v>
      </c>
      <c r="V31" s="705" t="s">
        <v>18</v>
      </c>
      <c r="W31" s="706">
        <f t="shared" si="14"/>
        <v>100</v>
      </c>
      <c r="X31" s="1354"/>
      <c r="Y31" s="3699"/>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7"/>
      <c r="M32" s="2711"/>
      <c r="N32" s="2711"/>
      <c r="O32" s="2711"/>
      <c r="P32" s="3712" t="s">
        <v>1695</v>
      </c>
      <c r="Q32" s="1351" t="str">
        <f t="shared" si="11"/>
        <v>建筑类型</v>
      </c>
      <c r="R32" s="705" t="s">
        <v>18</v>
      </c>
      <c r="S32" s="706">
        <f t="shared" si="12"/>
        <v>100</v>
      </c>
      <c r="T32" s="705" t="s">
        <v>18</v>
      </c>
      <c r="U32" s="706">
        <f t="shared" si="13"/>
        <v>100</v>
      </c>
      <c r="V32" s="705" t="s">
        <v>18</v>
      </c>
      <c r="W32" s="706">
        <f t="shared" si="14"/>
        <v>100</v>
      </c>
      <c r="X32" s="1354"/>
      <c r="Y32" s="3701"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6"/>
      <c r="M33" s="2718"/>
      <c r="N33" s="2718"/>
      <c r="O33" s="2718"/>
      <c r="P33" s="3713"/>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7"/>
      <c r="M34" s="2711"/>
      <c r="N34" s="2711"/>
      <c r="O34" s="2711"/>
      <c r="P34" s="3713"/>
      <c r="Q34" s="1351" t="str">
        <f t="shared" si="11"/>
        <v>建筑结构</v>
      </c>
      <c r="R34" s="705" t="s">
        <v>18</v>
      </c>
      <c r="S34" s="706">
        <f t="shared" si="12"/>
        <v>100</v>
      </c>
      <c r="T34" s="705" t="s">
        <v>18</v>
      </c>
      <c r="U34" s="706">
        <f t="shared" si="13"/>
        <v>100</v>
      </c>
      <c r="V34" s="705" t="s">
        <v>18</v>
      </c>
      <c r="W34" s="706">
        <f t="shared" si="14"/>
        <v>100</v>
      </c>
      <c r="X34" s="1354"/>
      <c r="Y34" s="3701"/>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713"/>
      <c r="Q35" s="1351" t="str">
        <f t="shared" si="11"/>
        <v>建筑品质</v>
      </c>
      <c r="R35" s="705" t="s">
        <v>18</v>
      </c>
      <c r="S35" s="706">
        <f t="shared" si="12"/>
        <v>100</v>
      </c>
      <c r="T35" s="705" t="s">
        <v>18</v>
      </c>
      <c r="U35" s="706">
        <f t="shared" si="13"/>
        <v>100</v>
      </c>
      <c r="V35" s="705" t="s">
        <v>18</v>
      </c>
      <c r="W35" s="706">
        <f t="shared" si="14"/>
        <v>100</v>
      </c>
      <c r="X35" s="1354"/>
      <c r="Y35" s="3701"/>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713"/>
      <c r="Q36" s="1351" t="str">
        <f t="shared" si="11"/>
        <v>公共部分装修</v>
      </c>
      <c r="R36" s="705" t="s">
        <v>18</v>
      </c>
      <c r="S36" s="706">
        <f t="shared" si="12"/>
        <v>100</v>
      </c>
      <c r="T36" s="705" t="s">
        <v>18</v>
      </c>
      <c r="U36" s="706">
        <f t="shared" si="13"/>
        <v>100</v>
      </c>
      <c r="V36" s="705" t="s">
        <v>18</v>
      </c>
      <c r="W36" s="706">
        <f t="shared" si="14"/>
        <v>100</v>
      </c>
      <c r="X36" s="1354"/>
      <c r="Y36" s="3701"/>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13"/>
      <c r="Q37" s="1342"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713" t="s">
        <v>1695</v>
      </c>
      <c r="Q38" s="1351" t="str">
        <f t="shared" si="11"/>
        <v>物业管理</v>
      </c>
      <c r="R38" s="705" t="s">
        <v>18</v>
      </c>
      <c r="S38" s="706">
        <f t="shared" si="12"/>
        <v>100</v>
      </c>
      <c r="T38" s="705" t="s">
        <v>18</v>
      </c>
      <c r="U38" s="706">
        <f t="shared" si="13"/>
        <v>100</v>
      </c>
      <c r="V38" s="705" t="s">
        <v>18</v>
      </c>
      <c r="W38" s="706">
        <f t="shared" si="14"/>
        <v>100</v>
      </c>
      <c r="X38" s="1354"/>
      <c r="Y38" s="3701"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713"/>
      <c r="Q39" s="1351" t="str">
        <f t="shared" si="11"/>
        <v>市政基础设施</v>
      </c>
      <c r="R39" s="705" t="s">
        <v>18</v>
      </c>
      <c r="S39" s="706">
        <f t="shared" si="12"/>
        <v>100</v>
      </c>
      <c r="T39" s="705" t="s">
        <v>18</v>
      </c>
      <c r="U39" s="706">
        <f t="shared" si="13"/>
        <v>100</v>
      </c>
      <c r="V39" s="705" t="s">
        <v>18</v>
      </c>
      <c r="W39" s="706">
        <f t="shared" si="14"/>
        <v>100</v>
      </c>
      <c r="X39" s="1354"/>
      <c r="Y39" s="3701"/>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713"/>
      <c r="Q40" s="1351" t="str">
        <f t="shared" si="11"/>
        <v>房型</v>
      </c>
      <c r="R40" s="705" t="s">
        <v>18</v>
      </c>
      <c r="S40" s="706">
        <f t="shared" si="12"/>
        <v>100</v>
      </c>
      <c r="T40" s="705" t="s">
        <v>18</v>
      </c>
      <c r="U40" s="706">
        <f t="shared" si="13"/>
        <v>100</v>
      </c>
      <c r="V40" s="705" t="s">
        <v>18</v>
      </c>
      <c r="W40" s="706">
        <f t="shared" si="14"/>
        <v>100</v>
      </c>
      <c r="X40" s="1354"/>
      <c r="Y40" s="3701"/>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713"/>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7"/>
      <c r="M42" s="2711"/>
      <c r="N42" s="2711"/>
      <c r="O42" s="2711"/>
      <c r="P42" s="3713"/>
      <c r="Q42" s="1351" t="str">
        <f t="shared" si="11"/>
        <v>内部装修</v>
      </c>
      <c r="R42" s="705" t="s">
        <v>18</v>
      </c>
      <c r="S42" s="706">
        <f t="shared" si="12"/>
        <v>100</v>
      </c>
      <c r="T42" s="705" t="s">
        <v>18</v>
      </c>
      <c r="U42" s="706">
        <f t="shared" si="13"/>
        <v>100</v>
      </c>
      <c r="V42" s="705" t="s">
        <v>18</v>
      </c>
      <c r="W42" s="706">
        <f t="shared" si="14"/>
        <v>100</v>
      </c>
      <c r="X42" s="1354"/>
      <c r="Y42" s="3701"/>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7"/>
      <c r="M43" s="2711"/>
      <c r="N43" s="2711"/>
      <c r="O43" s="2711"/>
      <c r="P43" s="3713"/>
      <c r="Q43" s="1351" t="str">
        <f t="shared" si="11"/>
        <v>内部装修维护情况</v>
      </c>
      <c r="R43" s="705" t="s">
        <v>18</v>
      </c>
      <c r="S43" s="706">
        <f t="shared" si="12"/>
        <v>100</v>
      </c>
      <c r="T43" s="705" t="s">
        <v>18</v>
      </c>
      <c r="U43" s="706">
        <f t="shared" si="13"/>
        <v>100</v>
      </c>
      <c r="V43" s="705" t="s">
        <v>18</v>
      </c>
      <c r="W43" s="706">
        <f t="shared" si="14"/>
        <v>100</v>
      </c>
      <c r="X43" s="1354"/>
      <c r="Y43" s="3701"/>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713"/>
      <c r="Q44" s="1342">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713"/>
      <c r="Q45" s="1351">
        <f t="shared" si="11"/>
        <v>111</v>
      </c>
      <c r="R45" s="705" t="s">
        <v>18</v>
      </c>
      <c r="S45" s="706">
        <f t="shared" si="12"/>
        <v>100</v>
      </c>
      <c r="T45" s="705" t="s">
        <v>18</v>
      </c>
      <c r="U45" s="706">
        <f t="shared" si="13"/>
        <v>100</v>
      </c>
      <c r="V45" s="705" t="s">
        <v>18</v>
      </c>
      <c r="W45" s="706">
        <f t="shared" si="14"/>
        <v>100</v>
      </c>
      <c r="X45" s="1354"/>
      <c r="Y45" s="370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714"/>
      <c r="Q46" s="1351">
        <f t="shared" si="11"/>
        <v>111</v>
      </c>
      <c r="R46" s="705" t="s">
        <v>17</v>
      </c>
      <c r="S46" s="706">
        <f t="shared" si="12"/>
        <v>100</v>
      </c>
      <c r="T46" s="705" t="s">
        <v>17</v>
      </c>
      <c r="U46" s="706">
        <f t="shared" si="13"/>
        <v>100</v>
      </c>
      <c r="V46" s="705" t="s">
        <v>17</v>
      </c>
      <c r="W46" s="706">
        <f t="shared" si="14"/>
        <v>100</v>
      </c>
      <c r="X46" s="1354"/>
      <c r="Y46" s="3715"/>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19"/>
      <c r="M47" s="2720"/>
      <c r="N47" s="2711"/>
      <c r="O47" s="2720"/>
      <c r="P47" s="3683" t="str">
        <f>A47</f>
        <v>成交单价（元/平方米）</v>
      </c>
      <c r="Q47" s="3683"/>
      <c r="R47" s="3711">
        <f>E47</f>
        <v>0</v>
      </c>
      <c r="S47" s="3711"/>
      <c r="T47" s="3711">
        <f>G47</f>
        <v>0</v>
      </c>
      <c r="U47" s="3711"/>
      <c r="V47" s="3711">
        <f>I47</f>
        <v>0</v>
      </c>
      <c r="W47" s="3711"/>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19"/>
      <c r="M48" s="2720"/>
      <c r="N48" s="2720"/>
      <c r="O48" s="2720"/>
      <c r="P48" s="3683" t="str">
        <f>A48</f>
        <v>比较价值（元/平方米）</v>
      </c>
      <c r="Q48" s="3683"/>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19"/>
      <c r="M49" s="2720"/>
      <c r="N49" s="2720"/>
      <c r="O49" s="2720"/>
      <c r="P49" s="3703" t="str">
        <f>A49</f>
        <v>估价对象XX用房的比较价值（楼面单价，元/平方米）</v>
      </c>
      <c r="Q49" s="3704"/>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6"/>
    </row>
    <row r="55" spans="1:29" s="451" customFormat="1">
      <c r="A55" s="2723"/>
      <c r="B55" s="2726"/>
      <c r="C55" s="2727"/>
      <c r="D55" s="2723"/>
      <c r="E55" s="2723"/>
      <c r="F55" s="2723"/>
      <c r="G55" s="2723"/>
      <c r="H55" s="2723"/>
      <c r="I55" s="2723"/>
      <c r="J55" s="2723"/>
      <c r="K55" s="2728"/>
      <c r="L55" s="2722"/>
      <c r="M55" s="2723"/>
      <c r="N55" s="2723"/>
      <c r="O55" s="2723"/>
      <c r="P55" s="1916"/>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1"/>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9"/>
      <c r="M2" s="2730"/>
      <c r="N2" s="2730"/>
      <c r="O2" s="2730"/>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65662.34</v>
      </c>
      <c r="E3" s="1953"/>
      <c r="F3" s="909"/>
      <c r="G3" s="908"/>
      <c r="H3" s="908"/>
      <c r="I3" s="908"/>
      <c r="J3" s="908"/>
      <c r="K3" s="910"/>
      <c r="L3" s="2729"/>
      <c r="M3" s="2730"/>
      <c r="N3" s="2730"/>
      <c r="O3" s="2730"/>
      <c r="P3" s="1951"/>
      <c r="Q3" s="912"/>
      <c r="R3" s="912"/>
      <c r="S3" s="912"/>
      <c r="T3" s="912"/>
      <c r="U3" s="912"/>
      <c r="V3" s="912"/>
      <c r="W3" s="912"/>
      <c r="X3" s="912"/>
      <c r="Y3" s="912"/>
      <c r="Z3" s="912"/>
      <c r="AA3" s="912"/>
      <c r="AB3" s="912"/>
      <c r="AC3" s="1953"/>
    </row>
    <row r="4" spans="1:29" ht="15">
      <c r="A4" s="355" t="s">
        <v>1768</v>
      </c>
      <c r="B4" s="356"/>
      <c r="C4" s="3684" t="s">
        <v>1769</v>
      </c>
      <c r="D4" s="3685"/>
      <c r="E4" s="3686" t="s">
        <v>1770</v>
      </c>
      <c r="F4" s="3687"/>
      <c r="G4" s="3684" t="s">
        <v>1771</v>
      </c>
      <c r="H4" s="3685"/>
      <c r="I4" s="3684" t="s">
        <v>1772</v>
      </c>
      <c r="J4" s="3685"/>
      <c r="K4" s="559" t="s">
        <v>1773</v>
      </c>
      <c r="L4" s="2710"/>
      <c r="M4" s="2711"/>
      <c r="N4" s="2711"/>
      <c r="O4" s="2711"/>
      <c r="P4" s="3688" t="s">
        <v>1774</v>
      </c>
      <c r="Q4" s="3689"/>
      <c r="R4" s="3671" t="s">
        <v>1770</v>
      </c>
      <c r="S4" s="3672"/>
      <c r="T4" s="3671" t="s">
        <v>1771</v>
      </c>
      <c r="U4" s="3672"/>
      <c r="V4" s="3696" t="s">
        <v>1772</v>
      </c>
      <c r="W4" s="3696"/>
      <c r="X4" s="1354"/>
      <c r="Y4" s="3671" t="s">
        <v>1774</v>
      </c>
      <c r="Z4" s="3672"/>
      <c r="AA4" s="3666" t="s">
        <v>1770</v>
      </c>
      <c r="AB4" s="3696" t="s">
        <v>1771</v>
      </c>
      <c r="AC4" s="3666" t="s">
        <v>1772</v>
      </c>
    </row>
    <row r="5" spans="1:29" ht="15">
      <c r="A5" s="358"/>
      <c r="B5" s="359"/>
      <c r="C5" s="3677" t="s">
        <v>1672</v>
      </c>
      <c r="D5" s="3678"/>
      <c r="E5" s="3675" t="s">
        <v>1673</v>
      </c>
      <c r="F5" s="3676"/>
      <c r="G5" s="3677" t="s">
        <v>1674</v>
      </c>
      <c r="H5" s="3678"/>
      <c r="I5" s="3677" t="s">
        <v>1675</v>
      </c>
      <c r="J5" s="3678"/>
      <c r="K5" s="559"/>
      <c r="L5" s="2710"/>
      <c r="M5" s="2711"/>
      <c r="N5" s="2711"/>
      <c r="O5" s="2711"/>
      <c r="P5" s="3690"/>
      <c r="Q5" s="3691"/>
      <c r="R5" s="3673"/>
      <c r="S5" s="3674"/>
      <c r="T5" s="3673"/>
      <c r="U5" s="3674"/>
      <c r="V5" s="3696"/>
      <c r="W5" s="3696"/>
      <c r="X5" s="1354"/>
      <c r="Y5" s="3673"/>
      <c r="Z5" s="3674"/>
      <c r="AA5" s="3667"/>
      <c r="AB5" s="3696"/>
      <c r="AC5" s="3667"/>
    </row>
    <row r="6" spans="1:29" ht="15.75" thickBot="1">
      <c r="A6" s="360"/>
      <c r="B6" s="361"/>
      <c r="C6" s="3679" t="s">
        <v>1676</v>
      </c>
      <c r="D6" s="3680"/>
      <c r="E6" s="3681" t="s">
        <v>1676</v>
      </c>
      <c r="F6" s="3682"/>
      <c r="G6" s="3679" t="s">
        <v>1676</v>
      </c>
      <c r="H6" s="3680"/>
      <c r="I6" s="3679" t="s">
        <v>1676</v>
      </c>
      <c r="J6" s="3680"/>
      <c r="K6" s="559" t="s">
        <v>1677</v>
      </c>
      <c r="L6" s="2710"/>
      <c r="M6" s="2711"/>
      <c r="N6" s="2711"/>
      <c r="O6" s="2711"/>
      <c r="P6" s="3692"/>
      <c r="Q6" s="3693"/>
      <c r="R6" s="3673"/>
      <c r="S6" s="3674"/>
      <c r="T6" s="3694"/>
      <c r="U6" s="3695"/>
      <c r="V6" s="3696"/>
      <c r="W6" s="3696"/>
      <c r="X6" s="1354"/>
      <c r="Y6" s="3694"/>
      <c r="Z6" s="3695"/>
      <c r="AA6" s="3668"/>
      <c r="AB6" s="3696"/>
      <c r="AC6" s="3668"/>
    </row>
    <row r="7" spans="1:29" s="108" customFormat="1" ht="15.75" thickBot="1">
      <c r="A7" s="362" t="s">
        <v>1678</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69" t="s">
        <v>1682</v>
      </c>
      <c r="Q8" s="3670"/>
      <c r="R8" s="701" t="s">
        <v>14</v>
      </c>
      <c r="S8" s="702">
        <f t="shared" si="0"/>
        <v>100</v>
      </c>
      <c r="T8" s="701" t="s">
        <v>14</v>
      </c>
      <c r="U8" s="702">
        <f t="shared" si="1"/>
        <v>100</v>
      </c>
      <c r="V8" s="701" t="s">
        <v>14</v>
      </c>
      <c r="W8" s="702">
        <f t="shared" si="2"/>
        <v>100</v>
      </c>
      <c r="X8" s="703"/>
      <c r="Y8" s="3669" t="s">
        <v>1682</v>
      </c>
      <c r="Z8" s="367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7" t="s">
        <v>1685</v>
      </c>
      <c r="Q9" s="1342"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07"/>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7"/>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7"/>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7"/>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7"/>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6" t="s">
        <v>1690</v>
      </c>
      <c r="Q15" s="1351" t="str">
        <f t="shared" si="6"/>
        <v>商业繁华度</v>
      </c>
      <c r="R15" s="705" t="s">
        <v>14</v>
      </c>
      <c r="S15" s="706">
        <f t="shared" si="0"/>
        <v>100</v>
      </c>
      <c r="T15" s="705" t="s">
        <v>14</v>
      </c>
      <c r="U15" s="706">
        <f t="shared" si="1"/>
        <v>100</v>
      </c>
      <c r="V15" s="705" t="s">
        <v>14</v>
      </c>
      <c r="W15" s="706">
        <f t="shared" si="2"/>
        <v>100</v>
      </c>
      <c r="X15" s="1354"/>
      <c r="Y15" s="3698"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17"/>
      <c r="Q16" s="1351"/>
      <c r="R16" s="705"/>
      <c r="S16" s="706"/>
      <c r="T16" s="705"/>
      <c r="U16" s="706"/>
      <c r="V16" s="705"/>
      <c r="W16" s="706"/>
      <c r="X16" s="1354"/>
      <c r="Y16" s="3699"/>
      <c r="Z16" s="1355"/>
      <c r="AA16" s="1352">
        <v>1</v>
      </c>
      <c r="AB16" s="1352">
        <v>1</v>
      </c>
      <c r="AC16" s="1352">
        <v>1</v>
      </c>
    </row>
    <row r="17" spans="1:29" ht="85.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7"/>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7"/>
      <c r="M18" s="2711"/>
      <c r="N18" s="2711"/>
      <c r="O18" s="2711"/>
      <c r="P18" s="3717"/>
      <c r="Q18" s="1351"/>
      <c r="R18" s="705"/>
      <c r="S18" s="706"/>
      <c r="T18" s="705"/>
      <c r="U18" s="706"/>
      <c r="V18" s="705"/>
      <c r="W18" s="706"/>
      <c r="X18" s="1354"/>
      <c r="Y18" s="3699"/>
      <c r="Z18" s="1355"/>
      <c r="AA18" s="1352">
        <v>1</v>
      </c>
      <c r="AB18" s="1352">
        <v>1</v>
      </c>
      <c r="AC18" s="1352">
        <v>1</v>
      </c>
    </row>
    <row r="19" spans="1:29" ht="42.75">
      <c r="A19" s="379"/>
      <c r="B19" s="402" t="s">
        <v>1777</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7"/>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7"/>
      <c r="M20" s="2711"/>
      <c r="N20" s="2711"/>
      <c r="O20" s="2711"/>
      <c r="P20" s="3717"/>
      <c r="Q20" s="1351"/>
      <c r="R20" s="705"/>
      <c r="S20" s="706"/>
      <c r="T20" s="705"/>
      <c r="U20" s="706"/>
      <c r="V20" s="705"/>
      <c r="W20" s="706"/>
      <c r="X20" s="1354"/>
      <c r="Y20" s="3699"/>
      <c r="Z20" s="1355"/>
      <c r="AA20" s="1352">
        <v>1</v>
      </c>
      <c r="AB20" s="1352">
        <v>1</v>
      </c>
      <c r="AC20" s="1352">
        <v>1</v>
      </c>
    </row>
    <row r="21" spans="1:29" ht="28.5">
      <c r="A21" s="379"/>
      <c r="B21" s="1131"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7"/>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7"/>
      <c r="M22" s="2711"/>
      <c r="N22" s="2711"/>
      <c r="O22" s="2711"/>
      <c r="P22" s="3717"/>
      <c r="Q22" s="1351"/>
      <c r="R22" s="705"/>
      <c r="S22" s="706"/>
      <c r="T22" s="705"/>
      <c r="U22" s="706"/>
      <c r="V22" s="705"/>
      <c r="W22" s="706"/>
      <c r="X22" s="1354"/>
      <c r="Y22" s="3699"/>
      <c r="Z22" s="1355"/>
      <c r="AA22" s="1352">
        <v>1</v>
      </c>
      <c r="AB22" s="1352">
        <v>1</v>
      </c>
      <c r="AC22" s="1352">
        <v>1</v>
      </c>
    </row>
    <row r="23" spans="1:29" ht="57">
      <c r="A23" s="379"/>
      <c r="B23" s="402" t="s">
        <v>1260</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7"/>
      <c r="Q23" s="1351" t="str">
        <f>B23</f>
        <v>自然及人文环境</v>
      </c>
      <c r="R23" s="705" t="s">
        <v>14</v>
      </c>
      <c r="S23" s="706">
        <f>F23</f>
        <v>100</v>
      </c>
      <c r="T23" s="705" t="s">
        <v>14</v>
      </c>
      <c r="U23" s="706">
        <f>H23</f>
        <v>100</v>
      </c>
      <c r="V23" s="705" t="s">
        <v>14</v>
      </c>
      <c r="W23" s="706">
        <f>J23</f>
        <v>100</v>
      </c>
      <c r="X23" s="1354"/>
      <c r="Y23" s="369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7"/>
      <c r="M24" s="2711"/>
      <c r="N24" s="2711"/>
      <c r="O24" s="2711"/>
      <c r="P24" s="3717"/>
      <c r="Q24" s="1351"/>
      <c r="R24" s="705"/>
      <c r="S24" s="706"/>
      <c r="T24" s="705"/>
      <c r="U24" s="706"/>
      <c r="V24" s="705"/>
      <c r="W24" s="706"/>
      <c r="X24" s="1354"/>
      <c r="Y24" s="3699"/>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7"/>
      <c r="Q25" s="1351" t="str">
        <f t="shared" ref="Q25:Q46" si="11">B25</f>
        <v>临街状况</v>
      </c>
      <c r="R25" s="705" t="s">
        <v>14</v>
      </c>
      <c r="S25" s="706">
        <f>F25</f>
        <v>100</v>
      </c>
      <c r="T25" s="705" t="s">
        <v>14</v>
      </c>
      <c r="U25" s="706">
        <f>H25</f>
        <v>100</v>
      </c>
      <c r="V25" s="705" t="s">
        <v>14</v>
      </c>
      <c r="W25" s="706">
        <f>J25</f>
        <v>100</v>
      </c>
      <c r="X25" s="1354"/>
      <c r="Y25" s="3699"/>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7"/>
      <c r="Q26" s="1351" t="str">
        <f t="shared" si="11"/>
        <v>平面位置/可视性</v>
      </c>
      <c r="R26" s="705" t="s">
        <v>14</v>
      </c>
      <c r="S26" s="706">
        <f>F26</f>
        <v>100</v>
      </c>
      <c r="T26" s="705" t="s">
        <v>14</v>
      </c>
      <c r="U26" s="706">
        <f>H26</f>
        <v>100</v>
      </c>
      <c r="V26" s="705" t="s">
        <v>14</v>
      </c>
      <c r="W26" s="706">
        <f>J26</f>
        <v>100</v>
      </c>
      <c r="X26" s="1354"/>
      <c r="Y26" s="3699"/>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2"/>
      <c r="M27" s="2713"/>
      <c r="N27" s="2713"/>
      <c r="O27" s="2713"/>
      <c r="P27" s="3717"/>
      <c r="Q27" s="1342" t="str">
        <f t="shared" si="11"/>
        <v>人流量</v>
      </c>
      <c r="R27" s="701" t="s">
        <v>14</v>
      </c>
      <c r="S27" s="702">
        <f>F27</f>
        <v>100</v>
      </c>
      <c r="T27" s="701" t="s">
        <v>14</v>
      </c>
      <c r="U27" s="702">
        <f>H27</f>
        <v>100</v>
      </c>
      <c r="V27" s="701" t="s">
        <v>14</v>
      </c>
      <c r="W27" s="702">
        <f>J27</f>
        <v>100</v>
      </c>
      <c r="X27" s="703"/>
      <c r="Y27" s="3699"/>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7"/>
      <c r="Q29" s="1351">
        <f t="shared" si="11"/>
        <v>111</v>
      </c>
      <c r="R29" s="705" t="s">
        <v>14</v>
      </c>
      <c r="S29" s="706">
        <f t="shared" si="12"/>
        <v>100</v>
      </c>
      <c r="T29" s="705" t="s">
        <v>14</v>
      </c>
      <c r="U29" s="706">
        <f t="shared" si="13"/>
        <v>100</v>
      </c>
      <c r="V29" s="705" t="s">
        <v>14</v>
      </c>
      <c r="W29" s="706">
        <f t="shared" si="14"/>
        <v>100</v>
      </c>
      <c r="X29" s="1354"/>
      <c r="Y29" s="369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7"/>
      <c r="Q30" s="1351">
        <f t="shared" si="11"/>
        <v>111</v>
      </c>
      <c r="R30" s="705" t="s">
        <v>14</v>
      </c>
      <c r="S30" s="706">
        <f t="shared" si="12"/>
        <v>100</v>
      </c>
      <c r="T30" s="705" t="s">
        <v>14</v>
      </c>
      <c r="U30" s="706">
        <f t="shared" si="13"/>
        <v>100</v>
      </c>
      <c r="V30" s="705" t="s">
        <v>14</v>
      </c>
      <c r="W30" s="706">
        <f t="shared" si="14"/>
        <v>100</v>
      </c>
      <c r="X30" s="1354"/>
      <c r="Y30" s="369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7"/>
      <c r="Q31" s="1351">
        <f t="shared" si="11"/>
        <v>111</v>
      </c>
      <c r="R31" s="705" t="s">
        <v>14</v>
      </c>
      <c r="S31" s="706">
        <f t="shared" si="12"/>
        <v>100</v>
      </c>
      <c r="T31" s="705" t="s">
        <v>14</v>
      </c>
      <c r="U31" s="706">
        <f t="shared" si="13"/>
        <v>100</v>
      </c>
      <c r="V31" s="705" t="s">
        <v>14</v>
      </c>
      <c r="W31" s="706">
        <f t="shared" si="14"/>
        <v>100</v>
      </c>
      <c r="X31" s="1354"/>
      <c r="Y31" s="3699"/>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712" t="s">
        <v>1695</v>
      </c>
      <c r="Q32" s="1351" t="str">
        <f t="shared" si="11"/>
        <v>商业类型</v>
      </c>
      <c r="R32" s="705" t="s">
        <v>14</v>
      </c>
      <c r="S32" s="706">
        <f t="shared" si="12"/>
        <v>100</v>
      </c>
      <c r="T32" s="705" t="s">
        <v>14</v>
      </c>
      <c r="U32" s="706">
        <f t="shared" si="13"/>
        <v>100</v>
      </c>
      <c r="V32" s="705" t="s">
        <v>14</v>
      </c>
      <c r="W32" s="706">
        <f t="shared" si="14"/>
        <v>100</v>
      </c>
      <c r="X32" s="1354"/>
      <c r="Y32" s="3701"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3"/>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713"/>
      <c r="Q34" s="1351" t="str">
        <f t="shared" si="11"/>
        <v>建筑结构</v>
      </c>
      <c r="R34" s="705" t="s">
        <v>14</v>
      </c>
      <c r="S34" s="706">
        <f t="shared" si="12"/>
        <v>100</v>
      </c>
      <c r="T34" s="705" t="s">
        <v>14</v>
      </c>
      <c r="U34" s="706">
        <f t="shared" si="13"/>
        <v>100</v>
      </c>
      <c r="V34" s="705" t="s">
        <v>14</v>
      </c>
      <c r="W34" s="706">
        <f t="shared" si="14"/>
        <v>100</v>
      </c>
      <c r="X34" s="1354"/>
      <c r="Y34" s="3701"/>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713"/>
      <c r="Q35" s="1351" t="str">
        <f t="shared" si="11"/>
        <v>公共部分装修</v>
      </c>
      <c r="R35" s="705" t="s">
        <v>14</v>
      </c>
      <c r="S35" s="706">
        <f t="shared" si="12"/>
        <v>100</v>
      </c>
      <c r="T35" s="705" t="s">
        <v>14</v>
      </c>
      <c r="U35" s="706">
        <f t="shared" si="13"/>
        <v>100</v>
      </c>
      <c r="V35" s="705" t="s">
        <v>14</v>
      </c>
      <c r="W35" s="706">
        <f t="shared" si="14"/>
        <v>100</v>
      </c>
      <c r="X35" s="1354"/>
      <c r="Y35" s="3701"/>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3"/>
      <c r="Q36" s="1351" t="str">
        <f t="shared" si="11"/>
        <v>成新度</v>
      </c>
      <c r="R36" s="705" t="s">
        <v>14</v>
      </c>
      <c r="S36" s="706" t="e">
        <f t="shared" si="12"/>
        <v>#N/A</v>
      </c>
      <c r="T36" s="705" t="s">
        <v>14</v>
      </c>
      <c r="U36" s="706" t="e">
        <f t="shared" si="13"/>
        <v>#N/A</v>
      </c>
      <c r="V36" s="705" t="s">
        <v>14</v>
      </c>
      <c r="W36" s="706" t="e">
        <f t="shared" si="14"/>
        <v>#N/A</v>
      </c>
      <c r="X36" s="1354"/>
      <c r="Y36" s="3701"/>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713"/>
      <c r="Q37" s="1342"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713" t="s">
        <v>1695</v>
      </c>
      <c r="Q38" s="1351" t="str">
        <f t="shared" si="11"/>
        <v>业态</v>
      </c>
      <c r="R38" s="705" t="s">
        <v>14</v>
      </c>
      <c r="S38" s="706">
        <f t="shared" si="12"/>
        <v>100</v>
      </c>
      <c r="T38" s="705" t="s">
        <v>14</v>
      </c>
      <c r="U38" s="706">
        <f t="shared" si="13"/>
        <v>100</v>
      </c>
      <c r="V38" s="705" t="s">
        <v>14</v>
      </c>
      <c r="W38" s="706">
        <f t="shared" si="14"/>
        <v>100</v>
      </c>
      <c r="X38" s="1354"/>
      <c r="Y38" s="3701"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713"/>
      <c r="Q39" s="1351" t="str">
        <f t="shared" si="11"/>
        <v>层高</v>
      </c>
      <c r="R39" s="705" t="s">
        <v>14</v>
      </c>
      <c r="S39" s="706">
        <f t="shared" si="12"/>
        <v>100</v>
      </c>
      <c r="T39" s="705" t="s">
        <v>14</v>
      </c>
      <c r="U39" s="706">
        <f t="shared" si="13"/>
        <v>100</v>
      </c>
      <c r="V39" s="705" t="s">
        <v>14</v>
      </c>
      <c r="W39" s="706">
        <f t="shared" si="14"/>
        <v>100</v>
      </c>
      <c r="X39" s="1354"/>
      <c r="Y39" s="3701"/>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3"/>
      <c r="Q40" s="1351" t="str">
        <f t="shared" si="11"/>
        <v>单套建筑面积</v>
      </c>
      <c r="R40" s="705" t="s">
        <v>14</v>
      </c>
      <c r="S40" s="706">
        <f t="shared" si="12"/>
        <v>100</v>
      </c>
      <c r="T40" s="705" t="s">
        <v>14</v>
      </c>
      <c r="U40" s="706">
        <f t="shared" si="13"/>
        <v>100</v>
      </c>
      <c r="V40" s="705" t="s">
        <v>14</v>
      </c>
      <c r="W40" s="706">
        <f t="shared" si="14"/>
        <v>100</v>
      </c>
      <c r="X40" s="1354"/>
      <c r="Y40" s="3701"/>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3"/>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713"/>
      <c r="Q42" s="1351" t="str">
        <f t="shared" si="11"/>
        <v>内部装修</v>
      </c>
      <c r="R42" s="705" t="s">
        <v>14</v>
      </c>
      <c r="S42" s="706">
        <f t="shared" si="12"/>
        <v>100</v>
      </c>
      <c r="T42" s="705" t="s">
        <v>14</v>
      </c>
      <c r="U42" s="706">
        <f t="shared" si="13"/>
        <v>100</v>
      </c>
      <c r="V42" s="705" t="s">
        <v>14</v>
      </c>
      <c r="W42" s="706">
        <f t="shared" si="14"/>
        <v>100</v>
      </c>
      <c r="X42" s="1354"/>
      <c r="Y42" s="3701"/>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713"/>
      <c r="Q43" s="1351" t="str">
        <f t="shared" si="11"/>
        <v>内部装修维护情况</v>
      </c>
      <c r="R43" s="705" t="s">
        <v>14</v>
      </c>
      <c r="S43" s="706">
        <f t="shared" si="12"/>
        <v>100</v>
      </c>
      <c r="T43" s="705" t="s">
        <v>14</v>
      </c>
      <c r="U43" s="706">
        <f t="shared" si="13"/>
        <v>100</v>
      </c>
      <c r="V43" s="705" t="s">
        <v>14</v>
      </c>
      <c r="W43" s="706">
        <f t="shared" si="14"/>
        <v>100</v>
      </c>
      <c r="X43" s="1354"/>
      <c r="Y43" s="3701"/>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3"/>
      <c r="Q44" s="1342">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3"/>
      <c r="Q45" s="1351">
        <f t="shared" si="11"/>
        <v>111</v>
      </c>
      <c r="R45" s="705" t="s">
        <v>14</v>
      </c>
      <c r="S45" s="706">
        <f t="shared" si="12"/>
        <v>100</v>
      </c>
      <c r="T45" s="705" t="s">
        <v>14</v>
      </c>
      <c r="U45" s="706">
        <f t="shared" si="13"/>
        <v>100</v>
      </c>
      <c r="V45" s="705" t="s">
        <v>14</v>
      </c>
      <c r="W45" s="706">
        <f t="shared" si="14"/>
        <v>100</v>
      </c>
      <c r="X45" s="1354"/>
      <c r="Y45" s="370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4"/>
      <c r="Q46" s="1351">
        <f t="shared" si="11"/>
        <v>111</v>
      </c>
      <c r="R46" s="705" t="s">
        <v>14</v>
      </c>
      <c r="S46" s="706">
        <f t="shared" si="12"/>
        <v>100</v>
      </c>
      <c r="T46" s="705" t="s">
        <v>14</v>
      </c>
      <c r="U46" s="706">
        <f t="shared" si="13"/>
        <v>100</v>
      </c>
      <c r="V46" s="705" t="s">
        <v>14</v>
      </c>
      <c r="W46" s="706">
        <f t="shared" si="14"/>
        <v>100</v>
      </c>
      <c r="X46" s="1354"/>
      <c r="Y46" s="3715"/>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19"/>
      <c r="M47" s="2720"/>
      <c r="N47" s="2711"/>
      <c r="O47" s="2720"/>
      <c r="P47" s="3683" t="str">
        <f>A47</f>
        <v>成交单价（元/平方米）</v>
      </c>
      <c r="Q47" s="3683"/>
      <c r="R47" s="3696">
        <f>E47</f>
        <v>0</v>
      </c>
      <c r="S47" s="3696"/>
      <c r="T47" s="3696">
        <f>G47</f>
        <v>0</v>
      </c>
      <c r="U47" s="3696"/>
      <c r="V47" s="3696">
        <f>I47</f>
        <v>0</v>
      </c>
      <c r="W47" s="3696"/>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19"/>
      <c r="M48" s="2720"/>
      <c r="N48" s="2711"/>
      <c r="O48" s="2720"/>
      <c r="P48" s="3683" t="str">
        <f>A48</f>
        <v>比较价值（元/平方米）</v>
      </c>
      <c r="Q48" s="3683"/>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9"/>
      <c r="M49" s="2720"/>
      <c r="N49" s="2711"/>
      <c r="O49" s="2720"/>
      <c r="P49" s="3703" t="str">
        <f>A49</f>
        <v>估价对象XX用房的比较价值（楼面单价，元/平方米）</v>
      </c>
      <c r="Q49" s="3704"/>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6"/>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7"/>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7"/>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65662.34</v>
      </c>
      <c r="E3" s="1953"/>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84" t="s">
        <v>1769</v>
      </c>
      <c r="D4" s="3685"/>
      <c r="E4" s="3686" t="s">
        <v>1770</v>
      </c>
      <c r="F4" s="3687"/>
      <c r="G4" s="3684" t="s">
        <v>1771</v>
      </c>
      <c r="H4" s="3685"/>
      <c r="I4" s="3684" t="s">
        <v>1772</v>
      </c>
      <c r="J4" s="3685"/>
      <c r="K4" s="559" t="s">
        <v>1773</v>
      </c>
      <c r="L4" s="2710"/>
      <c r="M4" s="2711"/>
      <c r="N4" s="2711"/>
      <c r="O4" s="2711"/>
      <c r="P4" s="3724" t="s">
        <v>1774</v>
      </c>
      <c r="Q4" s="3725"/>
      <c r="R4" s="3719" t="s">
        <v>1770</v>
      </c>
      <c r="S4" s="3720"/>
      <c r="T4" s="3719" t="s">
        <v>1771</v>
      </c>
      <c r="U4" s="3720"/>
      <c r="V4" s="3728" t="s">
        <v>1772</v>
      </c>
      <c r="W4" s="3728"/>
      <c r="X4" s="1957"/>
      <c r="Y4" s="3719" t="s">
        <v>1774</v>
      </c>
      <c r="Z4" s="3720"/>
      <c r="AA4" s="3718" t="s">
        <v>1770</v>
      </c>
      <c r="AB4" s="3718" t="s">
        <v>1771</v>
      </c>
      <c r="AC4" s="3721" t="s">
        <v>1772</v>
      </c>
    </row>
    <row r="5" spans="1:29" ht="15">
      <c r="A5" s="358"/>
      <c r="B5" s="359"/>
      <c r="C5" s="3677" t="s">
        <v>1672</v>
      </c>
      <c r="D5" s="3678"/>
      <c r="E5" s="3675" t="s">
        <v>1673</v>
      </c>
      <c r="F5" s="3676"/>
      <c r="G5" s="3677" t="s">
        <v>1674</v>
      </c>
      <c r="H5" s="3678"/>
      <c r="I5" s="3677" t="s">
        <v>1675</v>
      </c>
      <c r="J5" s="3678"/>
      <c r="K5" s="559"/>
      <c r="L5" s="2710"/>
      <c r="M5" s="2711"/>
      <c r="N5" s="2711"/>
      <c r="O5" s="2711"/>
      <c r="P5" s="3726"/>
      <c r="Q5" s="3691"/>
      <c r="R5" s="3673"/>
      <c r="S5" s="3674"/>
      <c r="T5" s="3673"/>
      <c r="U5" s="3674"/>
      <c r="V5" s="3696"/>
      <c r="W5" s="3696"/>
      <c r="X5" s="1354"/>
      <c r="Y5" s="3673"/>
      <c r="Z5" s="3674"/>
      <c r="AA5" s="3667"/>
      <c r="AB5" s="3667"/>
      <c r="AC5" s="3722"/>
    </row>
    <row r="6" spans="1:29" ht="15.75" thickBot="1">
      <c r="A6" s="360"/>
      <c r="B6" s="361"/>
      <c r="C6" s="3679" t="s">
        <v>1676</v>
      </c>
      <c r="D6" s="3680"/>
      <c r="E6" s="3681" t="s">
        <v>1676</v>
      </c>
      <c r="F6" s="3682"/>
      <c r="G6" s="3679" t="s">
        <v>1676</v>
      </c>
      <c r="H6" s="3680"/>
      <c r="I6" s="3679" t="s">
        <v>1676</v>
      </c>
      <c r="J6" s="3680"/>
      <c r="K6" s="559" t="s">
        <v>1677</v>
      </c>
      <c r="L6" s="2710"/>
      <c r="M6" s="2711"/>
      <c r="N6" s="2711"/>
      <c r="O6" s="2711"/>
      <c r="P6" s="3727"/>
      <c r="Q6" s="3693"/>
      <c r="R6" s="3673"/>
      <c r="S6" s="3674"/>
      <c r="T6" s="3694"/>
      <c r="U6" s="3695"/>
      <c r="V6" s="3696"/>
      <c r="W6" s="3696"/>
      <c r="X6" s="1354"/>
      <c r="Y6" s="3694"/>
      <c r="Z6" s="3695"/>
      <c r="AA6" s="3668"/>
      <c r="AB6" s="3668"/>
      <c r="AC6" s="3723"/>
    </row>
    <row r="7" spans="1:29" s="108" customFormat="1" ht="15.75" thickBot="1">
      <c r="A7" s="362" t="s">
        <v>1678</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9" t="s">
        <v>1682</v>
      </c>
      <c r="Q8" s="3670"/>
      <c r="R8" s="701" t="s">
        <v>14</v>
      </c>
      <c r="S8" s="702">
        <f t="shared" si="0"/>
        <v>100</v>
      </c>
      <c r="T8" s="701" t="s">
        <v>14</v>
      </c>
      <c r="U8" s="702">
        <f t="shared" si="1"/>
        <v>100</v>
      </c>
      <c r="V8" s="701" t="s">
        <v>14</v>
      </c>
      <c r="W8" s="702">
        <f t="shared" si="2"/>
        <v>100</v>
      </c>
      <c r="X8" s="703"/>
      <c r="Y8" s="3669" t="s">
        <v>1682</v>
      </c>
      <c r="Z8" s="3670"/>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07" t="s">
        <v>1685</v>
      </c>
      <c r="Q9" s="1342"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1958">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07"/>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7"/>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2"/>
      <c r="M12" s="2713"/>
      <c r="N12" s="2713"/>
      <c r="O12" s="2713"/>
      <c r="P12" s="3707"/>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7"/>
      <c r="M13" s="2711"/>
      <c r="N13" s="2711"/>
      <c r="O13" s="2711"/>
      <c r="P13" s="3707"/>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7"/>
      <c r="M14" s="2711"/>
      <c r="N14" s="2711"/>
      <c r="O14" s="2711"/>
      <c r="P14" s="3707"/>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8">
        <f t="shared" si="5"/>
        <v>1</v>
      </c>
    </row>
    <row r="15" spans="1:29" ht="71.25">
      <c r="A15" s="391" t="s">
        <v>1689</v>
      </c>
      <c r="B15" s="577" t="s">
        <v>1810</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6" t="s">
        <v>1690</v>
      </c>
      <c r="Q15" s="1351" t="str">
        <f t="shared" si="6"/>
        <v>办公集聚程度</v>
      </c>
      <c r="R15" s="705" t="s">
        <v>14</v>
      </c>
      <c r="S15" s="706">
        <f t="shared" si="0"/>
        <v>100</v>
      </c>
      <c r="T15" s="705" t="s">
        <v>14</v>
      </c>
      <c r="U15" s="706">
        <f t="shared" si="1"/>
        <v>100</v>
      </c>
      <c r="V15" s="705" t="s">
        <v>14</v>
      </c>
      <c r="W15" s="706">
        <f t="shared" si="2"/>
        <v>100</v>
      </c>
      <c r="X15" s="1354"/>
      <c r="Y15" s="3698"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7"/>
      <c r="M16" s="2711"/>
      <c r="N16" s="2711"/>
      <c r="O16" s="2711"/>
      <c r="P16" s="3717"/>
      <c r="Q16" s="1351"/>
      <c r="R16" s="705"/>
      <c r="S16" s="706"/>
      <c r="T16" s="705"/>
      <c r="U16" s="706"/>
      <c r="V16" s="705"/>
      <c r="W16" s="706"/>
      <c r="X16" s="1354"/>
      <c r="Y16" s="3699"/>
      <c r="Z16" s="1355"/>
      <c r="AA16" s="1352">
        <v>1</v>
      </c>
      <c r="AB16" s="1352">
        <v>1</v>
      </c>
      <c r="AC16" s="1961">
        <v>1</v>
      </c>
    </row>
    <row r="17" spans="1:29" ht="71.2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7"/>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7"/>
      <c r="M18" s="2711"/>
      <c r="N18" s="2711"/>
      <c r="O18" s="2711"/>
      <c r="P18" s="3717"/>
      <c r="Q18" s="1351"/>
      <c r="R18" s="705"/>
      <c r="S18" s="706"/>
      <c r="T18" s="705"/>
      <c r="U18" s="706"/>
      <c r="V18" s="705"/>
      <c r="W18" s="706"/>
      <c r="X18" s="1354"/>
      <c r="Y18" s="3699"/>
      <c r="Z18" s="1355"/>
      <c r="AA18" s="1352">
        <v>1</v>
      </c>
      <c r="AB18" s="1352">
        <v>1</v>
      </c>
      <c r="AC18" s="1961">
        <v>1</v>
      </c>
    </row>
    <row r="19" spans="1:29" ht="42.75">
      <c r="A19" s="379"/>
      <c r="B19" s="579" t="s">
        <v>1811</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7"/>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7"/>
      <c r="M20" s="2711"/>
      <c r="N20" s="2711"/>
      <c r="O20" s="2711"/>
      <c r="P20" s="3717"/>
      <c r="Q20" s="1351"/>
      <c r="R20" s="705"/>
      <c r="S20" s="706"/>
      <c r="T20" s="705"/>
      <c r="U20" s="706"/>
      <c r="V20" s="705"/>
      <c r="W20" s="706"/>
      <c r="X20" s="1354"/>
      <c r="Y20" s="3699"/>
      <c r="Z20" s="1355"/>
      <c r="AA20" s="1352">
        <v>1</v>
      </c>
      <c r="AB20" s="1352">
        <v>1</v>
      </c>
      <c r="AC20" s="1961">
        <v>1</v>
      </c>
    </row>
    <row r="21" spans="1:29" ht="28.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7"/>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7"/>
      <c r="M22" s="2711"/>
      <c r="N22" s="2711"/>
      <c r="O22" s="2711"/>
      <c r="P22" s="3717"/>
      <c r="Q22" s="1351"/>
      <c r="R22" s="705"/>
      <c r="S22" s="706"/>
      <c r="T22" s="705"/>
      <c r="U22" s="706"/>
      <c r="V22" s="705"/>
      <c r="W22" s="706"/>
      <c r="X22" s="1354"/>
      <c r="Y22" s="3699"/>
      <c r="Z22" s="1355"/>
      <c r="AA22" s="1352">
        <v>1</v>
      </c>
      <c r="AB22" s="1352">
        <v>1</v>
      </c>
      <c r="AC22" s="1961">
        <v>1</v>
      </c>
    </row>
    <row r="23" spans="1:29" ht="42.7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7"/>
      <c r="Q23" s="1351" t="str">
        <f>B23</f>
        <v>环境质量</v>
      </c>
      <c r="R23" s="705" t="s">
        <v>14</v>
      </c>
      <c r="S23" s="706">
        <f>F23</f>
        <v>100</v>
      </c>
      <c r="T23" s="705" t="s">
        <v>14</v>
      </c>
      <c r="U23" s="706">
        <f>H23</f>
        <v>100</v>
      </c>
      <c r="V23" s="705" t="s">
        <v>14</v>
      </c>
      <c r="W23" s="706">
        <f>J23</f>
        <v>100</v>
      </c>
      <c r="X23" s="1354"/>
      <c r="Y23" s="369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7"/>
      <c r="M24" s="2711"/>
      <c r="N24" s="2711"/>
      <c r="O24" s="2711"/>
      <c r="P24" s="3717"/>
      <c r="Q24" s="1351"/>
      <c r="R24" s="705"/>
      <c r="S24" s="706"/>
      <c r="T24" s="705"/>
      <c r="U24" s="706"/>
      <c r="V24" s="705"/>
      <c r="W24" s="706"/>
      <c r="X24" s="1354"/>
      <c r="Y24" s="3699"/>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717"/>
      <c r="Q25" s="1351" t="str">
        <f>B25</f>
        <v>毗邻道路的类型与等级</v>
      </c>
      <c r="R25" s="705" t="s">
        <v>14</v>
      </c>
      <c r="S25" s="706">
        <f>F25</f>
        <v>100</v>
      </c>
      <c r="T25" s="705" t="s">
        <v>14</v>
      </c>
      <c r="U25" s="706">
        <f>H25</f>
        <v>100</v>
      </c>
      <c r="V25" s="705" t="s">
        <v>14</v>
      </c>
      <c r="W25" s="706">
        <f>J25</f>
        <v>100</v>
      </c>
      <c r="X25" s="1354"/>
      <c r="Y25" s="369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7"/>
      <c r="M26" s="2711"/>
      <c r="N26" s="2711"/>
      <c r="O26" s="2711"/>
      <c r="P26" s="3717"/>
      <c r="Q26" s="1351"/>
      <c r="R26" s="705"/>
      <c r="S26" s="706"/>
      <c r="T26" s="705"/>
      <c r="U26" s="706"/>
      <c r="V26" s="705"/>
      <c r="W26" s="706"/>
      <c r="X26" s="1354"/>
      <c r="Y26" s="3699"/>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17"/>
      <c r="Q27" s="1351" t="str">
        <f t="shared" ref="Q27:Q47" si="11">B27</f>
        <v>楼层</v>
      </c>
      <c r="R27" s="705" t="s">
        <v>14</v>
      </c>
      <c r="S27" s="706">
        <f>F27</f>
        <v>100</v>
      </c>
      <c r="T27" s="705" t="s">
        <v>14</v>
      </c>
      <c r="U27" s="706">
        <f>H27</f>
        <v>100</v>
      </c>
      <c r="V27" s="705" t="s">
        <v>14</v>
      </c>
      <c r="W27" s="706">
        <f>J27</f>
        <v>100</v>
      </c>
      <c r="X27" s="1354"/>
      <c r="Y27" s="3699"/>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2"/>
      <c r="M28" s="2713"/>
      <c r="N28" s="2713"/>
      <c r="O28" s="2713"/>
      <c r="P28" s="3717"/>
      <c r="Q28" s="1342" t="str">
        <f t="shared" si="11"/>
        <v>朝向</v>
      </c>
      <c r="R28" s="701" t="s">
        <v>14</v>
      </c>
      <c r="S28" s="702">
        <f>F28</f>
        <v>100</v>
      </c>
      <c r="T28" s="701" t="s">
        <v>14</v>
      </c>
      <c r="U28" s="702">
        <f>H28</f>
        <v>100</v>
      </c>
      <c r="V28" s="701" t="s">
        <v>14</v>
      </c>
      <c r="W28" s="702">
        <f>J28</f>
        <v>100</v>
      </c>
      <c r="X28" s="703"/>
      <c r="Y28" s="369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7"/>
      <c r="M29" s="2711"/>
      <c r="N29" s="2711"/>
      <c r="O29" s="2711"/>
      <c r="P29" s="3717"/>
      <c r="Q29" s="1351">
        <f t="shared" si="11"/>
        <v>111</v>
      </c>
      <c r="R29" s="705" t="s">
        <v>14</v>
      </c>
      <c r="S29" s="706">
        <f t="shared" ref="S29:S47" si="12">F29</f>
        <v>100</v>
      </c>
      <c r="T29" s="705" t="s">
        <v>14</v>
      </c>
      <c r="U29" s="706">
        <f t="shared" ref="U29:U47" si="13">H29</f>
        <v>100</v>
      </c>
      <c r="V29" s="705" t="s">
        <v>14</v>
      </c>
      <c r="W29" s="706">
        <f t="shared" ref="W29:W47" si="14">J29</f>
        <v>100</v>
      </c>
      <c r="X29" s="1354"/>
      <c r="Y29" s="369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7"/>
      <c r="M30" s="2711"/>
      <c r="N30" s="2711"/>
      <c r="O30" s="2711"/>
      <c r="P30" s="3717"/>
      <c r="Q30" s="1351">
        <f t="shared" si="11"/>
        <v>111</v>
      </c>
      <c r="R30" s="705" t="s">
        <v>14</v>
      </c>
      <c r="S30" s="706">
        <f t="shared" si="12"/>
        <v>100</v>
      </c>
      <c r="T30" s="705" t="s">
        <v>14</v>
      </c>
      <c r="U30" s="706">
        <f t="shared" si="13"/>
        <v>100</v>
      </c>
      <c r="V30" s="705" t="s">
        <v>14</v>
      </c>
      <c r="W30" s="706">
        <f t="shared" si="14"/>
        <v>100</v>
      </c>
      <c r="X30" s="1354"/>
      <c r="Y30" s="369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7"/>
      <c r="M31" s="2711"/>
      <c r="N31" s="2711"/>
      <c r="O31" s="2711"/>
      <c r="P31" s="3717"/>
      <c r="Q31" s="1351">
        <f t="shared" si="11"/>
        <v>111</v>
      </c>
      <c r="R31" s="705" t="s">
        <v>14</v>
      </c>
      <c r="S31" s="706">
        <f t="shared" si="12"/>
        <v>100</v>
      </c>
      <c r="T31" s="705" t="s">
        <v>14</v>
      </c>
      <c r="U31" s="706">
        <f t="shared" si="13"/>
        <v>100</v>
      </c>
      <c r="V31" s="705" t="s">
        <v>14</v>
      </c>
      <c r="W31" s="706">
        <f t="shared" si="14"/>
        <v>100</v>
      </c>
      <c r="X31" s="1354"/>
      <c r="Y31" s="369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7"/>
      <c r="M32" s="2711"/>
      <c r="N32" s="2711"/>
      <c r="O32" s="2711"/>
      <c r="P32" s="3717"/>
      <c r="Q32" s="1351">
        <f t="shared" si="11"/>
        <v>111</v>
      </c>
      <c r="R32" s="705" t="s">
        <v>14</v>
      </c>
      <c r="S32" s="706">
        <f t="shared" si="12"/>
        <v>100</v>
      </c>
      <c r="T32" s="705" t="s">
        <v>14</v>
      </c>
      <c r="U32" s="706">
        <f t="shared" si="13"/>
        <v>100</v>
      </c>
      <c r="V32" s="705" t="s">
        <v>14</v>
      </c>
      <c r="W32" s="706">
        <f t="shared" si="14"/>
        <v>100</v>
      </c>
      <c r="X32" s="1354"/>
      <c r="Y32" s="3699"/>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7"/>
      <c r="M33" s="2711"/>
      <c r="N33" s="2711"/>
      <c r="O33" s="2711"/>
      <c r="P33" s="3712" t="s">
        <v>1695</v>
      </c>
      <c r="Q33" s="1351" t="str">
        <f t="shared" si="11"/>
        <v>建筑类型</v>
      </c>
      <c r="R33" s="705" t="s">
        <v>14</v>
      </c>
      <c r="S33" s="706">
        <f t="shared" si="12"/>
        <v>100</v>
      </c>
      <c r="T33" s="705" t="s">
        <v>14</v>
      </c>
      <c r="U33" s="706">
        <f t="shared" si="13"/>
        <v>100</v>
      </c>
      <c r="V33" s="705" t="s">
        <v>14</v>
      </c>
      <c r="W33" s="706">
        <f t="shared" si="14"/>
        <v>100</v>
      </c>
      <c r="X33" s="1354"/>
      <c r="Y33" s="3701"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13"/>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13"/>
      <c r="Q35" s="1351" t="str">
        <f t="shared" si="11"/>
        <v>建筑结构</v>
      </c>
      <c r="R35" s="705" t="s">
        <v>14</v>
      </c>
      <c r="S35" s="706">
        <f t="shared" si="12"/>
        <v>100</v>
      </c>
      <c r="T35" s="705" t="s">
        <v>14</v>
      </c>
      <c r="U35" s="706">
        <f t="shared" si="13"/>
        <v>100</v>
      </c>
      <c r="V35" s="705" t="s">
        <v>14</v>
      </c>
      <c r="W35" s="706">
        <f t="shared" si="14"/>
        <v>100</v>
      </c>
      <c r="X35" s="1354"/>
      <c r="Y35" s="3701"/>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13"/>
      <c r="Q36" s="1351" t="str">
        <f t="shared" si="11"/>
        <v>公共部分装修</v>
      </c>
      <c r="R36" s="705" t="s">
        <v>14</v>
      </c>
      <c r="S36" s="706">
        <f t="shared" si="12"/>
        <v>100</v>
      </c>
      <c r="T36" s="705" t="s">
        <v>14</v>
      </c>
      <c r="U36" s="706">
        <f t="shared" si="13"/>
        <v>100</v>
      </c>
      <c r="V36" s="705" t="s">
        <v>14</v>
      </c>
      <c r="W36" s="706">
        <f t="shared" si="14"/>
        <v>100</v>
      </c>
      <c r="X36" s="1354"/>
      <c r="Y36" s="3701"/>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13"/>
      <c r="Q37" s="1351" t="str">
        <f t="shared" si="11"/>
        <v>成新度</v>
      </c>
      <c r="R37" s="705" t="s">
        <v>14</v>
      </c>
      <c r="S37" s="706" t="e">
        <f t="shared" si="12"/>
        <v>#N/A</v>
      </c>
      <c r="T37" s="705" t="s">
        <v>14</v>
      </c>
      <c r="U37" s="706" t="e">
        <f t="shared" si="13"/>
        <v>#N/A</v>
      </c>
      <c r="V37" s="705" t="s">
        <v>14</v>
      </c>
      <c r="W37" s="706" t="e">
        <f t="shared" si="14"/>
        <v>#N/A</v>
      </c>
      <c r="X37" s="1354"/>
      <c r="Y37" s="3701"/>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13"/>
      <c r="Q38" s="1342"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13" t="s">
        <v>1695</v>
      </c>
      <c r="Q39" s="1351" t="str">
        <f t="shared" si="11"/>
        <v>物业管理</v>
      </c>
      <c r="R39" s="705" t="s">
        <v>14</v>
      </c>
      <c r="S39" s="706">
        <f t="shared" si="12"/>
        <v>100</v>
      </c>
      <c r="T39" s="705" t="s">
        <v>14</v>
      </c>
      <c r="U39" s="706">
        <f t="shared" si="13"/>
        <v>100</v>
      </c>
      <c r="V39" s="705" t="s">
        <v>14</v>
      </c>
      <c r="W39" s="706">
        <f t="shared" si="14"/>
        <v>100</v>
      </c>
      <c r="X39" s="1354"/>
      <c r="Y39" s="3701"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13"/>
      <c r="Q40" s="1351" t="str">
        <f t="shared" si="11"/>
        <v>市政基础设施</v>
      </c>
      <c r="R40" s="705" t="s">
        <v>14</v>
      </c>
      <c r="S40" s="706">
        <f t="shared" si="12"/>
        <v>100</v>
      </c>
      <c r="T40" s="705" t="s">
        <v>14</v>
      </c>
      <c r="U40" s="706">
        <f t="shared" si="13"/>
        <v>100</v>
      </c>
      <c r="V40" s="705" t="s">
        <v>14</v>
      </c>
      <c r="W40" s="706">
        <f t="shared" si="14"/>
        <v>100</v>
      </c>
      <c r="X40" s="1354"/>
      <c r="Y40" s="3701"/>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3"/>
      <c r="Q41" s="1351" t="str">
        <f t="shared" si="11"/>
        <v>层高</v>
      </c>
      <c r="R41" s="705" t="s">
        <v>14</v>
      </c>
      <c r="S41" s="706">
        <f t="shared" si="12"/>
        <v>100</v>
      </c>
      <c r="T41" s="705" t="s">
        <v>14</v>
      </c>
      <c r="U41" s="706">
        <f t="shared" si="13"/>
        <v>100</v>
      </c>
      <c r="V41" s="705" t="s">
        <v>14</v>
      </c>
      <c r="W41" s="706">
        <f t="shared" si="14"/>
        <v>100</v>
      </c>
      <c r="X41" s="1354"/>
      <c r="Y41" s="3701"/>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3"/>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13"/>
      <c r="Q43" s="1351" t="str">
        <f t="shared" si="11"/>
        <v>内部装修</v>
      </c>
      <c r="R43" s="705" t="s">
        <v>14</v>
      </c>
      <c r="S43" s="706">
        <f t="shared" si="12"/>
        <v>100</v>
      </c>
      <c r="T43" s="705" t="s">
        <v>14</v>
      </c>
      <c r="U43" s="706">
        <f t="shared" si="13"/>
        <v>100</v>
      </c>
      <c r="V43" s="705" t="s">
        <v>14</v>
      </c>
      <c r="W43" s="706">
        <f t="shared" si="14"/>
        <v>100</v>
      </c>
      <c r="X43" s="1354"/>
      <c r="Y43" s="3701"/>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713"/>
      <c r="Q44" s="1351" t="str">
        <f t="shared" si="11"/>
        <v>内部装修维护情况</v>
      </c>
      <c r="R44" s="705" t="s">
        <v>14</v>
      </c>
      <c r="S44" s="706">
        <f t="shared" si="12"/>
        <v>100</v>
      </c>
      <c r="T44" s="705" t="s">
        <v>14</v>
      </c>
      <c r="U44" s="706">
        <f t="shared" si="13"/>
        <v>100</v>
      </c>
      <c r="V44" s="705" t="s">
        <v>14</v>
      </c>
      <c r="W44" s="706">
        <f t="shared" si="14"/>
        <v>100</v>
      </c>
      <c r="X44" s="1354"/>
      <c r="Y44" s="3701"/>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3"/>
      <c r="Q45" s="1342">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3"/>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4"/>
      <c r="Q47" s="1351">
        <f t="shared" si="11"/>
        <v>111</v>
      </c>
      <c r="R47" s="705" t="s">
        <v>14</v>
      </c>
      <c r="S47" s="706">
        <f t="shared" si="12"/>
        <v>100</v>
      </c>
      <c r="T47" s="705" t="s">
        <v>14</v>
      </c>
      <c r="U47" s="706">
        <f t="shared" si="13"/>
        <v>100</v>
      </c>
      <c r="V47" s="705" t="s">
        <v>14</v>
      </c>
      <c r="W47" s="706">
        <f t="shared" si="14"/>
        <v>100</v>
      </c>
      <c r="X47" s="1354"/>
      <c r="Y47" s="3715"/>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19"/>
      <c r="M48" s="2711"/>
      <c r="N48" s="2711"/>
      <c r="O48" s="2711"/>
      <c r="P48" s="3707" t="str">
        <f>A48</f>
        <v>成交单价（元/平方米）</v>
      </c>
      <c r="Q48" s="3683"/>
      <c r="R48" s="3711">
        <f>E48</f>
        <v>0</v>
      </c>
      <c r="S48" s="3711"/>
      <c r="T48" s="3711">
        <f>G48</f>
        <v>0</v>
      </c>
      <c r="U48" s="3711"/>
      <c r="V48" s="3711">
        <f>I48</f>
        <v>0</v>
      </c>
      <c r="W48" s="3711"/>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19"/>
      <c r="M49" s="2711"/>
      <c r="N49" s="2711"/>
      <c r="O49" s="2711"/>
      <c r="P49" s="3707" t="str">
        <f>A49</f>
        <v>比较价值（元/平方米）</v>
      </c>
      <c r="Q49" s="3683"/>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5"/>
      <c r="Y50" s="1945"/>
      <c r="Z50" s="1945"/>
      <c r="AA50" s="1945"/>
      <c r="AB50" s="1945"/>
      <c r="AC50" s="1946"/>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6"/>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7"/>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7"/>
      <c r="M119" s="1968"/>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7"/>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65662.34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913"/>
      <c r="M4" s="914"/>
      <c r="N4" s="914"/>
      <c r="O4" s="914"/>
      <c r="P4" s="3688" t="s">
        <v>1774</v>
      </c>
      <c r="Q4" s="3689"/>
      <c r="R4" s="3671" t="s">
        <v>1770</v>
      </c>
      <c r="S4" s="3672"/>
      <c r="T4" s="3671" t="s">
        <v>1771</v>
      </c>
      <c r="U4" s="3672"/>
      <c r="V4" s="3696" t="s">
        <v>1772</v>
      </c>
      <c r="W4" s="3696"/>
      <c r="X4" s="1354"/>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913"/>
      <c r="M5" s="914"/>
      <c r="N5" s="914"/>
      <c r="O5" s="914"/>
      <c r="P5" s="3690"/>
      <c r="Q5" s="3691"/>
      <c r="R5" s="3673"/>
      <c r="S5" s="3674"/>
      <c r="T5" s="3673"/>
      <c r="U5" s="3674"/>
      <c r="V5" s="3696"/>
      <c r="W5" s="3696"/>
      <c r="X5" s="1354"/>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913"/>
      <c r="M6" s="914"/>
      <c r="N6" s="914"/>
      <c r="O6" s="914"/>
      <c r="P6" s="3692"/>
      <c r="Q6" s="3693"/>
      <c r="R6" s="3673"/>
      <c r="S6" s="3674"/>
      <c r="T6" s="3694"/>
      <c r="U6" s="3695"/>
      <c r="V6" s="3696"/>
      <c r="W6" s="3696"/>
      <c r="X6" s="1354"/>
      <c r="Y6" s="3694"/>
      <c r="Z6" s="3695"/>
      <c r="AA6" s="3668"/>
      <c r="AB6" s="3668"/>
      <c r="AC6" s="3668"/>
    </row>
    <row r="7" spans="1:29" s="108" customFormat="1" ht="15.75" thickBot="1">
      <c r="A7" s="362" t="s">
        <v>1678</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5"/>
      <c r="M7" s="916"/>
      <c r="N7" s="916"/>
      <c r="O7" s="916"/>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9" t="s">
        <v>1682</v>
      </c>
      <c r="Q8" s="3670"/>
      <c r="R8" s="701" t="s">
        <v>14</v>
      </c>
      <c r="S8" s="702">
        <f t="shared" si="0"/>
        <v>100</v>
      </c>
      <c r="T8" s="701" t="s">
        <v>14</v>
      </c>
      <c r="U8" s="702">
        <f t="shared" si="1"/>
        <v>100</v>
      </c>
      <c r="V8" s="701" t="s">
        <v>14</v>
      </c>
      <c r="W8" s="702">
        <f t="shared" si="2"/>
        <v>100</v>
      </c>
      <c r="X8" s="703"/>
      <c r="Y8" s="3669" t="s">
        <v>1682</v>
      </c>
      <c r="Z8" s="367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1685</v>
      </c>
      <c r="Q9" s="1342"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8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1690</v>
      </c>
      <c r="Q15" s="1351" t="str">
        <f t="shared" si="6"/>
        <v>产业集聚程度</v>
      </c>
      <c r="R15" s="705" t="s">
        <v>14</v>
      </c>
      <c r="S15" s="706">
        <f t="shared" si="0"/>
        <v>100</v>
      </c>
      <c r="T15" s="705" t="s">
        <v>14</v>
      </c>
      <c r="U15" s="706">
        <f t="shared" si="1"/>
        <v>100</v>
      </c>
      <c r="V15" s="705" t="s">
        <v>14</v>
      </c>
      <c r="W15" s="706">
        <f t="shared" si="2"/>
        <v>100</v>
      </c>
      <c r="X15" s="1354"/>
      <c r="Y15" s="3698"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9"/>
      <c r="Q16" s="1351"/>
      <c r="R16" s="705"/>
      <c r="S16" s="706"/>
      <c r="T16" s="705"/>
      <c r="U16" s="706"/>
      <c r="V16" s="705"/>
      <c r="W16" s="706"/>
      <c r="X16" s="1354"/>
      <c r="Y16" s="3699"/>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9"/>
      <c r="Q18" s="1351"/>
      <c r="R18" s="705"/>
      <c r="S18" s="706"/>
      <c r="T18" s="705"/>
      <c r="U18" s="706"/>
      <c r="V18" s="705"/>
      <c r="W18" s="706"/>
      <c r="X18" s="1354"/>
      <c r="Y18" s="3699"/>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9"/>
      <c r="Q20" s="1351"/>
      <c r="R20" s="705"/>
      <c r="S20" s="706"/>
      <c r="T20" s="705"/>
      <c r="U20" s="706"/>
      <c r="V20" s="705"/>
      <c r="W20" s="706"/>
      <c r="X20" s="1354"/>
      <c r="Y20" s="3699"/>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9"/>
      <c r="Q22" s="1351"/>
      <c r="R22" s="705"/>
      <c r="S22" s="706"/>
      <c r="T22" s="705"/>
      <c r="U22" s="706"/>
      <c r="V22" s="705"/>
      <c r="W22" s="706"/>
      <c r="X22" s="1354"/>
      <c r="Y22" s="3699"/>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1" t="str">
        <f>B23</f>
        <v>环境质量</v>
      </c>
      <c r="R23" s="705" t="s">
        <v>14</v>
      </c>
      <c r="S23" s="706">
        <f>F23</f>
        <v>100</v>
      </c>
      <c r="T23" s="705" t="s">
        <v>14</v>
      </c>
      <c r="U23" s="706">
        <f>H23</f>
        <v>100</v>
      </c>
      <c r="V23" s="705" t="s">
        <v>14</v>
      </c>
      <c r="W23" s="706">
        <f>J23</f>
        <v>100</v>
      </c>
      <c r="X23" s="1354"/>
      <c r="Y23" s="369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9"/>
      <c r="Q24" s="1351"/>
      <c r="R24" s="705"/>
      <c r="S24" s="706"/>
      <c r="T24" s="705"/>
      <c r="U24" s="706"/>
      <c r="V24" s="705"/>
      <c r="W24" s="706"/>
      <c r="X24" s="1354"/>
      <c r="Y24" s="369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1">
        <f>B25</f>
        <v>111</v>
      </c>
      <c r="R25" s="705" t="s">
        <v>14</v>
      </c>
      <c r="S25" s="706">
        <f>F25</f>
        <v>100</v>
      </c>
      <c r="T25" s="705" t="s">
        <v>14</v>
      </c>
      <c r="U25" s="706">
        <f>H25</f>
        <v>100</v>
      </c>
      <c r="V25" s="705" t="s">
        <v>14</v>
      </c>
      <c r="W25" s="706">
        <f>J25</f>
        <v>100</v>
      </c>
      <c r="X25" s="1354"/>
      <c r="Y25" s="369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1">
        <f t="shared" ref="Q26:Q40" si="11">B26</f>
        <v>111</v>
      </c>
      <c r="R26" s="705" t="s">
        <v>14</v>
      </c>
      <c r="S26" s="706">
        <f>F26</f>
        <v>100</v>
      </c>
      <c r="T26" s="705" t="s">
        <v>14</v>
      </c>
      <c r="U26" s="706">
        <f>H26</f>
        <v>100</v>
      </c>
      <c r="V26" s="705" t="s">
        <v>14</v>
      </c>
      <c r="W26" s="706">
        <f>J26</f>
        <v>100</v>
      </c>
      <c r="X26" s="1354"/>
      <c r="Y26" s="369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2">
        <f t="shared" si="11"/>
        <v>111</v>
      </c>
      <c r="R27" s="701" t="s">
        <v>14</v>
      </c>
      <c r="S27" s="702">
        <f>F27</f>
        <v>100</v>
      </c>
      <c r="T27" s="701" t="s">
        <v>14</v>
      </c>
      <c r="U27" s="702">
        <f>H27</f>
        <v>100</v>
      </c>
      <c r="V27" s="701" t="s">
        <v>14</v>
      </c>
      <c r="W27" s="702">
        <f>J27</f>
        <v>100</v>
      </c>
      <c r="X27" s="703"/>
      <c r="Y27" s="369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1">
        <f t="shared" si="11"/>
        <v>111</v>
      </c>
      <c r="R28" s="705" t="s">
        <v>14</v>
      </c>
      <c r="S28" s="706">
        <f t="shared" ref="S28:S40" si="12">F28</f>
        <v>100</v>
      </c>
      <c r="T28" s="705" t="s">
        <v>14</v>
      </c>
      <c r="U28" s="706">
        <f t="shared" ref="U28:U40" si="13">H28</f>
        <v>100</v>
      </c>
      <c r="V28" s="705" t="s">
        <v>14</v>
      </c>
      <c r="W28" s="706">
        <f t="shared" ref="W28:W40" si="14">J28</f>
        <v>100</v>
      </c>
      <c r="X28" s="1354"/>
      <c r="Y28" s="3699"/>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0" t="s">
        <v>1695</v>
      </c>
      <c r="Q29" s="1351" t="str">
        <f t="shared" si="11"/>
        <v>建筑类型</v>
      </c>
      <c r="R29" s="705" t="s">
        <v>14</v>
      </c>
      <c r="S29" s="706">
        <f t="shared" si="12"/>
        <v>100</v>
      </c>
      <c r="T29" s="705" t="s">
        <v>14</v>
      </c>
      <c r="U29" s="706">
        <f t="shared" si="13"/>
        <v>100</v>
      </c>
      <c r="V29" s="705" t="s">
        <v>14</v>
      </c>
      <c r="W29" s="706">
        <f t="shared" si="14"/>
        <v>100</v>
      </c>
      <c r="X29" s="1354"/>
      <c r="Y29" s="3701"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1" t="str">
        <f t="shared" si="11"/>
        <v>建筑结构</v>
      </c>
      <c r="R31" s="705" t="s">
        <v>14</v>
      </c>
      <c r="S31" s="706">
        <f t="shared" si="12"/>
        <v>100</v>
      </c>
      <c r="T31" s="705" t="s">
        <v>14</v>
      </c>
      <c r="U31" s="706">
        <f t="shared" si="13"/>
        <v>100</v>
      </c>
      <c r="V31" s="705" t="s">
        <v>14</v>
      </c>
      <c r="W31" s="706">
        <f t="shared" si="14"/>
        <v>100</v>
      </c>
      <c r="X31" s="1354"/>
      <c r="Y31" s="3701"/>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1" t="str">
        <f t="shared" si="11"/>
        <v>公共部分装修</v>
      </c>
      <c r="R32" s="705" t="s">
        <v>14</v>
      </c>
      <c r="S32" s="706">
        <f t="shared" si="12"/>
        <v>100</v>
      </c>
      <c r="T32" s="705" t="s">
        <v>14</v>
      </c>
      <c r="U32" s="706">
        <f t="shared" si="13"/>
        <v>100</v>
      </c>
      <c r="V32" s="705" t="s">
        <v>14</v>
      </c>
      <c r="W32" s="706">
        <f t="shared" si="14"/>
        <v>100</v>
      </c>
      <c r="X32" s="1354"/>
      <c r="Y32" s="3701"/>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1" t="str">
        <f t="shared" si="11"/>
        <v>成新度</v>
      </c>
      <c r="R33" s="705" t="s">
        <v>14</v>
      </c>
      <c r="S33" s="706" t="e">
        <f t="shared" si="12"/>
        <v>#N/A</v>
      </c>
      <c r="T33" s="705" t="s">
        <v>14</v>
      </c>
      <c r="U33" s="706" t="e">
        <f t="shared" si="13"/>
        <v>#N/A</v>
      </c>
      <c r="V33" s="705" t="s">
        <v>14</v>
      </c>
      <c r="W33" s="706" t="e">
        <f t="shared" si="14"/>
        <v>#N/A</v>
      </c>
      <c r="X33" s="1354"/>
      <c r="Y33" s="3701"/>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2"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1695</v>
      </c>
      <c r="Q35" s="1351" t="str">
        <f t="shared" si="11"/>
        <v>市政基础设施</v>
      </c>
      <c r="R35" s="705" t="s">
        <v>14</v>
      </c>
      <c r="S35" s="706">
        <f t="shared" si="12"/>
        <v>100</v>
      </c>
      <c r="T35" s="705" t="s">
        <v>14</v>
      </c>
      <c r="U35" s="706">
        <f t="shared" si="13"/>
        <v>100</v>
      </c>
      <c r="V35" s="705" t="s">
        <v>14</v>
      </c>
      <c r="W35" s="706">
        <f t="shared" si="14"/>
        <v>100</v>
      </c>
      <c r="X35" s="1354"/>
      <c r="Y35" s="3701"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1" t="str">
        <f t="shared" si="11"/>
        <v>内部装修</v>
      </c>
      <c r="R36" s="705" t="s">
        <v>14</v>
      </c>
      <c r="S36" s="706">
        <f t="shared" si="12"/>
        <v>100</v>
      </c>
      <c r="T36" s="705" t="s">
        <v>14</v>
      </c>
      <c r="U36" s="706">
        <f t="shared" si="13"/>
        <v>100</v>
      </c>
      <c r="V36" s="705" t="s">
        <v>14</v>
      </c>
      <c r="W36" s="706">
        <f t="shared" si="14"/>
        <v>100</v>
      </c>
      <c r="X36" s="1354"/>
      <c r="Y36" s="3701"/>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1" t="str">
        <f t="shared" si="11"/>
        <v>内部装修状况</v>
      </c>
      <c r="R37" s="705" t="s">
        <v>14</v>
      </c>
      <c r="S37" s="706">
        <f t="shared" si="12"/>
        <v>100</v>
      </c>
      <c r="T37" s="705" t="s">
        <v>14</v>
      </c>
      <c r="U37" s="706">
        <f t="shared" si="13"/>
        <v>100</v>
      </c>
      <c r="V37" s="705" t="s">
        <v>14</v>
      </c>
      <c r="W37" s="706">
        <f t="shared" si="14"/>
        <v>100</v>
      </c>
      <c r="X37" s="1354"/>
      <c r="Y37" s="3701"/>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1">
        <f t="shared" si="11"/>
        <v>111</v>
      </c>
      <c r="R39" s="705" t="s">
        <v>14</v>
      </c>
      <c r="S39" s="706">
        <f t="shared" si="12"/>
        <v>100</v>
      </c>
      <c r="T39" s="705" t="s">
        <v>14</v>
      </c>
      <c r="U39" s="706">
        <f t="shared" si="13"/>
        <v>100</v>
      </c>
      <c r="V39" s="705" t="s">
        <v>14</v>
      </c>
      <c r="W39" s="706">
        <f t="shared" si="14"/>
        <v>100</v>
      </c>
      <c r="X39" s="1354"/>
      <c r="Y39" s="370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1">
        <f t="shared" si="11"/>
        <v>111</v>
      </c>
      <c r="R40" s="705" t="s">
        <v>14</v>
      </c>
      <c r="S40" s="706">
        <f t="shared" si="12"/>
        <v>100</v>
      </c>
      <c r="T40" s="705" t="s">
        <v>14</v>
      </c>
      <c r="U40" s="706">
        <f t="shared" si="13"/>
        <v>100</v>
      </c>
      <c r="V40" s="705" t="s">
        <v>14</v>
      </c>
      <c r="W40" s="706">
        <f t="shared" si="14"/>
        <v>100</v>
      </c>
      <c r="X40" s="1354"/>
      <c r="Y40" s="3715"/>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83" t="str">
        <f>A41</f>
        <v>成交单价（元/平方米）</v>
      </c>
      <c r="Q41" s="3683"/>
      <c r="R41" s="3711">
        <f>E41</f>
        <v>0</v>
      </c>
      <c r="S41" s="3711"/>
      <c r="T41" s="3711">
        <f>G41</f>
        <v>0</v>
      </c>
      <c r="U41" s="3711"/>
      <c r="V41" s="3711">
        <f>I41</f>
        <v>0</v>
      </c>
      <c r="W41" s="3711"/>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83" t="str">
        <f>A42</f>
        <v>比较价值（元/平方米）</v>
      </c>
      <c r="Q42" s="3683"/>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上海浦东发展银行：</v>
      </c>
    </row>
    <row r="4" spans="1:1" ht="18">
      <c r="A4" s="1479" t="str">
        <f>"受贵公司委托，我公司对"&amp;项目基本情况!S1&amp;"进行了预评估。"</f>
        <v>受贵公司委托，我公司对北京市昌平区黄平路19号院3号楼商业及地下车库用房房地产抵押价值进行了预评估。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北京市泰华房地产开发集团有限公司所有。根据《国有土地使用证》[]，估价对象（分摊）出让国有建设用地使用权面积为17111.18平方米，建筑面积为65662.34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北京市泰华房地产开发集团有限公司开发建设的商业项目，该项目尚在开发建设中。根据《国有土地使用证》[]，估价对象（分摊）出让国有建设用地使用权面积为17111.18平方米，规划建筑面积为65662.34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3331</v>
      </c>
      <c r="C1" s="1223" t="s">
        <v>1661</v>
      </c>
      <c r="D1" s="1224"/>
      <c r="E1" s="3428"/>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0"/>
      <c r="M4" s="2711"/>
      <c r="N4" s="2711"/>
      <c r="O4" s="2711"/>
      <c r="P4" s="3688" t="s">
        <v>1774</v>
      </c>
      <c r="Q4" s="3689"/>
      <c r="R4" s="3671" t="s">
        <v>1770</v>
      </c>
      <c r="S4" s="3672"/>
      <c r="T4" s="3671" t="s">
        <v>1771</v>
      </c>
      <c r="U4" s="3672"/>
      <c r="V4" s="3696" t="s">
        <v>1772</v>
      </c>
      <c r="W4" s="3696"/>
      <c r="X4" s="1354"/>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0"/>
      <c r="M5" s="2711"/>
      <c r="N5" s="2711"/>
      <c r="O5" s="2711"/>
      <c r="P5" s="3690"/>
      <c r="Q5" s="3691"/>
      <c r="R5" s="3673"/>
      <c r="S5" s="3674"/>
      <c r="T5" s="3673"/>
      <c r="U5" s="3674"/>
      <c r="V5" s="3696"/>
      <c r="W5" s="3696"/>
      <c r="X5" s="1354"/>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10"/>
      <c r="M6" s="2711"/>
      <c r="N6" s="2711"/>
      <c r="O6" s="2711"/>
      <c r="P6" s="3692"/>
      <c r="Q6" s="3693"/>
      <c r="R6" s="3673"/>
      <c r="S6" s="3674"/>
      <c r="T6" s="3694"/>
      <c r="U6" s="3695"/>
      <c r="V6" s="3696"/>
      <c r="W6" s="3696"/>
      <c r="X6" s="1354"/>
      <c r="Y6" s="3694"/>
      <c r="Z6" s="3695"/>
      <c r="AA6" s="3668"/>
      <c r="AB6" s="3668"/>
      <c r="AC6" s="3668"/>
    </row>
    <row r="7" spans="1:29" s="108" customFormat="1" ht="15.75" thickBot="1">
      <c r="A7" s="362" t="s">
        <v>1678</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9" t="s">
        <v>1679</v>
      </c>
      <c r="Q7" s="3697"/>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9" t="s">
        <v>1682</v>
      </c>
      <c r="Q8" s="3670"/>
      <c r="R8" s="701" t="s">
        <v>14</v>
      </c>
      <c r="S8" s="702">
        <f t="shared" si="0"/>
        <v>100</v>
      </c>
      <c r="T8" s="701" t="s">
        <v>14</v>
      </c>
      <c r="U8" s="702">
        <f t="shared" si="1"/>
        <v>100</v>
      </c>
      <c r="V8" s="701" t="s">
        <v>14</v>
      </c>
      <c r="W8" s="702">
        <f t="shared" si="2"/>
        <v>100</v>
      </c>
      <c r="X8" s="703"/>
      <c r="Y8" s="3669" t="s">
        <v>1682</v>
      </c>
      <c r="Z8" s="367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83" t="s">
        <v>1685</v>
      </c>
      <c r="Q9" s="1342"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8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8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8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8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8" t="s">
        <v>1690</v>
      </c>
      <c r="Q14" s="1351" t="str">
        <f t="shared" si="6"/>
        <v>交通便捷度</v>
      </c>
      <c r="R14" s="705" t="s">
        <v>14</v>
      </c>
      <c r="S14" s="706">
        <f t="shared" si="0"/>
        <v>100</v>
      </c>
      <c r="T14" s="705" t="s">
        <v>14</v>
      </c>
      <c r="U14" s="706">
        <f t="shared" si="1"/>
        <v>100</v>
      </c>
      <c r="V14" s="705" t="s">
        <v>14</v>
      </c>
      <c r="W14" s="706">
        <f t="shared" si="2"/>
        <v>100</v>
      </c>
      <c r="X14" s="1354"/>
      <c r="Y14" s="3698"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699"/>
      <c r="Q15" s="1351"/>
      <c r="R15" s="705"/>
      <c r="S15" s="706"/>
      <c r="T15" s="705"/>
      <c r="U15" s="706"/>
      <c r="V15" s="705"/>
      <c r="W15" s="706"/>
      <c r="X15" s="1354"/>
      <c r="Y15" s="3699"/>
      <c r="Z15" s="1355"/>
      <c r="AA15" s="1352">
        <v>1</v>
      </c>
      <c r="AB15" s="1352">
        <v>1</v>
      </c>
      <c r="AC15" s="1352">
        <v>1</v>
      </c>
    </row>
    <row r="16" spans="1:29" ht="42.75">
      <c r="A16" s="358"/>
      <c r="B16" s="579" t="s">
        <v>1811</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9"/>
      <c r="Q16" s="1351" t="str">
        <f>B16</f>
        <v>公共配套设施</v>
      </c>
      <c r="R16" s="705" t="s">
        <v>14</v>
      </c>
      <c r="S16" s="706">
        <f>F16</f>
        <v>100</v>
      </c>
      <c r="T16" s="705" t="s">
        <v>14</v>
      </c>
      <c r="U16" s="706">
        <f>H16</f>
        <v>100</v>
      </c>
      <c r="V16" s="705" t="s">
        <v>14</v>
      </c>
      <c r="W16" s="706">
        <f>J16</f>
        <v>100</v>
      </c>
      <c r="X16" s="1354"/>
      <c r="Y16" s="369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7"/>
      <c r="M17" s="2711"/>
      <c r="N17" s="2711"/>
      <c r="O17" s="2711"/>
      <c r="P17" s="3699"/>
      <c r="Q17" s="1351"/>
      <c r="R17" s="705"/>
      <c r="S17" s="706"/>
      <c r="T17" s="705"/>
      <c r="U17" s="706"/>
      <c r="V17" s="705"/>
      <c r="W17" s="706"/>
      <c r="X17" s="1354"/>
      <c r="Y17" s="3699"/>
      <c r="Z17" s="1355"/>
      <c r="AA17" s="1352">
        <v>1</v>
      </c>
      <c r="AB17" s="1352">
        <v>1</v>
      </c>
      <c r="AC17" s="1352">
        <v>1</v>
      </c>
    </row>
    <row r="18" spans="1:29" ht="28.5">
      <c r="A18" s="358"/>
      <c r="B18" s="581"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9"/>
      <c r="Q18" s="1351" t="str">
        <f>B18</f>
        <v>基础设施水平</v>
      </c>
      <c r="R18" s="705" t="s">
        <v>14</v>
      </c>
      <c r="S18" s="706">
        <f>F18</f>
        <v>100</v>
      </c>
      <c r="T18" s="705" t="s">
        <v>14</v>
      </c>
      <c r="U18" s="706">
        <f>H18</f>
        <v>100</v>
      </c>
      <c r="V18" s="705" t="s">
        <v>14</v>
      </c>
      <c r="W18" s="706">
        <f>J18</f>
        <v>100</v>
      </c>
      <c r="X18" s="1354"/>
      <c r="Y18" s="369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7"/>
      <c r="M19" s="2711"/>
      <c r="N19" s="2711"/>
      <c r="O19" s="2711"/>
      <c r="P19" s="3699"/>
      <c r="Q19" s="1351"/>
      <c r="R19" s="705"/>
      <c r="S19" s="706"/>
      <c r="T19" s="705"/>
      <c r="U19" s="706"/>
      <c r="V19" s="705"/>
      <c r="W19" s="706"/>
      <c r="X19" s="1354"/>
      <c r="Y19" s="3699"/>
      <c r="Z19" s="1355"/>
      <c r="AA19" s="1352">
        <v>1</v>
      </c>
      <c r="AB19" s="1352">
        <v>1</v>
      </c>
      <c r="AC19" s="1352">
        <v>1</v>
      </c>
    </row>
    <row r="20" spans="1:29" ht="57">
      <c r="A20" s="358"/>
      <c r="B20" s="579"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9"/>
      <c r="Q20" s="1351" t="str">
        <f>B20</f>
        <v>自然及人文环境</v>
      </c>
      <c r="R20" s="705" t="s">
        <v>14</v>
      </c>
      <c r="S20" s="706">
        <f>F20</f>
        <v>100</v>
      </c>
      <c r="T20" s="705" t="s">
        <v>14</v>
      </c>
      <c r="U20" s="706">
        <f>H20</f>
        <v>100</v>
      </c>
      <c r="V20" s="705" t="s">
        <v>14</v>
      </c>
      <c r="W20" s="706">
        <f>J20</f>
        <v>100</v>
      </c>
      <c r="X20" s="1354"/>
      <c r="Y20" s="369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699"/>
      <c r="Q21" s="1351"/>
      <c r="R21" s="705"/>
      <c r="S21" s="706"/>
      <c r="T21" s="705"/>
      <c r="U21" s="706"/>
      <c r="V21" s="705"/>
      <c r="W21" s="706"/>
      <c r="X21" s="1354"/>
      <c r="Y21" s="3699"/>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9"/>
      <c r="Q22" s="1351" t="str">
        <f>B22</f>
        <v>楼层</v>
      </c>
      <c r="R22" s="705" t="s">
        <v>14</v>
      </c>
      <c r="S22" s="706">
        <f>F22</f>
        <v>100</v>
      </c>
      <c r="T22" s="705" t="s">
        <v>14</v>
      </c>
      <c r="U22" s="706">
        <f>H22</f>
        <v>100</v>
      </c>
      <c r="V22" s="705" t="s">
        <v>14</v>
      </c>
      <c r="W22" s="706">
        <f>J22</f>
        <v>100</v>
      </c>
      <c r="X22" s="1354"/>
      <c r="Y22" s="369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9"/>
      <c r="Q23" s="1351">
        <f>B23</f>
        <v>111</v>
      </c>
      <c r="R23" s="705" t="s">
        <v>14</v>
      </c>
      <c r="S23" s="706">
        <f>F23</f>
        <v>100</v>
      </c>
      <c r="T23" s="705" t="s">
        <v>14</v>
      </c>
      <c r="U23" s="706">
        <f>H23</f>
        <v>100</v>
      </c>
      <c r="V23" s="705" t="s">
        <v>14</v>
      </c>
      <c r="W23" s="706">
        <f>J23</f>
        <v>100</v>
      </c>
      <c r="X23" s="1354"/>
      <c r="Y23" s="369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9"/>
      <c r="Q24" s="1351">
        <f t="shared" ref="Q24:Q36" si="11">B24</f>
        <v>111</v>
      </c>
      <c r="R24" s="705" t="s">
        <v>14</v>
      </c>
      <c r="S24" s="706">
        <f>F24</f>
        <v>100</v>
      </c>
      <c r="T24" s="705" t="s">
        <v>14</v>
      </c>
      <c r="U24" s="706">
        <f>H24</f>
        <v>100</v>
      </c>
      <c r="V24" s="705" t="s">
        <v>14</v>
      </c>
      <c r="W24" s="706">
        <f>J24</f>
        <v>100</v>
      </c>
      <c r="X24" s="1354"/>
      <c r="Y24" s="369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9"/>
      <c r="Q25" s="1342">
        <f t="shared" si="11"/>
        <v>111</v>
      </c>
      <c r="R25" s="701" t="s">
        <v>14</v>
      </c>
      <c r="S25" s="702">
        <f>F25</f>
        <v>100</v>
      </c>
      <c r="T25" s="701" t="s">
        <v>14</v>
      </c>
      <c r="U25" s="702">
        <f>H25</f>
        <v>100</v>
      </c>
      <c r="V25" s="701" t="s">
        <v>14</v>
      </c>
      <c r="W25" s="702">
        <f>J25</f>
        <v>100</v>
      </c>
      <c r="X25" s="703"/>
      <c r="Y25" s="3699"/>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00"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1"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1"/>
      <c r="Q28" s="1351" t="str">
        <f t="shared" si="11"/>
        <v>公共部分装修</v>
      </c>
      <c r="R28" s="705" t="s">
        <v>14</v>
      </c>
      <c r="S28" s="706">
        <f t="shared" si="12"/>
        <v>100</v>
      </c>
      <c r="T28" s="705" t="s">
        <v>14</v>
      </c>
      <c r="U28" s="706">
        <f t="shared" si="13"/>
        <v>100</v>
      </c>
      <c r="V28" s="705" t="s">
        <v>14</v>
      </c>
      <c r="W28" s="706">
        <f t="shared" si="14"/>
        <v>100</v>
      </c>
      <c r="X28" s="1354"/>
      <c r="Y28" s="3701"/>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1"/>
      <c r="Q29" s="1351" t="str">
        <f t="shared" si="11"/>
        <v>成新率</v>
      </c>
      <c r="R29" s="705" t="s">
        <v>14</v>
      </c>
      <c r="S29" s="706" t="e">
        <f t="shared" si="12"/>
        <v>#N/A</v>
      </c>
      <c r="T29" s="705" t="s">
        <v>14</v>
      </c>
      <c r="U29" s="706" t="e">
        <f t="shared" si="13"/>
        <v>#N/A</v>
      </c>
      <c r="V29" s="705" t="s">
        <v>14</v>
      </c>
      <c r="W29" s="706" t="e">
        <f t="shared" si="14"/>
        <v>#N/A</v>
      </c>
      <c r="X29" s="1354"/>
      <c r="Y29" s="3701"/>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1"/>
      <c r="Q30" s="1351" t="str">
        <f t="shared" si="11"/>
        <v>物业等级</v>
      </c>
      <c r="R30" s="705" t="s">
        <v>14</v>
      </c>
      <c r="S30" s="706">
        <f t="shared" si="12"/>
        <v>100</v>
      </c>
      <c r="T30" s="705" t="s">
        <v>14</v>
      </c>
      <c r="U30" s="706">
        <f t="shared" si="13"/>
        <v>100</v>
      </c>
      <c r="V30" s="705" t="s">
        <v>14</v>
      </c>
      <c r="W30" s="706">
        <f t="shared" si="14"/>
        <v>100</v>
      </c>
      <c r="X30" s="1354"/>
      <c r="Y30" s="3701"/>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1"/>
      <c r="Q31" s="1342"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1" t="s">
        <v>1695</v>
      </c>
      <c r="Q32" s="1351" t="str">
        <f t="shared" si="11"/>
        <v>车位类型</v>
      </c>
      <c r="R32" s="705" t="s">
        <v>14</v>
      </c>
      <c r="S32" s="706">
        <f t="shared" si="12"/>
        <v>100</v>
      </c>
      <c r="T32" s="705" t="s">
        <v>14</v>
      </c>
      <c r="U32" s="706">
        <f t="shared" si="13"/>
        <v>100</v>
      </c>
      <c r="V32" s="705" t="s">
        <v>14</v>
      </c>
      <c r="W32" s="706">
        <f t="shared" si="14"/>
        <v>100</v>
      </c>
      <c r="X32" s="1354"/>
      <c r="Y32" s="3701"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1"/>
      <c r="Q33" s="1351" t="str">
        <f t="shared" si="11"/>
        <v>是否直接入户</v>
      </c>
      <c r="R33" s="705" t="s">
        <v>14</v>
      </c>
      <c r="S33" s="706">
        <f t="shared" si="12"/>
        <v>100</v>
      </c>
      <c r="T33" s="705" t="s">
        <v>14</v>
      </c>
      <c r="U33" s="706">
        <f t="shared" si="13"/>
        <v>100</v>
      </c>
      <c r="V33" s="705" t="s">
        <v>14</v>
      </c>
      <c r="W33" s="706">
        <f t="shared" si="14"/>
        <v>100</v>
      </c>
      <c r="X33" s="1354"/>
      <c r="Y33" s="370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1"/>
      <c r="Q36" s="1351">
        <f t="shared" si="11"/>
        <v>111</v>
      </c>
      <c r="R36" s="705" t="s">
        <v>14</v>
      </c>
      <c r="S36" s="706">
        <f t="shared" si="12"/>
        <v>100</v>
      </c>
      <c r="T36" s="705" t="s">
        <v>14</v>
      </c>
      <c r="U36" s="706">
        <f t="shared" si="13"/>
        <v>100</v>
      </c>
      <c r="V36" s="705" t="s">
        <v>14</v>
      </c>
      <c r="W36" s="706">
        <f t="shared" si="14"/>
        <v>100</v>
      </c>
      <c r="X36" s="1354"/>
      <c r="Y36" s="3701"/>
      <c r="Z36" s="1355">
        <f t="shared" si="15"/>
        <v>111</v>
      </c>
      <c r="AA36" s="1352">
        <f t="shared" si="3"/>
        <v>1</v>
      </c>
      <c r="AB36" s="1352">
        <f t="shared" si="4"/>
        <v>1</v>
      </c>
      <c r="AC36" s="1352">
        <f t="shared" si="5"/>
        <v>1</v>
      </c>
    </row>
    <row r="37" spans="1:29" ht="15">
      <c r="A37" s="430" t="s">
        <v>1843</v>
      </c>
      <c r="B37" s="1972" t="s">
        <v>3351</v>
      </c>
      <c r="C37" s="1154" t="s">
        <v>0</v>
      </c>
      <c r="D37" s="1155"/>
      <c r="E37" s="1156"/>
      <c r="F37" s="1157"/>
      <c r="G37" s="1158"/>
      <c r="H37" s="1159"/>
      <c r="I37" s="1156"/>
      <c r="J37" s="1159"/>
      <c r="K37" s="568"/>
      <c r="L37" s="2719"/>
      <c r="M37" s="2720"/>
      <c r="N37" s="2711"/>
      <c r="O37" s="2720"/>
      <c r="P37" s="3683" t="str">
        <f>A37</f>
        <v>成交单价</v>
      </c>
      <c r="Q37" s="3683"/>
      <c r="R37" s="3711">
        <f>E37</f>
        <v>0</v>
      </c>
      <c r="S37" s="3711"/>
      <c r="T37" s="3711">
        <f>G37</f>
        <v>0</v>
      </c>
      <c r="U37" s="3711"/>
      <c r="V37" s="3711">
        <f>I37</f>
        <v>0</v>
      </c>
      <c r="W37" s="3711"/>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19"/>
      <c r="M38" s="2720"/>
      <c r="N38" s="2720"/>
      <c r="O38" s="2720"/>
      <c r="P38" s="3683" t="str">
        <f>A38</f>
        <v>比较价值（元/平方米）</v>
      </c>
      <c r="Q38" s="3683"/>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703" t="str">
        <f>A39</f>
        <v>估价对象XX用房的比较价值（楼面单价，元/平方米）</v>
      </c>
      <c r="Q39" s="3704"/>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3332</v>
      </c>
      <c r="C1" s="1223" t="s">
        <v>1661</v>
      </c>
      <c r="D1" s="1224"/>
      <c r="E1" s="3428"/>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0"/>
      <c r="M4" s="2711"/>
      <c r="N4" s="2711"/>
      <c r="O4" s="2711"/>
      <c r="P4" s="3688" t="s">
        <v>1774</v>
      </c>
      <c r="Q4" s="3689"/>
      <c r="R4" s="3671" t="s">
        <v>1770</v>
      </c>
      <c r="S4" s="3672"/>
      <c r="T4" s="3671" t="s">
        <v>1771</v>
      </c>
      <c r="U4" s="3672"/>
      <c r="V4" s="3696" t="s">
        <v>1772</v>
      </c>
      <c r="W4" s="3696"/>
      <c r="X4" s="1354"/>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0"/>
      <c r="M5" s="2711"/>
      <c r="N5" s="2711"/>
      <c r="O5" s="2711"/>
      <c r="P5" s="3690"/>
      <c r="Q5" s="3691"/>
      <c r="R5" s="3673"/>
      <c r="S5" s="3674"/>
      <c r="T5" s="3673"/>
      <c r="U5" s="3674"/>
      <c r="V5" s="3696"/>
      <c r="W5" s="3696"/>
      <c r="X5" s="1354"/>
      <c r="Y5" s="3673"/>
      <c r="Z5" s="3674"/>
      <c r="AA5" s="3667"/>
      <c r="AB5" s="3667"/>
      <c r="AC5" s="3667"/>
    </row>
    <row r="6" spans="1:29" ht="15.75" thickBot="1">
      <c r="A6" s="360"/>
      <c r="B6" s="361"/>
      <c r="C6" s="3679" t="s">
        <v>1676</v>
      </c>
      <c r="D6" s="3680"/>
      <c r="E6" s="3681" t="s">
        <v>1676</v>
      </c>
      <c r="F6" s="3682"/>
      <c r="G6" s="3679" t="s">
        <v>1676</v>
      </c>
      <c r="H6" s="3680"/>
      <c r="I6" s="3679" t="s">
        <v>1676</v>
      </c>
      <c r="J6" s="3680"/>
      <c r="K6" s="559" t="s">
        <v>1677</v>
      </c>
      <c r="L6" s="2710"/>
      <c r="M6" s="2711"/>
      <c r="N6" s="2711"/>
      <c r="O6" s="2711"/>
      <c r="P6" s="3692"/>
      <c r="Q6" s="3693"/>
      <c r="R6" s="3673"/>
      <c r="S6" s="3674"/>
      <c r="T6" s="3694"/>
      <c r="U6" s="3695"/>
      <c r="V6" s="3696"/>
      <c r="W6" s="3696"/>
      <c r="X6" s="1354"/>
      <c r="Y6" s="3694"/>
      <c r="Z6" s="3695"/>
      <c r="AA6" s="3668"/>
      <c r="AB6" s="3668"/>
      <c r="AC6" s="3668"/>
    </row>
    <row r="7" spans="1:29" s="108" customFormat="1" ht="15.75" thickBot="1">
      <c r="A7" s="362" t="s">
        <v>1678</v>
      </c>
      <c r="B7" s="363"/>
      <c r="C7" s="364">
        <f>'数据-取费表'!B2</f>
        <v>45058</v>
      </c>
      <c r="D7" s="365">
        <v>100</v>
      </c>
      <c r="E7" s="366"/>
      <c r="F7" s="367">
        <f>SUMIF(46:46,YEAR(E7)&amp;"-"&amp;MONTH(E7),47:47)</f>
        <v>0</v>
      </c>
      <c r="G7" s="1973"/>
      <c r="H7" s="365">
        <f>SUMIF(46:46,YEAR(G7)&amp;"-"&amp;MONTH(G7),47:47)</f>
        <v>0</v>
      </c>
      <c r="I7" s="366"/>
      <c r="J7" s="365">
        <f>SUMIF(46:46,YEAR(I7)&amp;"-"&amp;MONTH(I7),47:47)</f>
        <v>0</v>
      </c>
      <c r="K7" s="560"/>
      <c r="L7" s="2712"/>
      <c r="M7" s="2713"/>
      <c r="N7" s="2713"/>
      <c r="O7" s="2713"/>
      <c r="P7" s="3669" t="s">
        <v>1679</v>
      </c>
      <c r="Q7" s="3697"/>
      <c r="R7" s="701" t="s">
        <v>14</v>
      </c>
      <c r="S7" s="702">
        <f t="shared" ref="S7:S14" si="0">F7</f>
        <v>0</v>
      </c>
      <c r="T7" s="701" t="s">
        <v>14</v>
      </c>
      <c r="U7" s="702">
        <f t="shared" ref="U7:U14" si="1">H7</f>
        <v>0</v>
      </c>
      <c r="V7" s="701" t="s">
        <v>14</v>
      </c>
      <c r="W7" s="702">
        <f t="shared" ref="W7:W14" si="2">J7</f>
        <v>0</v>
      </c>
      <c r="X7" s="703"/>
      <c r="Y7" s="3669" t="s">
        <v>1679</v>
      </c>
      <c r="Z7" s="367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9" t="s">
        <v>1682</v>
      </c>
      <c r="Q8" s="3670"/>
      <c r="R8" s="701" t="s">
        <v>14</v>
      </c>
      <c r="S8" s="702">
        <f t="shared" si="0"/>
        <v>100</v>
      </c>
      <c r="T8" s="701" t="s">
        <v>14</v>
      </c>
      <c r="U8" s="702">
        <f t="shared" si="1"/>
        <v>100</v>
      </c>
      <c r="V8" s="701" t="s">
        <v>14</v>
      </c>
      <c r="W8" s="702">
        <f t="shared" si="2"/>
        <v>100</v>
      </c>
      <c r="X8" s="703"/>
      <c r="Y8" s="3669" t="s">
        <v>1682</v>
      </c>
      <c r="Z8" s="367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83" t="s">
        <v>1685</v>
      </c>
      <c r="Q9" s="1342" t="str">
        <f t="shared" ref="Q9:Q14" si="6">B9</f>
        <v>用途</v>
      </c>
      <c r="R9" s="701" t="s">
        <v>14</v>
      </c>
      <c r="S9" s="702">
        <f t="shared" si="0"/>
        <v>100</v>
      </c>
      <c r="T9" s="701" t="s">
        <v>14</v>
      </c>
      <c r="U9" s="702">
        <f t="shared" si="1"/>
        <v>100</v>
      </c>
      <c r="V9" s="701" t="s">
        <v>14</v>
      </c>
      <c r="W9" s="702">
        <f t="shared" si="2"/>
        <v>100</v>
      </c>
      <c r="X9" s="703"/>
      <c r="Y9" s="3615"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8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8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8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7"/>
      <c r="M13" s="2711"/>
      <c r="N13" s="2711"/>
      <c r="O13" s="2769"/>
      <c r="P13" s="368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8" t="s">
        <v>1690</v>
      </c>
      <c r="Q14" s="1351" t="str">
        <f t="shared" si="6"/>
        <v>交通便捷度</v>
      </c>
      <c r="R14" s="705" t="s">
        <v>14</v>
      </c>
      <c r="S14" s="706">
        <f t="shared" si="0"/>
        <v>100</v>
      </c>
      <c r="T14" s="705" t="s">
        <v>14</v>
      </c>
      <c r="U14" s="706">
        <f t="shared" si="1"/>
        <v>100</v>
      </c>
      <c r="V14" s="705" t="s">
        <v>14</v>
      </c>
      <c r="W14" s="706">
        <f t="shared" si="2"/>
        <v>100</v>
      </c>
      <c r="X14" s="1354"/>
      <c r="Y14" s="3698"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699"/>
      <c r="Q15" s="1351"/>
      <c r="R15" s="705"/>
      <c r="S15" s="706"/>
      <c r="T15" s="705"/>
      <c r="U15" s="706"/>
      <c r="V15" s="705"/>
      <c r="W15" s="706"/>
      <c r="X15" s="1354"/>
      <c r="Y15" s="3699"/>
      <c r="Z15" s="1355"/>
      <c r="AA15" s="1352">
        <v>1</v>
      </c>
      <c r="AB15" s="1352">
        <v>1</v>
      </c>
      <c r="AC15" s="1352">
        <v>1</v>
      </c>
    </row>
    <row r="16" spans="1:29" ht="42.75">
      <c r="A16" s="379"/>
      <c r="B16" s="402" t="s">
        <v>1811</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9"/>
      <c r="Q16" s="1351" t="str">
        <f>B16</f>
        <v>公共配套设施</v>
      </c>
      <c r="R16" s="705" t="s">
        <v>14</v>
      </c>
      <c r="S16" s="706">
        <f>F16</f>
        <v>100</v>
      </c>
      <c r="T16" s="705" t="s">
        <v>14</v>
      </c>
      <c r="U16" s="706">
        <f>H16</f>
        <v>100</v>
      </c>
      <c r="V16" s="705" t="s">
        <v>14</v>
      </c>
      <c r="W16" s="706">
        <f>J16</f>
        <v>100</v>
      </c>
      <c r="X16" s="1354"/>
      <c r="Y16" s="36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7"/>
      <c r="M17" s="2711"/>
      <c r="N17" s="2711"/>
      <c r="O17" s="2769"/>
      <c r="P17" s="3699"/>
      <c r="Q17" s="1351"/>
      <c r="R17" s="705"/>
      <c r="S17" s="706"/>
      <c r="T17" s="705"/>
      <c r="U17" s="706"/>
      <c r="V17" s="705"/>
      <c r="W17" s="706"/>
      <c r="X17" s="1354"/>
      <c r="Y17" s="3699"/>
      <c r="Z17" s="1355"/>
      <c r="AA17" s="1352">
        <v>1</v>
      </c>
      <c r="AB17" s="1352">
        <v>1</v>
      </c>
      <c r="AC17" s="1352">
        <v>1</v>
      </c>
    </row>
    <row r="18" spans="1:29" ht="28.5">
      <c r="A18" s="379"/>
      <c r="B18" s="1131"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9"/>
      <c r="Q18" s="1351" t="str">
        <f>B18</f>
        <v>基础设施水平</v>
      </c>
      <c r="R18" s="705" t="s">
        <v>14</v>
      </c>
      <c r="S18" s="706">
        <f>F18</f>
        <v>100</v>
      </c>
      <c r="T18" s="705" t="s">
        <v>14</v>
      </c>
      <c r="U18" s="706">
        <f>H18</f>
        <v>100</v>
      </c>
      <c r="V18" s="705" t="s">
        <v>14</v>
      </c>
      <c r="W18" s="706">
        <f>J18</f>
        <v>100</v>
      </c>
      <c r="X18" s="1354"/>
      <c r="Y18" s="369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7"/>
      <c r="M19" s="2711"/>
      <c r="N19" s="2711"/>
      <c r="O19" s="2769"/>
      <c r="P19" s="3699"/>
      <c r="Q19" s="1351"/>
      <c r="R19" s="705"/>
      <c r="S19" s="706"/>
      <c r="T19" s="705"/>
      <c r="U19" s="706"/>
      <c r="V19" s="705"/>
      <c r="W19" s="706"/>
      <c r="X19" s="1354"/>
      <c r="Y19" s="3699"/>
      <c r="Z19" s="1355"/>
      <c r="AA19" s="1352">
        <v>1</v>
      </c>
      <c r="AB19" s="1352">
        <v>1</v>
      </c>
      <c r="AC19" s="1352">
        <v>1</v>
      </c>
    </row>
    <row r="20" spans="1:29" ht="57">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9"/>
      <c r="Q20" s="1351" t="str">
        <f>B20</f>
        <v>自然及人文环境</v>
      </c>
      <c r="R20" s="705" t="s">
        <v>14</v>
      </c>
      <c r="S20" s="706">
        <f>F20</f>
        <v>100</v>
      </c>
      <c r="T20" s="705" t="s">
        <v>14</v>
      </c>
      <c r="U20" s="706">
        <f>H20</f>
        <v>100</v>
      </c>
      <c r="V20" s="705" t="s">
        <v>14</v>
      </c>
      <c r="W20" s="706">
        <f>J20</f>
        <v>100</v>
      </c>
      <c r="X20" s="1354"/>
      <c r="Y20" s="36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699"/>
      <c r="Q21" s="1351"/>
      <c r="R21" s="705"/>
      <c r="S21" s="706"/>
      <c r="T21" s="705"/>
      <c r="U21" s="706"/>
      <c r="V21" s="705"/>
      <c r="W21" s="706"/>
      <c r="X21" s="1354"/>
      <c r="Y21" s="3699"/>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9"/>
      <c r="Q22" s="1351" t="str">
        <f>B22</f>
        <v>楼层</v>
      </c>
      <c r="R22" s="705" t="s">
        <v>14</v>
      </c>
      <c r="S22" s="706">
        <f>F22</f>
        <v>100</v>
      </c>
      <c r="T22" s="705" t="s">
        <v>14</v>
      </c>
      <c r="U22" s="706">
        <f>H22</f>
        <v>100</v>
      </c>
      <c r="V22" s="705" t="s">
        <v>14</v>
      </c>
      <c r="W22" s="706">
        <f>J22</f>
        <v>100</v>
      </c>
      <c r="X22" s="1354"/>
      <c r="Y22" s="36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9"/>
      <c r="Q23" s="1351">
        <f>B23</f>
        <v>111</v>
      </c>
      <c r="R23" s="705" t="s">
        <v>14</v>
      </c>
      <c r="S23" s="706">
        <f>F23</f>
        <v>100</v>
      </c>
      <c r="T23" s="705" t="s">
        <v>14</v>
      </c>
      <c r="U23" s="706">
        <f>H23</f>
        <v>100</v>
      </c>
      <c r="V23" s="705" t="s">
        <v>14</v>
      </c>
      <c r="W23" s="706">
        <f>J23</f>
        <v>100</v>
      </c>
      <c r="X23" s="1354"/>
      <c r="Y23" s="36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9"/>
      <c r="Q24" s="1351">
        <f t="shared" ref="Q24:Q34" si="11">B24</f>
        <v>111</v>
      </c>
      <c r="R24" s="705" t="s">
        <v>14</v>
      </c>
      <c r="S24" s="706">
        <f>F24</f>
        <v>100</v>
      </c>
      <c r="T24" s="705" t="s">
        <v>14</v>
      </c>
      <c r="U24" s="706">
        <f>H24</f>
        <v>100</v>
      </c>
      <c r="V24" s="705" t="s">
        <v>14</v>
      </c>
      <c r="W24" s="706">
        <f>J24</f>
        <v>100</v>
      </c>
      <c r="X24" s="1354"/>
      <c r="Y24" s="369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2"/>
      <c r="M25" s="2713"/>
      <c r="N25" s="2713"/>
      <c r="O25" s="2767"/>
      <c r="P25" s="3699"/>
      <c r="Q25" s="1342">
        <f t="shared" si="11"/>
        <v>111</v>
      </c>
      <c r="R25" s="701" t="s">
        <v>14</v>
      </c>
      <c r="S25" s="702">
        <f>F25</f>
        <v>100</v>
      </c>
      <c r="T25" s="701" t="s">
        <v>14</v>
      </c>
      <c r="U25" s="702">
        <f>H25</f>
        <v>100</v>
      </c>
      <c r="V25" s="701" t="s">
        <v>14</v>
      </c>
      <c r="W25" s="702">
        <f>J25</f>
        <v>100</v>
      </c>
      <c r="X25" s="703"/>
      <c r="Y25" s="3699"/>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7"/>
      <c r="M26" s="2711"/>
      <c r="N26" s="2711"/>
      <c r="O26" s="2769"/>
      <c r="P26" s="3700"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1"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1"/>
      <c r="Q28" s="1351" t="str">
        <f t="shared" si="11"/>
        <v>物业等级</v>
      </c>
      <c r="R28" s="705" t="s">
        <v>14</v>
      </c>
      <c r="S28" s="706">
        <f t="shared" si="12"/>
        <v>100</v>
      </c>
      <c r="T28" s="705" t="s">
        <v>14</v>
      </c>
      <c r="U28" s="706">
        <f t="shared" si="13"/>
        <v>100</v>
      </c>
      <c r="V28" s="705" t="s">
        <v>14</v>
      </c>
      <c r="W28" s="706">
        <f t="shared" si="14"/>
        <v>100</v>
      </c>
      <c r="X28" s="1354"/>
      <c r="Y28" s="3701"/>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1"/>
      <c r="Q29" s="1351" t="str">
        <f t="shared" si="11"/>
        <v>有无电梯</v>
      </c>
      <c r="R29" s="705" t="s">
        <v>14</v>
      </c>
      <c r="S29" s="706">
        <f t="shared" si="12"/>
        <v>100</v>
      </c>
      <c r="T29" s="705" t="s">
        <v>14</v>
      </c>
      <c r="U29" s="706">
        <f t="shared" si="13"/>
        <v>100</v>
      </c>
      <c r="V29" s="705" t="s">
        <v>14</v>
      </c>
      <c r="W29" s="706">
        <f t="shared" si="14"/>
        <v>100</v>
      </c>
      <c r="X29" s="1354"/>
      <c r="Y29" s="3701"/>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1"/>
      <c r="Q30" s="1351" t="str">
        <f t="shared" si="11"/>
        <v>建筑面积</v>
      </c>
      <c r="R30" s="705" t="s">
        <v>14</v>
      </c>
      <c r="S30" s="706" t="e">
        <f t="shared" si="12"/>
        <v>#N/A</v>
      </c>
      <c r="T30" s="705" t="s">
        <v>14</v>
      </c>
      <c r="U30" s="706" t="e">
        <f t="shared" si="13"/>
        <v>#N/A</v>
      </c>
      <c r="V30" s="705" t="s">
        <v>14</v>
      </c>
      <c r="W30" s="706" t="e">
        <f t="shared" si="14"/>
        <v>#N/A</v>
      </c>
      <c r="X30" s="1354"/>
      <c r="Y30" s="3701"/>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1"/>
      <c r="Q31" s="1342"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1" t="s">
        <v>1695</v>
      </c>
      <c r="Q32" s="1351">
        <f t="shared" si="11"/>
        <v>111</v>
      </c>
      <c r="R32" s="705" t="s">
        <v>14</v>
      </c>
      <c r="S32" s="706">
        <f t="shared" si="12"/>
        <v>100</v>
      </c>
      <c r="T32" s="705" t="s">
        <v>14</v>
      </c>
      <c r="U32" s="706">
        <f t="shared" si="13"/>
        <v>100</v>
      </c>
      <c r="V32" s="705" t="s">
        <v>14</v>
      </c>
      <c r="W32" s="706">
        <f t="shared" si="14"/>
        <v>100</v>
      </c>
      <c r="X32" s="1354"/>
      <c r="Y32" s="3701"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1"/>
      <c r="Q33" s="1351">
        <f t="shared" si="11"/>
        <v>111</v>
      </c>
      <c r="R33" s="705" t="s">
        <v>14</v>
      </c>
      <c r="S33" s="706">
        <f t="shared" si="12"/>
        <v>100</v>
      </c>
      <c r="T33" s="705" t="s">
        <v>14</v>
      </c>
      <c r="U33" s="706">
        <f t="shared" si="13"/>
        <v>100</v>
      </c>
      <c r="V33" s="705" t="s">
        <v>14</v>
      </c>
      <c r="W33" s="706">
        <f t="shared" si="14"/>
        <v>100</v>
      </c>
      <c r="X33" s="1354"/>
      <c r="Y33" s="370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7"/>
      <c r="M34" s="2711"/>
      <c r="N34" s="2711"/>
      <c r="O34" s="2769"/>
      <c r="P34" s="3701"/>
      <c r="Q34" s="1351">
        <f t="shared" si="11"/>
        <v>111</v>
      </c>
      <c r="R34" s="705" t="s">
        <v>14</v>
      </c>
      <c r="S34" s="706">
        <f t="shared" si="12"/>
        <v>100</v>
      </c>
      <c r="T34" s="705" t="s">
        <v>14</v>
      </c>
      <c r="U34" s="706">
        <f t="shared" si="13"/>
        <v>100</v>
      </c>
      <c r="V34" s="705" t="s">
        <v>14</v>
      </c>
      <c r="W34" s="706">
        <f t="shared" si="14"/>
        <v>100</v>
      </c>
      <c r="X34" s="1354"/>
      <c r="Y34" s="3701"/>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19"/>
      <c r="M35" s="2720"/>
      <c r="N35" s="2711"/>
      <c r="O35" s="2720"/>
      <c r="P35" s="3683" t="str">
        <f>A35</f>
        <v>成交单价（元/平方米）</v>
      </c>
      <c r="Q35" s="3683"/>
      <c r="R35" s="3711">
        <f>E35</f>
        <v>0</v>
      </c>
      <c r="S35" s="3711"/>
      <c r="T35" s="3711">
        <f>G35</f>
        <v>0</v>
      </c>
      <c r="U35" s="3711"/>
      <c r="V35" s="3711">
        <f>I35</f>
        <v>0</v>
      </c>
      <c r="W35" s="3711"/>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19"/>
      <c r="M36" s="2720"/>
      <c r="N36" s="2711"/>
      <c r="O36" s="2720"/>
      <c r="P36" s="3683" t="str">
        <f>A36</f>
        <v>比较价值（元/平方米）</v>
      </c>
      <c r="Q36" s="3683"/>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703" t="str">
        <f>A37</f>
        <v>估价对象XX用房的比较价值（楼面单价，元/平方米）</v>
      </c>
      <c r="Q37" s="3704"/>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84" t="s">
        <v>1769</v>
      </c>
      <c r="D4" s="3685"/>
      <c r="E4" s="3686" t="s">
        <v>1770</v>
      </c>
      <c r="F4" s="3687"/>
      <c r="G4" s="3684" t="s">
        <v>1771</v>
      </c>
      <c r="H4" s="3685"/>
      <c r="I4" s="3684" t="s">
        <v>1772</v>
      </c>
      <c r="J4" s="3685"/>
      <c r="K4" s="559" t="s">
        <v>1773</v>
      </c>
      <c r="L4" s="2710"/>
      <c r="M4" s="2711"/>
      <c r="N4" s="2711"/>
      <c r="O4" s="2711"/>
      <c r="P4" s="3688" t="s">
        <v>1774</v>
      </c>
      <c r="Q4" s="3689"/>
      <c r="R4" s="3671" t="s">
        <v>1770</v>
      </c>
      <c r="S4" s="3672"/>
      <c r="T4" s="3671" t="s">
        <v>1771</v>
      </c>
      <c r="U4" s="3672"/>
      <c r="V4" s="3696" t="s">
        <v>1772</v>
      </c>
      <c r="W4" s="3696"/>
      <c r="X4" s="1354"/>
      <c r="Y4" s="3671" t="s">
        <v>1774</v>
      </c>
      <c r="Z4" s="3672"/>
      <c r="AA4" s="3666" t="s">
        <v>1770</v>
      </c>
      <c r="AB4" s="3667" t="s">
        <v>1771</v>
      </c>
      <c r="AC4" s="3666" t="s">
        <v>1772</v>
      </c>
    </row>
    <row r="5" spans="1:29" ht="15">
      <c r="A5" s="358"/>
      <c r="B5" s="359"/>
      <c r="C5" s="3677" t="s">
        <v>1672</v>
      </c>
      <c r="D5" s="3678"/>
      <c r="E5" s="3675" t="s">
        <v>1673</v>
      </c>
      <c r="F5" s="3676"/>
      <c r="G5" s="3677" t="s">
        <v>1674</v>
      </c>
      <c r="H5" s="3678"/>
      <c r="I5" s="3677" t="s">
        <v>1675</v>
      </c>
      <c r="J5" s="3678"/>
      <c r="K5" s="559"/>
      <c r="L5" s="2710"/>
      <c r="M5" s="2711"/>
      <c r="N5" s="2711"/>
      <c r="O5" s="2711"/>
      <c r="P5" s="3690"/>
      <c r="Q5" s="3691"/>
      <c r="R5" s="3673"/>
      <c r="S5" s="3674"/>
      <c r="T5" s="3673"/>
      <c r="U5" s="3674"/>
      <c r="V5" s="3696"/>
      <c r="W5" s="3696"/>
      <c r="X5" s="1354"/>
      <c r="Y5" s="3673"/>
      <c r="Z5" s="3674"/>
      <c r="AA5" s="3667"/>
      <c r="AB5" s="3667"/>
      <c r="AC5" s="3667"/>
    </row>
    <row r="6" spans="1:29" ht="15.75" thickBot="1">
      <c r="A6" s="360"/>
      <c r="B6" s="361"/>
      <c r="C6" s="3734" t="s">
        <v>1918</v>
      </c>
      <c r="D6" s="3735"/>
      <c r="E6" s="3736" t="s">
        <v>1918</v>
      </c>
      <c r="F6" s="3737"/>
      <c r="G6" s="3734" t="s">
        <v>1918</v>
      </c>
      <c r="H6" s="3735"/>
      <c r="I6" s="3734" t="s">
        <v>1918</v>
      </c>
      <c r="J6" s="3735"/>
      <c r="K6" s="559" t="s">
        <v>1677</v>
      </c>
      <c r="L6" s="2710"/>
      <c r="M6" s="2711"/>
      <c r="N6" s="2711"/>
      <c r="O6" s="2711"/>
      <c r="P6" s="3692"/>
      <c r="Q6" s="3693"/>
      <c r="R6" s="3673"/>
      <c r="S6" s="3674"/>
      <c r="T6" s="3694"/>
      <c r="U6" s="3695"/>
      <c r="V6" s="3696"/>
      <c r="W6" s="3696"/>
      <c r="X6" s="1354"/>
      <c r="Y6" s="3694"/>
      <c r="Z6" s="3695"/>
      <c r="AA6" s="3668"/>
      <c r="AB6" s="3668"/>
      <c r="AC6" s="3668"/>
    </row>
    <row r="7" spans="1:29" s="108" customFormat="1" ht="15.75" thickBot="1">
      <c r="A7" s="362" t="s">
        <v>1678</v>
      </c>
      <c r="B7" s="363"/>
      <c r="C7" s="364">
        <f>'数据-取费表'!B2</f>
        <v>45058</v>
      </c>
      <c r="D7" s="365">
        <v>100</v>
      </c>
      <c r="E7" s="366"/>
      <c r="F7" s="367">
        <f>SUMIF(65:65,YEAR(E7)&amp;"-"&amp;INT((MONTH(E7)+2)/3),66:66)</f>
        <v>0</v>
      </c>
      <c r="G7" s="1973"/>
      <c r="H7" s="365">
        <f>SUMIF(65:65,YEAR(G7)&amp;"-"&amp;INT((MONTH(G7)+2)/3),66:66)</f>
        <v>0</v>
      </c>
      <c r="I7" s="1973"/>
      <c r="J7" s="365">
        <f>SUMIF(65:65,YEAR(I7)&amp;"-"&amp;INT((MONTH(I7)+2)/3),66:66)</f>
        <v>0</v>
      </c>
      <c r="K7" s="560"/>
      <c r="L7" s="2712"/>
      <c r="M7" s="2713"/>
      <c r="N7" s="2713"/>
      <c r="O7" s="2713"/>
      <c r="P7" s="3669" t="s">
        <v>1679</v>
      </c>
      <c r="Q7" s="3697"/>
      <c r="R7" s="701" t="s">
        <v>14</v>
      </c>
      <c r="S7" s="702">
        <f t="shared" ref="S7:S15" si="0">F7</f>
        <v>0</v>
      </c>
      <c r="T7" s="701" t="s">
        <v>14</v>
      </c>
      <c r="U7" s="702">
        <f t="shared" ref="U7:U15" si="1">H7</f>
        <v>0</v>
      </c>
      <c r="V7" s="701" t="s">
        <v>14</v>
      </c>
      <c r="W7" s="702">
        <f t="shared" ref="W7:W15" si="2">J7</f>
        <v>0</v>
      </c>
      <c r="X7" s="703"/>
      <c r="Y7" s="3669" t="s">
        <v>1679</v>
      </c>
      <c r="Z7" s="367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9" t="s">
        <v>1682</v>
      </c>
      <c r="Q8" s="3670"/>
      <c r="R8" s="701" t="s">
        <v>14</v>
      </c>
      <c r="S8" s="702">
        <f t="shared" si="0"/>
        <v>0</v>
      </c>
      <c r="T8" s="701" t="s">
        <v>14</v>
      </c>
      <c r="U8" s="702">
        <f t="shared" si="1"/>
        <v>0</v>
      </c>
      <c r="V8" s="701" t="s">
        <v>14</v>
      </c>
      <c r="W8" s="702">
        <f t="shared" si="2"/>
        <v>0</v>
      </c>
      <c r="X8" s="703"/>
      <c r="Y8" s="3669" t="s">
        <v>1682</v>
      </c>
      <c r="Z8" s="3670"/>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2"/>
      <c r="M9" s="2713"/>
      <c r="N9" s="2713"/>
      <c r="O9" s="2767"/>
      <c r="P9" s="3683" t="s">
        <v>1685</v>
      </c>
      <c r="Q9" s="1342" t="str">
        <f t="shared" ref="Q9:Q15" si="6">B9</f>
        <v>用途</v>
      </c>
      <c r="R9" s="701" t="s">
        <v>14</v>
      </c>
      <c r="S9" s="702">
        <f t="shared" si="0"/>
        <v>100</v>
      </c>
      <c r="T9" s="701" t="s">
        <v>14</v>
      </c>
      <c r="U9" s="702">
        <f t="shared" si="1"/>
        <v>100</v>
      </c>
      <c r="V9" s="701" t="s">
        <v>14</v>
      </c>
      <c r="W9" s="702">
        <f t="shared" si="2"/>
        <v>100</v>
      </c>
      <c r="X9" s="703"/>
      <c r="Y9" s="361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119</v>
      </c>
      <c r="G10" s="383"/>
      <c r="H10" s="127">
        <f>ROUND(100/'数据-取费表'!G16,0)</f>
        <v>119</v>
      </c>
      <c r="I10" s="383"/>
      <c r="J10" s="127">
        <f>ROUND(100/'数据-取费表'!G16,0)</f>
        <v>119</v>
      </c>
      <c r="K10" s="620"/>
      <c r="L10" s="2714"/>
      <c r="M10" s="2715"/>
      <c r="N10" s="2715"/>
      <c r="O10" s="2768"/>
      <c r="P10" s="3683"/>
      <c r="Q10" s="1342" t="str">
        <f t="shared" si="6"/>
        <v>土地使用年限（年）</v>
      </c>
      <c r="R10" s="701" t="s">
        <v>14</v>
      </c>
      <c r="S10" s="702">
        <f t="shared" si="0"/>
        <v>119</v>
      </c>
      <c r="T10" s="701" t="s">
        <v>14</v>
      </c>
      <c r="U10" s="702">
        <f t="shared" si="1"/>
        <v>119</v>
      </c>
      <c r="V10" s="701" t="s">
        <v>14</v>
      </c>
      <c r="W10" s="702">
        <f t="shared" si="2"/>
        <v>119</v>
      </c>
      <c r="X10" s="703"/>
      <c r="Y10" s="3615"/>
      <c r="Z10" s="52" t="str">
        <f t="shared" si="7"/>
        <v>土地使用年限（年）</v>
      </c>
      <c r="AA10" s="704">
        <f t="shared" si="3"/>
        <v>0.84033613445378152</v>
      </c>
      <c r="AB10" s="704">
        <f t="shared" si="4"/>
        <v>0.84033613445378152</v>
      </c>
      <c r="AC10" s="704">
        <f t="shared" si="5"/>
        <v>0.84033613445378152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83"/>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8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8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8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8" t="s">
        <v>1690</v>
      </c>
      <c r="Q15" s="1351" t="str">
        <f t="shared" si="6"/>
        <v>产业集聚程度</v>
      </c>
      <c r="R15" s="705" t="s">
        <v>14</v>
      </c>
      <c r="S15" s="706">
        <f t="shared" si="0"/>
        <v>100</v>
      </c>
      <c r="T15" s="705" t="s">
        <v>14</v>
      </c>
      <c r="U15" s="706">
        <f t="shared" si="1"/>
        <v>100</v>
      </c>
      <c r="V15" s="705" t="s">
        <v>14</v>
      </c>
      <c r="W15" s="706">
        <f t="shared" si="2"/>
        <v>100</v>
      </c>
      <c r="X15" s="1354"/>
      <c r="Y15" s="3698"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7"/>
      <c r="M16" s="2711"/>
      <c r="N16" s="2711"/>
      <c r="O16" s="2769"/>
      <c r="P16" s="3699"/>
      <c r="Q16" s="1351"/>
      <c r="R16" s="705"/>
      <c r="S16" s="706"/>
      <c r="T16" s="705"/>
      <c r="U16" s="706"/>
      <c r="V16" s="705"/>
      <c r="W16" s="706"/>
      <c r="X16" s="1354"/>
      <c r="Y16" s="3699"/>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9"/>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7"/>
      <c r="M18" s="2711"/>
      <c r="N18" s="2711"/>
      <c r="O18" s="2769"/>
      <c r="P18" s="3699"/>
      <c r="Q18" s="1351"/>
      <c r="R18" s="705"/>
      <c r="S18" s="706"/>
      <c r="T18" s="705"/>
      <c r="U18" s="706"/>
      <c r="V18" s="705"/>
      <c r="W18" s="706"/>
      <c r="X18" s="1354"/>
      <c r="Y18" s="3699"/>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9"/>
      <c r="Q19" s="1351" t="str">
        <f t="shared" ref="Q19:Q33" si="8">B19</f>
        <v>区域土地利用方向</v>
      </c>
      <c r="R19" s="705" t="s">
        <v>14</v>
      </c>
      <c r="S19" s="706">
        <f>F19</f>
        <v>100</v>
      </c>
      <c r="T19" s="705" t="s">
        <v>14</v>
      </c>
      <c r="U19" s="706">
        <f>H19</f>
        <v>100</v>
      </c>
      <c r="V19" s="705" t="s">
        <v>14</v>
      </c>
      <c r="W19" s="706">
        <f>J19</f>
        <v>100</v>
      </c>
      <c r="X19" s="1354"/>
      <c r="Y19" s="369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7"/>
      <c r="M20" s="2711"/>
      <c r="N20" s="2711"/>
      <c r="O20" s="2769"/>
      <c r="P20" s="3699"/>
      <c r="Q20" s="1351"/>
      <c r="R20" s="705"/>
      <c r="S20" s="706"/>
      <c r="T20" s="705"/>
      <c r="U20" s="706"/>
      <c r="V20" s="705"/>
      <c r="W20" s="706"/>
      <c r="X20" s="1354"/>
      <c r="Y20" s="3699"/>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9"/>
      <c r="Q21" s="1351" t="str">
        <f t="shared" si="8"/>
        <v>环境状况</v>
      </c>
      <c r="R21" s="705" t="s">
        <v>14</v>
      </c>
      <c r="S21" s="706">
        <f>F21</f>
        <v>100</v>
      </c>
      <c r="T21" s="705" t="s">
        <v>14</v>
      </c>
      <c r="U21" s="706">
        <f>H21</f>
        <v>100</v>
      </c>
      <c r="V21" s="705" t="s">
        <v>14</v>
      </c>
      <c r="W21" s="706">
        <f>J21</f>
        <v>100</v>
      </c>
      <c r="X21" s="1354"/>
      <c r="Y21" s="369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7"/>
      <c r="M22" s="2711"/>
      <c r="N22" s="2711"/>
      <c r="O22" s="2769"/>
      <c r="P22" s="3699"/>
      <c r="Q22" s="1351"/>
      <c r="R22" s="705"/>
      <c r="S22" s="706"/>
      <c r="T22" s="705"/>
      <c r="U22" s="706"/>
      <c r="V22" s="705"/>
      <c r="W22" s="706"/>
      <c r="X22" s="1354"/>
      <c r="Y22" s="3699"/>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9"/>
      <c r="Q23" s="1342" t="str">
        <f t="shared" si="8"/>
        <v>公共配套设施</v>
      </c>
      <c r="R23" s="701" t="s">
        <v>14</v>
      </c>
      <c r="S23" s="702">
        <f>F23</f>
        <v>100</v>
      </c>
      <c r="T23" s="701" t="s">
        <v>14</v>
      </c>
      <c r="U23" s="702">
        <f>H23</f>
        <v>100</v>
      </c>
      <c r="V23" s="701" t="s">
        <v>14</v>
      </c>
      <c r="W23" s="702">
        <f>J23</f>
        <v>100</v>
      </c>
      <c r="X23" s="703"/>
      <c r="Y23" s="369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2"/>
      <c r="M24" s="2713"/>
      <c r="N24" s="2713"/>
      <c r="O24" s="2767"/>
      <c r="P24" s="3699"/>
      <c r="Q24" s="1342"/>
      <c r="R24" s="701"/>
      <c r="S24" s="702"/>
      <c r="T24" s="701"/>
      <c r="U24" s="702"/>
      <c r="V24" s="701"/>
      <c r="W24" s="702"/>
      <c r="X24" s="703"/>
      <c r="Y24" s="3699"/>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9"/>
      <c r="Q25" s="1342"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2"/>
      <c r="M26" s="2713"/>
      <c r="N26" s="2713"/>
      <c r="O26" s="2767"/>
      <c r="P26" s="3699"/>
      <c r="Q26" s="1342"/>
      <c r="R26" s="701"/>
      <c r="S26" s="702"/>
      <c r="T26" s="701"/>
      <c r="U26" s="702"/>
      <c r="V26" s="701"/>
      <c r="W26" s="702"/>
      <c r="X26" s="703"/>
      <c r="Y26" s="369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9"/>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9"/>
      <c r="Q28" s="1351" t="str">
        <f t="shared" si="8"/>
        <v>毗邻道路的类型与等级</v>
      </c>
      <c r="R28" s="705" t="s">
        <v>14</v>
      </c>
      <c r="S28" s="706">
        <f t="shared" si="10"/>
        <v>100</v>
      </c>
      <c r="T28" s="705" t="s">
        <v>14</v>
      </c>
      <c r="U28" s="706">
        <f t="shared" si="11"/>
        <v>100</v>
      </c>
      <c r="V28" s="705" t="s">
        <v>14</v>
      </c>
      <c r="W28" s="706">
        <f t="shared" si="12"/>
        <v>100</v>
      </c>
      <c r="X28" s="1354"/>
      <c r="Y28" s="369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7"/>
      <c r="M29" s="2711"/>
      <c r="N29" s="2711"/>
      <c r="O29" s="2769"/>
      <c r="P29" s="3699"/>
      <c r="Q29" s="1351"/>
      <c r="R29" s="705"/>
      <c r="S29" s="706"/>
      <c r="T29" s="705"/>
      <c r="U29" s="706"/>
      <c r="V29" s="705"/>
      <c r="W29" s="706"/>
      <c r="X29" s="1354"/>
      <c r="Y29" s="3699"/>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9"/>
      <c r="Q30" s="1351" t="str">
        <f t="shared" si="8"/>
        <v>土地级别</v>
      </c>
      <c r="R30" s="705" t="s">
        <v>14</v>
      </c>
      <c r="S30" s="706">
        <f t="shared" si="10"/>
        <v>100</v>
      </c>
      <c r="T30" s="705" t="s">
        <v>14</v>
      </c>
      <c r="U30" s="706">
        <f t="shared" si="11"/>
        <v>100</v>
      </c>
      <c r="V30" s="705" t="s">
        <v>14</v>
      </c>
      <c r="W30" s="706">
        <f t="shared" si="12"/>
        <v>100</v>
      </c>
      <c r="X30" s="1354"/>
      <c r="Y30" s="369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9"/>
      <c r="Q31" s="1351">
        <f t="shared" si="8"/>
        <v>111</v>
      </c>
      <c r="R31" s="705" t="s">
        <v>14</v>
      </c>
      <c r="S31" s="706">
        <f t="shared" si="10"/>
        <v>100</v>
      </c>
      <c r="T31" s="705" t="s">
        <v>14</v>
      </c>
      <c r="U31" s="706">
        <f t="shared" si="11"/>
        <v>100</v>
      </c>
      <c r="V31" s="705" t="s">
        <v>14</v>
      </c>
      <c r="W31" s="706">
        <f t="shared" si="12"/>
        <v>100</v>
      </c>
      <c r="X31" s="1354"/>
      <c r="Y31" s="369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00" t="s">
        <v>1695</v>
      </c>
      <c r="Q32" s="1351">
        <f t="shared" si="8"/>
        <v>111</v>
      </c>
      <c r="R32" s="705" t="s">
        <v>14</v>
      </c>
      <c r="S32" s="706">
        <f t="shared" si="10"/>
        <v>100</v>
      </c>
      <c r="T32" s="705" t="s">
        <v>14</v>
      </c>
      <c r="U32" s="706">
        <f t="shared" si="11"/>
        <v>100</v>
      </c>
      <c r="V32" s="705" t="s">
        <v>14</v>
      </c>
      <c r="W32" s="706">
        <f t="shared" si="12"/>
        <v>100</v>
      </c>
      <c r="X32" s="1354"/>
      <c r="Y32" s="3701"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1"/>
      <c r="Q33" s="1351">
        <f t="shared" si="8"/>
        <v>111</v>
      </c>
      <c r="R33" s="708" t="s">
        <v>14</v>
      </c>
      <c r="S33" s="709">
        <f t="shared" si="10"/>
        <v>100</v>
      </c>
      <c r="T33" s="708" t="s">
        <v>14</v>
      </c>
      <c r="U33" s="709">
        <f t="shared" si="11"/>
        <v>100</v>
      </c>
      <c r="V33" s="708" t="s">
        <v>14</v>
      </c>
      <c r="W33" s="709">
        <f t="shared" si="12"/>
        <v>100</v>
      </c>
      <c r="X33" s="710"/>
      <c r="Y33" s="3701"/>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1"/>
      <c r="Q34" s="1351" t="str">
        <f>B34</f>
        <v>宗地面积</v>
      </c>
      <c r="R34" s="705" t="s">
        <v>14</v>
      </c>
      <c r="S34" s="706" t="e">
        <f t="shared" si="10"/>
        <v>#N/A</v>
      </c>
      <c r="T34" s="705" t="s">
        <v>14</v>
      </c>
      <c r="U34" s="706" t="e">
        <f t="shared" si="11"/>
        <v>#N/A</v>
      </c>
      <c r="V34" s="705" t="s">
        <v>14</v>
      </c>
      <c r="W34" s="706" t="e">
        <f t="shared" si="12"/>
        <v>#N/A</v>
      </c>
      <c r="X34" s="1354"/>
      <c r="Y34" s="3701"/>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701"/>
      <c r="Q35" s="1351" t="str">
        <f t="shared" ref="Q35:Q40" si="14">B35</f>
        <v>宗地形状</v>
      </c>
      <c r="R35" s="705" t="s">
        <v>14</v>
      </c>
      <c r="S35" s="706">
        <f t="shared" si="10"/>
        <v>100</v>
      </c>
      <c r="T35" s="705" t="s">
        <v>14</v>
      </c>
      <c r="U35" s="706">
        <f t="shared" si="11"/>
        <v>100</v>
      </c>
      <c r="V35" s="705" t="s">
        <v>14</v>
      </c>
      <c r="W35" s="706">
        <f t="shared" si="12"/>
        <v>100</v>
      </c>
      <c r="X35" s="1354"/>
      <c r="Y35" s="3701"/>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2"/>
      <c r="M36" s="2713"/>
      <c r="N36" s="2713"/>
      <c r="O36" s="2767"/>
      <c r="P36" s="3701"/>
      <c r="Q36" s="1351"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701" t="s">
        <v>1695</v>
      </c>
      <c r="Q37" s="1351" t="str">
        <f t="shared" si="14"/>
        <v>工程地质条件</v>
      </c>
      <c r="R37" s="705" t="s">
        <v>14</v>
      </c>
      <c r="S37" s="706">
        <f t="shared" si="10"/>
        <v>100</v>
      </c>
      <c r="T37" s="705" t="s">
        <v>14</v>
      </c>
      <c r="U37" s="706">
        <f t="shared" si="11"/>
        <v>100</v>
      </c>
      <c r="V37" s="705" t="s">
        <v>14</v>
      </c>
      <c r="W37" s="706">
        <f t="shared" si="12"/>
        <v>100</v>
      </c>
      <c r="X37" s="1354"/>
      <c r="Y37" s="3701"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1"/>
      <c r="Q38" s="1351">
        <f t="shared" si="14"/>
        <v>111</v>
      </c>
      <c r="R38" s="705" t="s">
        <v>14</v>
      </c>
      <c r="S38" s="706">
        <f t="shared" si="10"/>
        <v>100</v>
      </c>
      <c r="T38" s="705" t="s">
        <v>14</v>
      </c>
      <c r="U38" s="706">
        <f t="shared" si="11"/>
        <v>100</v>
      </c>
      <c r="V38" s="705" t="s">
        <v>14</v>
      </c>
      <c r="W38" s="706">
        <f t="shared" si="12"/>
        <v>100</v>
      </c>
      <c r="X38" s="1354"/>
      <c r="Y38" s="3701"/>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1"/>
      <c r="Q39" s="1351">
        <f t="shared" si="14"/>
        <v>111</v>
      </c>
      <c r="R39" s="705" t="s">
        <v>14</v>
      </c>
      <c r="S39" s="706">
        <f t="shared" si="10"/>
        <v>100</v>
      </c>
      <c r="T39" s="705" t="s">
        <v>14</v>
      </c>
      <c r="U39" s="706">
        <f t="shared" si="11"/>
        <v>100</v>
      </c>
      <c r="V39" s="705" t="s">
        <v>14</v>
      </c>
      <c r="W39" s="706">
        <f t="shared" si="12"/>
        <v>100</v>
      </c>
      <c r="X39" s="1354"/>
      <c r="Y39" s="3701"/>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1"/>
      <c r="Q40" s="1351">
        <f t="shared" si="14"/>
        <v>111</v>
      </c>
      <c r="R40" s="708" t="s">
        <v>14</v>
      </c>
      <c r="S40" s="709">
        <f t="shared" si="10"/>
        <v>100</v>
      </c>
      <c r="T40" s="708" t="s">
        <v>14</v>
      </c>
      <c r="U40" s="709">
        <f t="shared" si="11"/>
        <v>100</v>
      </c>
      <c r="V40" s="708" t="s">
        <v>14</v>
      </c>
      <c r="W40" s="709">
        <f t="shared" si="12"/>
        <v>100</v>
      </c>
      <c r="X40" s="710"/>
      <c r="Y40" s="3701"/>
      <c r="Z40" s="711">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4"/>
      <c r="L41" s="2719"/>
      <c r="M41" s="2711"/>
      <c r="N41" s="2711"/>
      <c r="O41" s="2720"/>
      <c r="P41" s="3683" t="str">
        <f>A41</f>
        <v>成交单价</v>
      </c>
      <c r="Q41" s="3683"/>
      <c r="R41" s="3696">
        <f>E41</f>
        <v>0</v>
      </c>
      <c r="S41" s="3696"/>
      <c r="T41" s="3696">
        <f>G41</f>
        <v>0</v>
      </c>
      <c r="U41" s="3696"/>
      <c r="V41" s="3696">
        <f>I41</f>
        <v>0</v>
      </c>
      <c r="W41" s="3696"/>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19"/>
      <c r="M42" s="2711"/>
      <c r="N42" s="2711"/>
      <c r="O42" s="2720"/>
      <c r="P42" s="3683" t="str">
        <f>A42</f>
        <v>比较价值（元/平方米）</v>
      </c>
      <c r="Q42" s="3683"/>
      <c r="R42" s="3702" t="e">
        <f>ROUND(PRODUCT(R41,AA7:AA40),0)</f>
        <v>#DIV/0!</v>
      </c>
      <c r="S42" s="3702"/>
      <c r="T42" s="3702" t="e">
        <f>ROUND(PRODUCT(T41,AB7:AB40),0)</f>
        <v>#DIV/0!</v>
      </c>
      <c r="U42" s="3702"/>
      <c r="V42" s="3702" t="e">
        <f>ROUND(PRODUCT(V41,AC7:AC40),0)</f>
        <v>#DIV/0!</v>
      </c>
      <c r="W42" s="370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03" t="str">
        <f>A43</f>
        <v>估价对象XX用房的比较价值（楼面单价，元/平方米）</v>
      </c>
      <c r="Q43" s="3704"/>
      <c r="R43" s="3705" t="e">
        <f>ROUND(IF(D42="简单平均",AVERAGE(R42:W42),R42*F42+T42*H42+V42*J42),0)</f>
        <v>#DIV/0!</v>
      </c>
      <c r="S43" s="3705"/>
      <c r="T43" s="3705"/>
      <c r="U43" s="3705"/>
      <c r="V43" s="3705"/>
      <c r="W43" s="3705"/>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2" t="s">
        <v>1882</v>
      </c>
      <c r="D50" s="1983" t="s">
        <v>1883</v>
      </c>
      <c r="E50" s="634" t="s">
        <v>1884</v>
      </c>
      <c r="F50" s="635" t="s">
        <v>1885</v>
      </c>
      <c r="G50" s="3684" t="s">
        <v>1886</v>
      </c>
      <c r="H50" s="3706"/>
      <c r="I50" s="1355" t="s">
        <v>1922</v>
      </c>
      <c r="J50" s="1355">
        <f>项目基本情况!F35</f>
        <v>0</v>
      </c>
      <c r="K50" s="1985"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38627.68</v>
      </c>
      <c r="F51" s="639" t="e">
        <f t="shared" ref="F51:F60" si="15">ROUND(B51*E51/10000,0)</f>
        <v>#DIV/0!</v>
      </c>
      <c r="G51" s="3707"/>
      <c r="H51" s="368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5">
        <v>0.25</v>
      </c>
      <c r="E52" s="642"/>
      <c r="F52" s="639" t="e">
        <f t="shared" si="15"/>
        <v>#DIV/0!</v>
      </c>
      <c r="G52" s="3001" t="s">
        <v>1891</v>
      </c>
      <c r="H52" s="887" t="str">
        <f>项目基本情况!B37</f>
        <v>六级</v>
      </c>
      <c r="I52" s="773">
        <f>SUMIF(修正!A57:A68,H52,修正!B57:B68)</f>
        <v>0.6</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5">
        <v>0.25</v>
      </c>
      <c r="E53" s="642"/>
      <c r="F53" s="639" t="e">
        <f t="shared" si="15"/>
        <v>#DIV/0!</v>
      </c>
      <c r="G53" s="3002"/>
      <c r="H53" s="887" t="str">
        <f>项目基本情况!B37</f>
        <v>六级</v>
      </c>
      <c r="I53" s="773">
        <f>SUMIF(修正!A57:A68,H53,修正!C57:C68)</f>
        <v>0.3</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5">
        <v>0.25</v>
      </c>
      <c r="E54" s="642"/>
      <c r="F54" s="639" t="e">
        <f t="shared" si="15"/>
        <v>#DIV/0!</v>
      </c>
      <c r="G54" s="3002"/>
      <c r="H54" s="887" t="str">
        <f>项目基本情况!B37</f>
        <v>六级</v>
      </c>
      <c r="I54" s="773">
        <f>SUMIF(修正!A57:A68,H54,修正!D57:D68)</f>
        <v>0.25</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5">
        <v>0.25</v>
      </c>
      <c r="E59" s="217">
        <f>'数据-汇总表'!E14</f>
        <v>12362.01</v>
      </c>
      <c r="F59" s="639" t="e">
        <f t="shared" si="15"/>
        <v>#DIV/0!</v>
      </c>
      <c r="G59" s="1986" t="s">
        <v>1891</v>
      </c>
      <c r="H59" s="887" t="str">
        <f>项目基本情况!B37</f>
        <v>六级</v>
      </c>
      <c r="I59" s="773">
        <f>SUMIF(修正!A57:A68,H59,修正!G57:G68)</f>
        <v>0.15</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17111.18</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8" t="s">
        <v>1903</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1" t="s">
        <v>2083</v>
      </c>
      <c r="D1" s="3742"/>
      <c r="E1" s="3742"/>
      <c r="F1" s="3742"/>
      <c r="G1" s="3742"/>
      <c r="H1" s="3742"/>
      <c r="I1" s="3742"/>
      <c r="J1" s="3742"/>
      <c r="K1" s="3742"/>
      <c r="L1" s="3742"/>
      <c r="M1" s="3742"/>
      <c r="N1" s="3742"/>
      <c r="O1" s="3742"/>
      <c r="P1" s="3742"/>
      <c r="Q1" s="3742"/>
      <c r="R1" s="3742"/>
      <c r="S1" s="374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8"/>
      <c r="G1" s="2788"/>
      <c r="H1" s="2788"/>
      <c r="I1" s="2788"/>
      <c r="J1" s="2788"/>
      <c r="K1" s="2788"/>
      <c r="L1" s="2788"/>
      <c r="M1" s="2788"/>
      <c r="N1" s="2788"/>
      <c r="O1" s="2788"/>
      <c r="P1" s="2788"/>
    </row>
    <row r="2" spans="1:16" ht="15.75">
      <c r="A2" s="2144" t="s">
        <v>2072</v>
      </c>
      <c r="B2" s="2597">
        <f ca="1">SUMIF(B6:B13,"&lt;&gt;#ref!",B6:B13)</f>
        <v>55934</v>
      </c>
      <c r="C2" s="2144" t="s">
        <v>2073</v>
      </c>
      <c r="D2" s="2144" t="s">
        <v>2074</v>
      </c>
      <c r="E2" s="2607">
        <f ca="1">SUMIF(E6:E13,"&lt;&gt;#ref!",E6:E13)</f>
        <v>26483.24</v>
      </c>
      <c r="F2" s="2788"/>
      <c r="G2" s="2788"/>
      <c r="H2" s="2788"/>
      <c r="I2" s="2788"/>
      <c r="J2" s="2788"/>
      <c r="K2" s="2788"/>
      <c r="L2" s="2788"/>
      <c r="M2" s="2788"/>
      <c r="N2" s="2788"/>
      <c r="O2" s="2788"/>
      <c r="P2" s="2788"/>
    </row>
    <row r="3" spans="1:16" ht="15.75">
      <c r="A3" s="2144" t="s">
        <v>2075</v>
      </c>
      <c r="B3" s="2597">
        <f ca="1">ROUND(B2*10000/E2,0)</f>
        <v>21121</v>
      </c>
      <c r="C3" s="2144"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5"/>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55934</v>
      </c>
      <c r="C6" s="2144" t="s">
        <v>2073</v>
      </c>
      <c r="D6" s="2788"/>
      <c r="E6" s="2607">
        <f ca="1">SUMIF(INDIRECT("'"&amp;A6&amp;"'"&amp;"!C:C"),"建筑面积",INDIRECT("'"&amp;A6&amp;"'"&amp;"!D:D"))</f>
        <v>26483.24</v>
      </c>
      <c r="F6" s="2788"/>
      <c r="G6" s="2788"/>
      <c r="H6" s="2788"/>
      <c r="I6" s="2788"/>
      <c r="J6" s="2788"/>
      <c r="K6" s="2788"/>
      <c r="L6" s="2788"/>
      <c r="M6" s="2788"/>
      <c r="N6" s="2788"/>
      <c r="O6" s="2788"/>
      <c r="P6" s="2788"/>
    </row>
    <row r="7" spans="1:16" ht="15.75">
      <c r="A7" s="2604"/>
      <c r="B7" s="2597" t="e">
        <f ca="1">SUMIF(INDIRECT("'"&amp;A7&amp;"'"&amp;"!A:A"),"总价",INDIRECT("'"&amp;A7&amp;"'"&amp;"!B:B"))</f>
        <v>#REF!</v>
      </c>
      <c r="C7" s="2144"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4"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4"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4"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4"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4"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4"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2591</v>
      </c>
      <c r="B1" s="3067" t="s">
        <v>2592</v>
      </c>
      <c r="C1" s="3067" t="s">
        <v>2593</v>
      </c>
      <c r="D1" s="3067" t="s">
        <v>2594</v>
      </c>
      <c r="E1" s="3067" t="s">
        <v>2595</v>
      </c>
      <c r="F1" s="3067" t="s">
        <v>2596</v>
      </c>
      <c r="G1" s="3067" t="s">
        <v>2597</v>
      </c>
      <c r="H1" s="3067" t="s">
        <v>2598</v>
      </c>
      <c r="I1" s="3067" t="s">
        <v>2599</v>
      </c>
      <c r="J1" s="3067" t="s">
        <v>2600</v>
      </c>
      <c r="K1" s="3067" t="s">
        <v>2601</v>
      </c>
      <c r="L1" s="3067" t="s">
        <v>2602</v>
      </c>
      <c r="M1" s="3068" t="s">
        <v>2603</v>
      </c>
    </row>
    <row r="2" spans="1:13" ht="19.5" customHeight="1">
      <c r="A2" s="3070" t="s">
        <v>2604</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2605</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2606</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2607</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2608</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2609</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2610</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2611</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2612</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2613</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2614</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2615</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2616</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2617</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2618</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2619</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2620</v>
      </c>
      <c r="B18" s="3092"/>
      <c r="C18" s="3093"/>
      <c r="D18" s="3093"/>
      <c r="E18" s="3092"/>
      <c r="F18" s="3093"/>
      <c r="G18" s="3093"/>
    </row>
    <row r="19" spans="1:13" ht="19.5" customHeight="1" thickBot="1">
      <c r="A19" s="3090" t="s">
        <v>2621</v>
      </c>
      <c r="B19" s="3095" t="s">
        <v>2622</v>
      </c>
      <c r="C19" s="3095" t="s">
        <v>2623</v>
      </c>
      <c r="D19" s="3096"/>
      <c r="E19" s="3090" t="s">
        <v>2624</v>
      </c>
      <c r="F19" s="3097"/>
      <c r="G19" s="3097"/>
    </row>
    <row r="20" spans="1:13" ht="19.5" customHeight="1">
      <c r="A20" s="3770" t="s">
        <v>2604</v>
      </c>
      <c r="B20" s="3763" t="s">
        <v>2625</v>
      </c>
      <c r="C20" s="3098" t="s">
        <v>2436</v>
      </c>
      <c r="D20" s="3099"/>
      <c r="E20" s="3100">
        <v>1</v>
      </c>
      <c r="F20" s="3101" t="s">
        <v>2437</v>
      </c>
      <c r="G20" s="3101"/>
    </row>
    <row r="21" spans="1:13" ht="19.5" customHeight="1">
      <c r="A21" s="3771"/>
      <c r="B21" s="3764"/>
      <c r="C21" s="3102" t="s">
        <v>2438</v>
      </c>
      <c r="D21" s="3103"/>
      <c r="E21" s="3104">
        <v>1</v>
      </c>
      <c r="F21" s="3101" t="s">
        <v>2439</v>
      </c>
      <c r="G21" s="3101"/>
    </row>
    <row r="22" spans="1:13" ht="19.5" customHeight="1">
      <c r="A22" s="3771"/>
      <c r="B22" s="3764"/>
      <c r="C22" s="3102" t="s">
        <v>2440</v>
      </c>
      <c r="D22" s="3103"/>
      <c r="E22" s="3104">
        <v>0.9</v>
      </c>
      <c r="F22" s="3101" t="s">
        <v>2441</v>
      </c>
      <c r="G22" s="3101"/>
    </row>
    <row r="23" spans="1:13" ht="19.5" customHeight="1">
      <c r="A23" s="3771"/>
      <c r="B23" s="3764"/>
      <c r="C23" s="3102" t="s">
        <v>2442</v>
      </c>
      <c r="D23" s="3103"/>
      <c r="E23" s="3104">
        <v>0.9</v>
      </c>
      <c r="F23" s="3101" t="s">
        <v>2443</v>
      </c>
      <c r="G23" s="3101"/>
    </row>
    <row r="24" spans="1:13" ht="19.5" customHeight="1">
      <c r="A24" s="3771"/>
      <c r="B24" s="3764"/>
      <c r="C24" s="3102" t="s">
        <v>2444</v>
      </c>
      <c r="D24" s="3103"/>
      <c r="E24" s="3104">
        <v>0.8</v>
      </c>
      <c r="F24" s="3101" t="s">
        <v>2445</v>
      </c>
      <c r="G24" s="3101"/>
    </row>
    <row r="25" spans="1:13" ht="19.5" customHeight="1" thickBot="1">
      <c r="A25" s="3772"/>
      <c r="B25" s="3765"/>
      <c r="C25" s="3105" t="s">
        <v>2446</v>
      </c>
      <c r="D25" s="3106"/>
      <c r="E25" s="3107">
        <v>0.8</v>
      </c>
      <c r="F25" s="3101" t="s">
        <v>2447</v>
      </c>
      <c r="G25" s="3101"/>
    </row>
    <row r="26" spans="1:13" ht="19.5" customHeight="1" thickBot="1">
      <c r="A26" s="3108" t="s">
        <v>2626</v>
      </c>
      <c r="B26" s="3109" t="s">
        <v>2625</v>
      </c>
      <c r="C26" s="3110" t="s">
        <v>2627</v>
      </c>
      <c r="D26" s="3111"/>
      <c r="E26" s="3112">
        <v>1</v>
      </c>
      <c r="F26" s="3101" t="s">
        <v>2448</v>
      </c>
      <c r="G26" s="3101"/>
    </row>
    <row r="27" spans="1:13" ht="19.5" customHeight="1">
      <c r="A27" s="3766" t="s">
        <v>2628</v>
      </c>
      <c r="B27" s="3763" t="s">
        <v>2609</v>
      </c>
      <c r="C27" s="3098" t="s">
        <v>2449</v>
      </c>
      <c r="D27" s="3099"/>
      <c r="E27" s="3100">
        <v>1</v>
      </c>
      <c r="F27" s="3101" t="s">
        <v>2450</v>
      </c>
      <c r="G27" s="3101"/>
    </row>
    <row r="28" spans="1:13" ht="19.5" customHeight="1">
      <c r="A28" s="3767"/>
      <c r="B28" s="3764"/>
      <c r="C28" s="3102" t="s">
        <v>2451</v>
      </c>
      <c r="D28" s="3103"/>
      <c r="E28" s="3104">
        <v>1</v>
      </c>
      <c r="F28" s="3101" t="s">
        <v>2452</v>
      </c>
      <c r="G28" s="3101"/>
    </row>
    <row r="29" spans="1:13" ht="19.5" customHeight="1">
      <c r="A29" s="3767"/>
      <c r="B29" s="3764"/>
      <c r="C29" s="3102" t="s">
        <v>2453</v>
      </c>
      <c r="D29" s="3103"/>
      <c r="E29" s="3104">
        <v>0.8</v>
      </c>
      <c r="F29" s="3101" t="s">
        <v>2454</v>
      </c>
      <c r="G29" s="3101"/>
    </row>
    <row r="30" spans="1:13" ht="19.5" customHeight="1">
      <c r="A30" s="3767"/>
      <c r="B30" s="3764"/>
      <c r="C30" s="3102" t="s">
        <v>2455</v>
      </c>
      <c r="D30" s="3103"/>
      <c r="E30" s="3104">
        <v>0.8</v>
      </c>
      <c r="F30" s="3101" t="s">
        <v>2456</v>
      </c>
      <c r="G30" s="3101"/>
    </row>
    <row r="31" spans="1:13" ht="19.5" customHeight="1">
      <c r="A31" s="3767"/>
      <c r="B31" s="3764"/>
      <c r="C31" s="3102" t="s">
        <v>2457</v>
      </c>
      <c r="D31" s="3103"/>
      <c r="E31" s="3104">
        <v>0.8</v>
      </c>
      <c r="F31" s="3101" t="s">
        <v>2458</v>
      </c>
      <c r="G31" s="3101"/>
    </row>
    <row r="32" spans="1:13" ht="19.5" customHeight="1">
      <c r="A32" s="3767"/>
      <c r="B32" s="3764"/>
      <c r="C32" s="3102" t="s">
        <v>2459</v>
      </c>
      <c r="D32" s="3103"/>
      <c r="E32" s="3104">
        <v>0.7</v>
      </c>
      <c r="F32" s="3101" t="s">
        <v>2460</v>
      </c>
      <c r="G32" s="3101"/>
    </row>
    <row r="33" spans="1:7" ht="19.5" customHeight="1">
      <c r="A33" s="3767"/>
      <c r="B33" s="3764"/>
      <c r="C33" s="3102" t="s">
        <v>2461</v>
      </c>
      <c r="D33" s="3103"/>
      <c r="E33" s="3104">
        <v>0.8</v>
      </c>
      <c r="F33" s="3101" t="s">
        <v>2462</v>
      </c>
      <c r="G33" s="3101"/>
    </row>
    <row r="34" spans="1:7" ht="19.5" customHeight="1">
      <c r="A34" s="3767"/>
      <c r="B34" s="3764"/>
      <c r="C34" s="3102" t="s">
        <v>2463</v>
      </c>
      <c r="D34" s="3103"/>
      <c r="E34" s="3104">
        <v>0.6</v>
      </c>
      <c r="F34" s="3101" t="s">
        <v>2464</v>
      </c>
      <c r="G34" s="3101"/>
    </row>
    <row r="35" spans="1:7" ht="19.5" customHeight="1">
      <c r="A35" s="3767"/>
      <c r="B35" s="3764"/>
      <c r="C35" s="3102" t="s">
        <v>2465</v>
      </c>
      <c r="D35" s="3103"/>
      <c r="E35" s="3104">
        <v>0.2</v>
      </c>
      <c r="F35" s="3101" t="s">
        <v>2466</v>
      </c>
      <c r="G35" s="3101"/>
    </row>
    <row r="36" spans="1:7" ht="19.5" customHeight="1">
      <c r="A36" s="3767"/>
      <c r="B36" s="3764"/>
      <c r="C36" s="3102" t="s">
        <v>2467</v>
      </c>
      <c r="D36" s="3103"/>
      <c r="E36" s="3104">
        <v>0.2</v>
      </c>
      <c r="F36" s="3101" t="s">
        <v>2468</v>
      </c>
      <c r="G36" s="3101"/>
    </row>
    <row r="37" spans="1:7" ht="19.5" customHeight="1">
      <c r="A37" s="3767"/>
      <c r="B37" s="3769" t="s">
        <v>2629</v>
      </c>
      <c r="C37" s="3102" t="s">
        <v>2469</v>
      </c>
      <c r="D37" s="3103"/>
      <c r="E37" s="3104">
        <v>0.6</v>
      </c>
      <c r="F37" s="3101" t="s">
        <v>2470</v>
      </c>
      <c r="G37" s="3101"/>
    </row>
    <row r="38" spans="1:7" ht="19.5" customHeight="1">
      <c r="A38" s="3767"/>
      <c r="B38" s="3764"/>
      <c r="C38" s="3102" t="s">
        <v>2471</v>
      </c>
      <c r="D38" s="3103"/>
      <c r="E38" s="3104">
        <v>0.6</v>
      </c>
      <c r="F38" s="3101" t="s">
        <v>2472</v>
      </c>
      <c r="G38" s="3101"/>
    </row>
    <row r="39" spans="1:7" ht="19.5" customHeight="1" thickBot="1">
      <c r="A39" s="3768"/>
      <c r="B39" s="3765"/>
      <c r="C39" s="3105" t="s">
        <v>2473</v>
      </c>
      <c r="D39" s="3106"/>
      <c r="E39" s="3107">
        <v>0.6</v>
      </c>
      <c r="F39" s="3101" t="s">
        <v>2474</v>
      </c>
      <c r="G39" s="3101"/>
    </row>
    <row r="40" spans="1:7" ht="19.5" customHeight="1" thickBot="1">
      <c r="A40" s="3108" t="s">
        <v>2606</v>
      </c>
      <c r="B40" s="3109" t="s">
        <v>2606</v>
      </c>
      <c r="C40" s="3110" t="s">
        <v>2630</v>
      </c>
      <c r="D40" s="3111"/>
      <c r="E40" s="3112">
        <v>1</v>
      </c>
      <c r="F40" s="3101" t="s">
        <v>2475</v>
      </c>
      <c r="G40" s="3101"/>
    </row>
    <row r="41" spans="1:7" ht="19.5" customHeight="1">
      <c r="A41" s="3770" t="s">
        <v>2607</v>
      </c>
      <c r="B41" s="3763" t="s">
        <v>2631</v>
      </c>
      <c r="C41" s="3098" t="s">
        <v>2476</v>
      </c>
      <c r="D41" s="3099"/>
      <c r="E41" s="3100">
        <v>1</v>
      </c>
      <c r="F41" s="3101" t="s">
        <v>2477</v>
      </c>
      <c r="G41" s="3101"/>
    </row>
    <row r="42" spans="1:7" ht="19.5" customHeight="1">
      <c r="A42" s="3771"/>
      <c r="B42" s="3764"/>
      <c r="C42" s="3102" t="s">
        <v>2478</v>
      </c>
      <c r="D42" s="3103"/>
      <c r="E42" s="3104">
        <v>1</v>
      </c>
      <c r="F42" s="3101" t="s">
        <v>2479</v>
      </c>
      <c r="G42" s="3101"/>
    </row>
    <row r="43" spans="1:7" ht="19.5" customHeight="1">
      <c r="A43" s="3771"/>
      <c r="B43" s="3773"/>
      <c r="C43" s="3102" t="s">
        <v>2480</v>
      </c>
      <c r="D43" s="3103"/>
      <c r="E43" s="3104">
        <v>1.5</v>
      </c>
      <c r="F43" s="3101" t="s">
        <v>2481</v>
      </c>
      <c r="G43" s="3101"/>
    </row>
    <row r="44" spans="1:7" ht="19.5" customHeight="1">
      <c r="A44" s="3771"/>
      <c r="B44" s="3113" t="s">
        <v>2632</v>
      </c>
      <c r="C44" s="3102" t="s">
        <v>2633</v>
      </c>
      <c r="D44" s="3103"/>
      <c r="E44" s="3104">
        <v>2</v>
      </c>
      <c r="F44" s="3101" t="s">
        <v>2482</v>
      </c>
      <c r="G44" s="3101"/>
    </row>
    <row r="45" spans="1:7" ht="19.5" customHeight="1">
      <c r="A45" s="3771"/>
      <c r="B45" s="3769" t="s">
        <v>2634</v>
      </c>
      <c r="C45" s="3102" t="s">
        <v>2483</v>
      </c>
      <c r="D45" s="3103"/>
      <c r="E45" s="3104">
        <v>1</v>
      </c>
      <c r="F45" s="3101" t="s">
        <v>2484</v>
      </c>
      <c r="G45" s="3101"/>
    </row>
    <row r="46" spans="1:7" ht="19.5" customHeight="1">
      <c r="A46" s="3771"/>
      <c r="B46" s="3764"/>
      <c r="C46" s="3102" t="s">
        <v>2485</v>
      </c>
      <c r="D46" s="3103"/>
      <c r="E46" s="3104">
        <v>1</v>
      </c>
      <c r="F46" s="3101" t="s">
        <v>2486</v>
      </c>
      <c r="G46" s="3101"/>
    </row>
    <row r="47" spans="1:7" ht="19.5" customHeight="1">
      <c r="A47" s="3771"/>
      <c r="B47" s="3764"/>
      <c r="C47" s="3102" t="s">
        <v>2487</v>
      </c>
      <c r="D47" s="3103"/>
      <c r="E47" s="3104">
        <v>1</v>
      </c>
      <c r="F47" s="3101" t="s">
        <v>2488</v>
      </c>
      <c r="G47" s="3101"/>
    </row>
    <row r="48" spans="1:7" ht="19.5" customHeight="1">
      <c r="A48" s="3771"/>
      <c r="B48" s="3764"/>
      <c r="C48" s="3102" t="s">
        <v>2489</v>
      </c>
      <c r="D48" s="3103"/>
      <c r="E48" s="3104">
        <v>1</v>
      </c>
      <c r="F48" s="3101" t="s">
        <v>2490</v>
      </c>
      <c r="G48" s="3101"/>
    </row>
    <row r="49" spans="1:7" ht="19.5" customHeight="1">
      <c r="A49" s="3771"/>
      <c r="B49" s="3764"/>
      <c r="C49" s="3102" t="s">
        <v>2491</v>
      </c>
      <c r="D49" s="3103"/>
      <c r="E49" s="3104">
        <v>1</v>
      </c>
      <c r="F49" s="3101" t="s">
        <v>2492</v>
      </c>
      <c r="G49" s="3101"/>
    </row>
    <row r="50" spans="1:7" ht="19.5" customHeight="1">
      <c r="A50" s="3771"/>
      <c r="B50" s="3764"/>
      <c r="C50" s="3102" t="s">
        <v>2493</v>
      </c>
      <c r="D50" s="3103"/>
      <c r="E50" s="3104">
        <v>1</v>
      </c>
      <c r="F50" s="3101" t="s">
        <v>2494</v>
      </c>
      <c r="G50" s="3101"/>
    </row>
    <row r="51" spans="1:7" ht="19.5" customHeight="1" thickBot="1">
      <c r="A51" s="3772"/>
      <c r="B51" s="3765"/>
      <c r="C51" s="3105" t="s">
        <v>2495</v>
      </c>
      <c r="D51" s="3106"/>
      <c r="E51" s="3107">
        <v>1</v>
      </c>
      <c r="F51" s="3101" t="s">
        <v>2496</v>
      </c>
      <c r="G51" s="3101"/>
    </row>
    <row r="52" spans="1:7" ht="19.5" customHeight="1">
      <c r="A52" s="3114"/>
      <c r="B52" s="3114"/>
      <c r="C52" s="3114"/>
      <c r="D52" s="3114"/>
      <c r="E52" s="3114"/>
      <c r="F52" s="3114"/>
      <c r="G52" s="3114"/>
    </row>
    <row r="54" spans="1:7" ht="19.5" customHeight="1">
      <c r="A54" s="3115"/>
      <c r="B54" s="3087" t="s">
        <v>2635</v>
      </c>
      <c r="C54" s="3087" t="s">
        <v>2635</v>
      </c>
      <c r="D54" s="3087" t="s">
        <v>2635</v>
      </c>
      <c r="E54" s="3090" t="s">
        <v>2635</v>
      </c>
      <c r="F54" s="3090" t="s">
        <v>2636</v>
      </c>
      <c r="G54" s="3090" t="s">
        <v>2637</v>
      </c>
    </row>
    <row r="55" spans="1:7" ht="19.5" customHeight="1">
      <c r="A55" s="3116"/>
      <c r="B55" s="3090" t="s">
        <v>2604</v>
      </c>
      <c r="C55" s="3090" t="s">
        <v>2604</v>
      </c>
      <c r="D55" s="3090" t="s">
        <v>2604</v>
      </c>
      <c r="E55" s="3087" t="s">
        <v>2605</v>
      </c>
      <c r="F55" s="3087" t="s">
        <v>2607</v>
      </c>
      <c r="G55" s="3087" t="s">
        <v>2638</v>
      </c>
    </row>
    <row r="56" spans="1:7" ht="19.5" customHeight="1">
      <c r="A56" s="3117"/>
      <c r="B56" s="3087">
        <v>1</v>
      </c>
      <c r="C56" s="3087">
        <v>2</v>
      </c>
      <c r="D56" s="3087">
        <v>3</v>
      </c>
      <c r="E56" s="3118" t="s">
        <v>2639</v>
      </c>
      <c r="F56" s="3118" t="s">
        <v>2639</v>
      </c>
      <c r="G56" s="3118" t="s">
        <v>2639</v>
      </c>
    </row>
    <row r="57" spans="1:7" ht="19.5" customHeight="1">
      <c r="A57" s="3119" t="s">
        <v>2592</v>
      </c>
      <c r="B57" s="3087">
        <v>0.7</v>
      </c>
      <c r="C57" s="3087">
        <v>0.4</v>
      </c>
      <c r="D57" s="3087">
        <v>0.3</v>
      </c>
      <c r="E57" s="3118">
        <v>0.3</v>
      </c>
      <c r="F57" s="3087">
        <v>0.3</v>
      </c>
      <c r="G57" s="3087">
        <v>0.2</v>
      </c>
    </row>
    <row r="58" spans="1:7" ht="19.5" customHeight="1">
      <c r="A58" s="3119" t="s">
        <v>2593</v>
      </c>
      <c r="B58" s="3087">
        <v>0.7</v>
      </c>
      <c r="C58" s="3087">
        <v>0.4</v>
      </c>
      <c r="D58" s="3087">
        <v>0.3</v>
      </c>
      <c r="E58" s="3087">
        <v>0.3</v>
      </c>
      <c r="F58" s="3087">
        <v>0.3</v>
      </c>
      <c r="G58" s="3087">
        <v>0.2</v>
      </c>
    </row>
    <row r="59" spans="1:7" ht="19.5" customHeight="1">
      <c r="A59" s="3119" t="s">
        <v>2594</v>
      </c>
      <c r="B59" s="3087">
        <v>0.6</v>
      </c>
      <c r="C59" s="3087">
        <v>0.3</v>
      </c>
      <c r="D59" s="3087">
        <v>0.25</v>
      </c>
      <c r="E59" s="3087">
        <v>0.25</v>
      </c>
      <c r="F59" s="3087">
        <v>0.25</v>
      </c>
      <c r="G59" s="3087">
        <v>0.15</v>
      </c>
    </row>
    <row r="60" spans="1:7" ht="19.5" customHeight="1">
      <c r="A60" s="3119" t="s">
        <v>2595</v>
      </c>
      <c r="B60" s="3087">
        <v>0.6</v>
      </c>
      <c r="C60" s="3087">
        <v>0.3</v>
      </c>
      <c r="D60" s="3087">
        <v>0.25</v>
      </c>
      <c r="E60" s="3087">
        <v>0.25</v>
      </c>
      <c r="F60" s="3087">
        <v>0.25</v>
      </c>
      <c r="G60" s="3087">
        <v>0.15</v>
      </c>
    </row>
    <row r="61" spans="1:7" ht="19.5" customHeight="1">
      <c r="A61" s="3119" t="s">
        <v>2596</v>
      </c>
      <c r="B61" s="3087">
        <v>0.6</v>
      </c>
      <c r="C61" s="3087">
        <v>0.3</v>
      </c>
      <c r="D61" s="3087">
        <v>0.25</v>
      </c>
      <c r="E61" s="3087">
        <v>0.25</v>
      </c>
      <c r="F61" s="3087">
        <v>0.25</v>
      </c>
      <c r="G61" s="3087">
        <v>0.15</v>
      </c>
    </row>
    <row r="62" spans="1:7" ht="19.5" customHeight="1">
      <c r="A62" s="3119" t="s">
        <v>2597</v>
      </c>
      <c r="B62" s="3087">
        <v>0.6</v>
      </c>
      <c r="C62" s="3087">
        <v>0.3</v>
      </c>
      <c r="D62" s="3087">
        <v>0.25</v>
      </c>
      <c r="E62" s="3087">
        <v>0.25</v>
      </c>
      <c r="F62" s="3087">
        <v>0.25</v>
      </c>
      <c r="G62" s="3087">
        <v>0.15</v>
      </c>
    </row>
    <row r="63" spans="1:7" ht="19.5" customHeight="1">
      <c r="A63" s="3119" t="s">
        <v>2598</v>
      </c>
      <c r="B63" s="3087">
        <v>0.6</v>
      </c>
      <c r="C63" s="3087">
        <v>0.3</v>
      </c>
      <c r="D63" s="3087">
        <v>0.25</v>
      </c>
      <c r="E63" s="3087">
        <v>0.25</v>
      </c>
      <c r="F63" s="3087">
        <v>0.25</v>
      </c>
      <c r="G63" s="3087">
        <v>0.15</v>
      </c>
    </row>
    <row r="64" spans="1:7" ht="19.5" customHeight="1">
      <c r="A64" s="3119" t="s">
        <v>2599</v>
      </c>
      <c r="B64" s="3087">
        <v>0.5</v>
      </c>
      <c r="C64" s="3087">
        <v>0.2</v>
      </c>
      <c r="D64" s="3087">
        <v>0.2</v>
      </c>
      <c r="E64" s="3087">
        <v>0.2</v>
      </c>
      <c r="F64" s="3087">
        <v>0.2</v>
      </c>
      <c r="G64" s="3087">
        <v>0.1</v>
      </c>
    </row>
    <row r="65" spans="1:7" ht="19.5" customHeight="1">
      <c r="A65" s="3119" t="s">
        <v>2600</v>
      </c>
      <c r="B65" s="3087">
        <v>0.5</v>
      </c>
      <c r="C65" s="3087">
        <v>0.2</v>
      </c>
      <c r="D65" s="3087">
        <v>0.2</v>
      </c>
      <c r="E65" s="3087">
        <v>0.2</v>
      </c>
      <c r="F65" s="3087">
        <v>0.2</v>
      </c>
      <c r="G65" s="3087">
        <v>0.1</v>
      </c>
    </row>
    <row r="66" spans="1:7" ht="19.5" customHeight="1">
      <c r="A66" s="3119" t="s">
        <v>2601</v>
      </c>
      <c r="B66" s="3087">
        <v>0.5</v>
      </c>
      <c r="C66" s="3087">
        <v>0.2</v>
      </c>
      <c r="D66" s="3087">
        <v>0.2</v>
      </c>
      <c r="E66" s="3087">
        <v>0.2</v>
      </c>
      <c r="F66" s="3087">
        <v>0.2</v>
      </c>
      <c r="G66" s="3087">
        <v>0.1</v>
      </c>
    </row>
    <row r="67" spans="1:7" ht="19.5" customHeight="1">
      <c r="A67" s="3119" t="s">
        <v>2602</v>
      </c>
      <c r="B67" s="3087">
        <v>0.5</v>
      </c>
      <c r="C67" s="3087">
        <v>0.2</v>
      </c>
      <c r="D67" s="3087">
        <v>0.2</v>
      </c>
      <c r="E67" s="3087">
        <v>0.2</v>
      </c>
      <c r="F67" s="3087">
        <v>0.2</v>
      </c>
      <c r="G67" s="3087">
        <v>0.1</v>
      </c>
    </row>
    <row r="68" spans="1:7" ht="19.5" customHeight="1">
      <c r="A68" s="3119" t="s">
        <v>2603</v>
      </c>
      <c r="B68" s="3087">
        <v>0.5</v>
      </c>
      <c r="C68" s="3087">
        <v>0.2</v>
      </c>
      <c r="D68" s="3087">
        <v>0.2</v>
      </c>
      <c r="E68" s="3087">
        <v>0.2</v>
      </c>
      <c r="F68" s="3087">
        <v>0.2</v>
      </c>
      <c r="G68" s="3087">
        <v>0.1</v>
      </c>
    </row>
    <row r="70" spans="1:7" ht="19.5" customHeight="1">
      <c r="A70" s="3120"/>
      <c r="B70" s="3121"/>
      <c r="C70" s="3121"/>
      <c r="D70" s="3121" t="s">
        <v>2640</v>
      </c>
      <c r="E70" s="3121"/>
      <c r="F70" s="3121"/>
    </row>
    <row r="71" spans="1:7" ht="19.5" customHeight="1">
      <c r="A71" s="3113" t="s">
        <v>2641</v>
      </c>
      <c r="B71" s="3113" t="s">
        <v>2642</v>
      </c>
      <c r="C71" s="3113" t="s">
        <v>2643</v>
      </c>
      <c r="D71" s="3113" t="s">
        <v>2644</v>
      </c>
      <c r="E71" s="3113" t="s">
        <v>2645</v>
      </c>
      <c r="F71" s="3113" t="s">
        <v>2646</v>
      </c>
    </row>
    <row r="72" spans="1:7" ht="13.5">
      <c r="A72" s="3113"/>
      <c r="B72" s="3113"/>
      <c r="C72" s="3113" t="s">
        <v>2647</v>
      </c>
      <c r="D72" s="3113"/>
      <c r="E72" s="3113" t="s">
        <v>2618</v>
      </c>
      <c r="F72" s="3113" t="s">
        <v>2618</v>
      </c>
    </row>
    <row r="73" spans="1:7" ht="13.5">
      <c r="A73" s="3113">
        <v>1</v>
      </c>
      <c r="B73" s="3769" t="s">
        <v>2648</v>
      </c>
      <c r="C73" s="3087" t="s">
        <v>2649</v>
      </c>
      <c r="D73" s="3087" t="s">
        <v>2650</v>
      </c>
      <c r="E73" s="3113">
        <v>0.2</v>
      </c>
      <c r="F73" s="3113">
        <v>25</v>
      </c>
    </row>
    <row r="74" spans="1:7" ht="24">
      <c r="A74" s="3113">
        <v>2</v>
      </c>
      <c r="B74" s="3764"/>
      <c r="C74" s="3087" t="s">
        <v>2651</v>
      </c>
      <c r="D74" s="3087" t="s">
        <v>2652</v>
      </c>
      <c r="E74" s="3113">
        <v>0.2</v>
      </c>
      <c r="F74" s="3113">
        <v>25</v>
      </c>
    </row>
    <row r="75" spans="1:7" ht="24">
      <c r="A75" s="3113">
        <v>3</v>
      </c>
      <c r="B75" s="3764"/>
      <c r="C75" s="3087" t="s">
        <v>2653</v>
      </c>
      <c r="D75" s="3087" t="s">
        <v>2654</v>
      </c>
      <c r="E75" s="3113">
        <v>0.2</v>
      </c>
      <c r="F75" s="3113">
        <v>25</v>
      </c>
    </row>
    <row r="76" spans="1:7" ht="13.5">
      <c r="A76" s="3113">
        <v>4</v>
      </c>
      <c r="B76" s="3764"/>
      <c r="C76" s="3087" t="s">
        <v>2655</v>
      </c>
      <c r="D76" s="3087" t="s">
        <v>2656</v>
      </c>
      <c r="E76" s="3113">
        <v>0.15</v>
      </c>
      <c r="F76" s="3113">
        <v>20</v>
      </c>
    </row>
    <row r="77" spans="1:7" ht="24">
      <c r="A77" s="3113">
        <v>5</v>
      </c>
      <c r="B77" s="3764"/>
      <c r="C77" s="3087" t="s">
        <v>2657</v>
      </c>
      <c r="D77" s="3087" t="s">
        <v>2658</v>
      </c>
      <c r="E77" s="3113">
        <v>0.15</v>
      </c>
      <c r="F77" s="3113">
        <v>20</v>
      </c>
    </row>
    <row r="78" spans="1:7" ht="24">
      <c r="A78" s="3113">
        <v>6</v>
      </c>
      <c r="B78" s="3764"/>
      <c r="C78" s="3087" t="s">
        <v>2659</v>
      </c>
      <c r="D78" s="3087" t="s">
        <v>2660</v>
      </c>
      <c r="E78" s="3113">
        <v>0.15</v>
      </c>
      <c r="F78" s="3113">
        <v>20</v>
      </c>
    </row>
    <row r="79" spans="1:7" ht="24">
      <c r="A79" s="3113">
        <v>7</v>
      </c>
      <c r="B79" s="3764"/>
      <c r="C79" s="3087" t="s">
        <v>2661</v>
      </c>
      <c r="D79" s="3087" t="s">
        <v>2662</v>
      </c>
      <c r="E79" s="3113">
        <v>0.15</v>
      </c>
      <c r="F79" s="3113">
        <v>20</v>
      </c>
    </row>
    <row r="80" spans="1:7" ht="24">
      <c r="A80" s="3113">
        <v>8</v>
      </c>
      <c r="B80" s="3764"/>
      <c r="C80" s="3087" t="s">
        <v>2663</v>
      </c>
      <c r="D80" s="3087" t="s">
        <v>2664</v>
      </c>
      <c r="E80" s="3113">
        <v>0.1</v>
      </c>
      <c r="F80" s="3113">
        <v>15</v>
      </c>
    </row>
    <row r="81" spans="1:6" ht="24">
      <c r="A81" s="3113">
        <v>9</v>
      </c>
      <c r="B81" s="3764"/>
      <c r="C81" s="3087" t="s">
        <v>2665</v>
      </c>
      <c r="D81" s="3087" t="s">
        <v>2666</v>
      </c>
      <c r="E81" s="3113">
        <v>0.1</v>
      </c>
      <c r="F81" s="3113">
        <v>15</v>
      </c>
    </row>
    <row r="82" spans="1:6" ht="24">
      <c r="A82" s="3113">
        <v>10</v>
      </c>
      <c r="B82" s="3764"/>
      <c r="C82" s="3087" t="s">
        <v>2667</v>
      </c>
      <c r="D82" s="3087" t="s">
        <v>2668</v>
      </c>
      <c r="E82" s="3113">
        <v>0.1</v>
      </c>
      <c r="F82" s="3113">
        <v>15</v>
      </c>
    </row>
    <row r="83" spans="1:6" ht="24">
      <c r="A83" s="3113">
        <v>11</v>
      </c>
      <c r="B83" s="3764"/>
      <c r="C83" s="3087" t="s">
        <v>2669</v>
      </c>
      <c r="D83" s="3087" t="s">
        <v>2670</v>
      </c>
      <c r="E83" s="3113">
        <v>0.1</v>
      </c>
      <c r="F83" s="3113">
        <v>15</v>
      </c>
    </row>
    <row r="84" spans="1:6" ht="24">
      <c r="A84" s="3113">
        <v>12</v>
      </c>
      <c r="B84" s="3764"/>
      <c r="C84" s="3087" t="s">
        <v>2671</v>
      </c>
      <c r="D84" s="3087" t="s">
        <v>2672</v>
      </c>
      <c r="E84" s="3113">
        <v>0.1</v>
      </c>
      <c r="F84" s="3113">
        <v>15</v>
      </c>
    </row>
    <row r="85" spans="1:6" ht="13.5">
      <c r="A85" s="3113">
        <v>13</v>
      </c>
      <c r="B85" s="3764"/>
      <c r="C85" s="3087" t="s">
        <v>2673</v>
      </c>
      <c r="D85" s="3087" t="s">
        <v>2674</v>
      </c>
      <c r="E85" s="3113">
        <v>0.1</v>
      </c>
      <c r="F85" s="3113">
        <v>15</v>
      </c>
    </row>
    <row r="86" spans="1:6" ht="13.5">
      <c r="A86" s="3113">
        <v>14</v>
      </c>
      <c r="B86" s="3764"/>
      <c r="C86" s="3087" t="s">
        <v>2675</v>
      </c>
      <c r="D86" s="3087" t="s">
        <v>2676</v>
      </c>
      <c r="E86" s="3113">
        <v>0.1</v>
      </c>
      <c r="F86" s="3113">
        <v>15</v>
      </c>
    </row>
    <row r="87" spans="1:6" ht="13.5">
      <c r="A87" s="3113">
        <v>15</v>
      </c>
      <c r="B87" s="3764"/>
      <c r="C87" s="3087" t="s">
        <v>2677</v>
      </c>
      <c r="D87" s="3087" t="s">
        <v>2678</v>
      </c>
      <c r="E87" s="3113">
        <v>0.1</v>
      </c>
      <c r="F87" s="3113">
        <v>15</v>
      </c>
    </row>
    <row r="88" spans="1:6" ht="24">
      <c r="A88" s="3113">
        <v>16</v>
      </c>
      <c r="B88" s="3764"/>
      <c r="C88" s="3087" t="s">
        <v>2679</v>
      </c>
      <c r="D88" s="3087" t="s">
        <v>2680</v>
      </c>
      <c r="E88" s="3113">
        <v>0.1</v>
      </c>
      <c r="F88" s="3113">
        <v>15</v>
      </c>
    </row>
    <row r="89" spans="1:6" ht="24">
      <c r="A89" s="3113">
        <v>17</v>
      </c>
      <c r="B89" s="3773"/>
      <c r="C89" s="3087" t="s">
        <v>2681</v>
      </c>
      <c r="D89" s="3087" t="s">
        <v>2682</v>
      </c>
      <c r="E89" s="3113">
        <v>0.1</v>
      </c>
      <c r="F89" s="3113">
        <v>15</v>
      </c>
    </row>
    <row r="90" spans="1:6" ht="13.5">
      <c r="A90" s="3113">
        <v>18</v>
      </c>
      <c r="B90" s="3769" t="s">
        <v>2683</v>
      </c>
      <c r="C90" s="3087" t="s">
        <v>2684</v>
      </c>
      <c r="D90" s="3087" t="s">
        <v>2685</v>
      </c>
      <c r="E90" s="3113">
        <v>0.2</v>
      </c>
      <c r="F90" s="3113">
        <v>25</v>
      </c>
    </row>
    <row r="91" spans="1:6" ht="24">
      <c r="A91" s="3113">
        <v>19</v>
      </c>
      <c r="B91" s="3764"/>
      <c r="C91" s="3087" t="s">
        <v>2686</v>
      </c>
      <c r="D91" s="3087" t="s">
        <v>2687</v>
      </c>
      <c r="E91" s="3113">
        <v>0.2</v>
      </c>
      <c r="F91" s="3113">
        <v>25</v>
      </c>
    </row>
    <row r="92" spans="1:6" ht="13.5">
      <c r="A92" s="3113">
        <v>20</v>
      </c>
      <c r="B92" s="3764"/>
      <c r="C92" s="3087" t="s">
        <v>2688</v>
      </c>
      <c r="D92" s="3087" t="s">
        <v>2689</v>
      </c>
      <c r="E92" s="3113">
        <v>0.15</v>
      </c>
      <c r="F92" s="3113">
        <v>20</v>
      </c>
    </row>
    <row r="93" spans="1:6" ht="13.5">
      <c r="A93" s="3113">
        <v>21</v>
      </c>
      <c r="B93" s="3764"/>
      <c r="C93" s="3087" t="s">
        <v>2690</v>
      </c>
      <c r="D93" s="3087" t="s">
        <v>2691</v>
      </c>
      <c r="E93" s="3113">
        <v>0.15</v>
      </c>
      <c r="F93" s="3113">
        <v>20</v>
      </c>
    </row>
    <row r="94" spans="1:6" ht="13.5">
      <c r="A94" s="3113">
        <v>22</v>
      </c>
      <c r="B94" s="3764"/>
      <c r="C94" s="3087" t="s">
        <v>2692</v>
      </c>
      <c r="D94" s="3087" t="s">
        <v>2693</v>
      </c>
      <c r="E94" s="3113">
        <v>0.15</v>
      </c>
      <c r="F94" s="3113">
        <v>20</v>
      </c>
    </row>
    <row r="95" spans="1:6" ht="36">
      <c r="A95" s="3113">
        <v>23</v>
      </c>
      <c r="B95" s="3764"/>
      <c r="C95" s="3087" t="s">
        <v>2694</v>
      </c>
      <c r="D95" s="3087" t="s">
        <v>2695</v>
      </c>
      <c r="E95" s="3113">
        <v>0.15</v>
      </c>
      <c r="F95" s="3113">
        <v>20</v>
      </c>
    </row>
    <row r="96" spans="1:6" ht="13.5">
      <c r="A96" s="3113">
        <v>24</v>
      </c>
      <c r="B96" s="3764"/>
      <c r="C96" s="3087" t="s">
        <v>2696</v>
      </c>
      <c r="D96" s="3087" t="s">
        <v>2697</v>
      </c>
      <c r="E96" s="3113">
        <v>0.1</v>
      </c>
      <c r="F96" s="3113">
        <v>15</v>
      </c>
    </row>
    <row r="97" spans="1:6" ht="13.5">
      <c r="A97" s="3113">
        <v>25</v>
      </c>
      <c r="B97" s="3764"/>
      <c r="C97" s="3087" t="s">
        <v>2698</v>
      </c>
      <c r="D97" s="3087" t="s">
        <v>2699</v>
      </c>
      <c r="E97" s="3113">
        <v>0.1</v>
      </c>
      <c r="F97" s="3113">
        <v>15</v>
      </c>
    </row>
    <row r="98" spans="1:6" ht="24">
      <c r="A98" s="3113">
        <v>26</v>
      </c>
      <c r="B98" s="3764"/>
      <c r="C98" s="3087" t="s">
        <v>2700</v>
      </c>
      <c r="D98" s="3087" t="s">
        <v>2701</v>
      </c>
      <c r="E98" s="3113">
        <v>0.1</v>
      </c>
      <c r="F98" s="3113">
        <v>15</v>
      </c>
    </row>
    <row r="99" spans="1:6" ht="24">
      <c r="A99" s="3113">
        <v>27</v>
      </c>
      <c r="B99" s="3764"/>
      <c r="C99" s="3087" t="s">
        <v>2702</v>
      </c>
      <c r="D99" s="3087" t="s">
        <v>2703</v>
      </c>
      <c r="E99" s="3113">
        <v>0.1</v>
      </c>
      <c r="F99" s="3113">
        <v>15</v>
      </c>
    </row>
    <row r="100" spans="1:6" ht="13.5">
      <c r="A100" s="3113">
        <v>28</v>
      </c>
      <c r="B100" s="3764"/>
      <c r="C100" s="3087" t="s">
        <v>2704</v>
      </c>
      <c r="D100" s="3087" t="s">
        <v>2705</v>
      </c>
      <c r="E100" s="3113">
        <v>0.1</v>
      </c>
      <c r="F100" s="3113">
        <v>15</v>
      </c>
    </row>
    <row r="101" spans="1:6" ht="13.5">
      <c r="A101" s="3113">
        <v>29</v>
      </c>
      <c r="B101" s="3764"/>
      <c r="C101" s="3087" t="s">
        <v>2706</v>
      </c>
      <c r="D101" s="3087" t="s">
        <v>2707</v>
      </c>
      <c r="E101" s="3113">
        <v>0.1</v>
      </c>
      <c r="F101" s="3113">
        <v>15</v>
      </c>
    </row>
    <row r="102" spans="1:6" ht="13.5">
      <c r="A102" s="3113">
        <v>30</v>
      </c>
      <c r="B102" s="3764"/>
      <c r="C102" s="3087" t="s">
        <v>2708</v>
      </c>
      <c r="D102" s="3087" t="s">
        <v>2709</v>
      </c>
      <c r="E102" s="3113">
        <v>0.1</v>
      </c>
      <c r="F102" s="3113">
        <v>15</v>
      </c>
    </row>
    <row r="103" spans="1:6" ht="24">
      <c r="A103" s="3113">
        <v>31</v>
      </c>
      <c r="B103" s="3764"/>
      <c r="C103" s="3087" t="s">
        <v>2710</v>
      </c>
      <c r="D103" s="3087" t="s">
        <v>2711</v>
      </c>
      <c r="E103" s="3113">
        <v>0.1</v>
      </c>
      <c r="F103" s="3113">
        <v>15</v>
      </c>
    </row>
    <row r="104" spans="1:6" ht="24">
      <c r="A104" s="3113">
        <v>32</v>
      </c>
      <c r="B104" s="3764"/>
      <c r="C104" s="3087" t="s">
        <v>2712</v>
      </c>
      <c r="D104" s="3087" t="s">
        <v>2713</v>
      </c>
      <c r="E104" s="3113">
        <v>0.1</v>
      </c>
      <c r="F104" s="3113">
        <v>15</v>
      </c>
    </row>
    <row r="105" spans="1:6" ht="24">
      <c r="A105" s="3113">
        <v>33</v>
      </c>
      <c r="B105" s="3764"/>
      <c r="C105" s="3087" t="s">
        <v>2714</v>
      </c>
      <c r="D105" s="3087" t="s">
        <v>2715</v>
      </c>
      <c r="E105" s="3113">
        <v>0.1</v>
      </c>
      <c r="F105" s="3113">
        <v>15</v>
      </c>
    </row>
    <row r="106" spans="1:6" ht="24">
      <c r="A106" s="3113">
        <v>34</v>
      </c>
      <c r="B106" s="3773"/>
      <c r="C106" s="3087" t="s">
        <v>2716</v>
      </c>
      <c r="D106" s="3087" t="s">
        <v>2717</v>
      </c>
      <c r="E106" s="3113">
        <v>0.1</v>
      </c>
      <c r="F106" s="3113">
        <v>15</v>
      </c>
    </row>
    <row r="107" spans="1:6" ht="24">
      <c r="A107" s="3113">
        <v>35</v>
      </c>
      <c r="B107" s="3769" t="s">
        <v>2718</v>
      </c>
      <c r="C107" s="3113" t="s">
        <v>2719</v>
      </c>
      <c r="D107" s="3087" t="s">
        <v>2720</v>
      </c>
      <c r="E107" s="3113">
        <v>0.15</v>
      </c>
      <c r="F107" s="3113">
        <v>20</v>
      </c>
    </row>
    <row r="108" spans="1:6" ht="13.5">
      <c r="A108" s="3113">
        <v>36</v>
      </c>
      <c r="B108" s="3764"/>
      <c r="C108" s="3113" t="s">
        <v>2721</v>
      </c>
      <c r="D108" s="3087" t="s">
        <v>2722</v>
      </c>
      <c r="E108" s="3113">
        <v>0.15</v>
      </c>
      <c r="F108" s="3113">
        <v>20</v>
      </c>
    </row>
    <row r="109" spans="1:6" ht="13.5">
      <c r="A109" s="3113">
        <v>37</v>
      </c>
      <c r="B109" s="3764"/>
      <c r="C109" s="3113" t="s">
        <v>2723</v>
      </c>
      <c r="D109" s="3087" t="s">
        <v>2724</v>
      </c>
      <c r="E109" s="3113">
        <v>0.15</v>
      </c>
      <c r="F109" s="3113">
        <v>20</v>
      </c>
    </row>
    <row r="110" spans="1:6" ht="13.5">
      <c r="A110" s="3113">
        <v>38</v>
      </c>
      <c r="B110" s="3764"/>
      <c r="C110" s="3113" t="s">
        <v>2725</v>
      </c>
      <c r="D110" s="3087" t="s">
        <v>2726</v>
      </c>
      <c r="E110" s="3113">
        <v>0.1</v>
      </c>
      <c r="F110" s="3113">
        <v>15</v>
      </c>
    </row>
    <row r="111" spans="1:6" ht="24">
      <c r="A111" s="3113">
        <v>39</v>
      </c>
      <c r="B111" s="3764"/>
      <c r="C111" s="3113" t="s">
        <v>2727</v>
      </c>
      <c r="D111" s="3087" t="s">
        <v>2728</v>
      </c>
      <c r="E111" s="3113">
        <v>0.1</v>
      </c>
      <c r="F111" s="3113">
        <v>15</v>
      </c>
    </row>
    <row r="112" spans="1:6" ht="24">
      <c r="A112" s="3113">
        <v>40</v>
      </c>
      <c r="B112" s="3773"/>
      <c r="C112" s="3113" t="s">
        <v>2729</v>
      </c>
      <c r="D112" s="3087" t="s">
        <v>2730</v>
      </c>
      <c r="E112" s="3113">
        <v>0.1</v>
      </c>
      <c r="F112" s="3113">
        <v>15</v>
      </c>
    </row>
    <row r="113" spans="1:6" ht="13.5">
      <c r="A113" s="3113">
        <v>41</v>
      </c>
      <c r="B113" s="3774" t="s">
        <v>2731</v>
      </c>
      <c r="C113" s="3113" t="s">
        <v>2732</v>
      </c>
      <c r="D113" s="3087" t="s">
        <v>2733</v>
      </c>
      <c r="E113" s="3113">
        <v>0.1</v>
      </c>
      <c r="F113" s="3113">
        <v>15</v>
      </c>
    </row>
    <row r="114" spans="1:6" ht="13.5">
      <c r="A114" s="3113">
        <v>42</v>
      </c>
      <c r="B114" s="3774"/>
      <c r="C114" s="3113" t="s">
        <v>2734</v>
      </c>
      <c r="D114" s="3087" t="s">
        <v>2735</v>
      </c>
      <c r="E114" s="3113">
        <v>0.1</v>
      </c>
      <c r="F114" s="3113">
        <v>15</v>
      </c>
    </row>
    <row r="115" spans="1:6" ht="24">
      <c r="A115" s="3113">
        <v>43</v>
      </c>
      <c r="B115" s="3774"/>
      <c r="C115" s="3113" t="s">
        <v>2736</v>
      </c>
      <c r="D115" s="3087" t="s">
        <v>2737</v>
      </c>
      <c r="E115" s="3113">
        <v>0.1</v>
      </c>
      <c r="F115" s="3113">
        <v>15</v>
      </c>
    </row>
    <row r="116" spans="1:6" ht="13.5">
      <c r="A116" s="3113">
        <v>44</v>
      </c>
      <c r="B116" s="3769" t="s">
        <v>2738</v>
      </c>
      <c r="C116" s="3113" t="s">
        <v>2739</v>
      </c>
      <c r="D116" s="3087" t="s">
        <v>2740</v>
      </c>
      <c r="E116" s="3113">
        <v>0.1</v>
      </c>
      <c r="F116" s="3113">
        <v>15</v>
      </c>
    </row>
    <row r="117" spans="1:6" ht="24">
      <c r="A117" s="3113">
        <v>45</v>
      </c>
      <c r="B117" s="3773"/>
      <c r="C117" s="3087" t="s">
        <v>2741</v>
      </c>
      <c r="D117" s="3087" t="s">
        <v>2742</v>
      </c>
      <c r="E117" s="3113">
        <v>0.1</v>
      </c>
      <c r="F117" s="3113">
        <v>15</v>
      </c>
    </row>
    <row r="118" spans="1:6" ht="24">
      <c r="A118" s="3113">
        <v>46</v>
      </c>
      <c r="B118" s="3769" t="s">
        <v>2743</v>
      </c>
      <c r="C118" s="3113" t="s">
        <v>2744</v>
      </c>
      <c r="D118" s="3087" t="s">
        <v>2745</v>
      </c>
      <c r="E118" s="3113">
        <v>0.1</v>
      </c>
      <c r="F118" s="3113">
        <v>15</v>
      </c>
    </row>
    <row r="119" spans="1:6" ht="24">
      <c r="A119" s="3113">
        <v>47</v>
      </c>
      <c r="B119" s="3773"/>
      <c r="C119" s="3113" t="s">
        <v>2746</v>
      </c>
      <c r="D119" s="3087" t="s">
        <v>2747</v>
      </c>
      <c r="E119" s="3113">
        <v>0.1</v>
      </c>
      <c r="F119" s="3113">
        <v>15</v>
      </c>
    </row>
    <row r="120" spans="1:6" ht="13.5">
      <c r="A120" s="3113">
        <v>48</v>
      </c>
      <c r="B120" s="3769" t="s">
        <v>2748</v>
      </c>
      <c r="C120" s="3113" t="s">
        <v>2749</v>
      </c>
      <c r="D120" s="3087" t="s">
        <v>2750</v>
      </c>
      <c r="E120" s="3113">
        <v>0.1</v>
      </c>
      <c r="F120" s="3113">
        <v>15</v>
      </c>
    </row>
    <row r="121" spans="1:6" ht="13.5">
      <c r="A121" s="3113">
        <v>49</v>
      </c>
      <c r="B121" s="3773"/>
      <c r="C121" s="3113" t="s">
        <v>2751</v>
      </c>
      <c r="D121" s="3087" t="s">
        <v>2752</v>
      </c>
      <c r="E121" s="3113">
        <v>0.1</v>
      </c>
      <c r="F121" s="3113">
        <v>15</v>
      </c>
    </row>
    <row r="122" spans="1:6" ht="24">
      <c r="A122" s="3113">
        <v>50</v>
      </c>
      <c r="B122" s="3774" t="s">
        <v>2753</v>
      </c>
      <c r="C122" s="3113" t="s">
        <v>2754</v>
      </c>
      <c r="D122" s="3087" t="s">
        <v>2755</v>
      </c>
      <c r="E122" s="3113">
        <v>0.1</v>
      </c>
      <c r="F122" s="3113">
        <v>15</v>
      </c>
    </row>
    <row r="123" spans="1:6" ht="24">
      <c r="A123" s="3113">
        <v>51</v>
      </c>
      <c r="B123" s="3774"/>
      <c r="C123" s="3113" t="s">
        <v>2756</v>
      </c>
      <c r="D123" s="3087" t="s">
        <v>2757</v>
      </c>
      <c r="E123" s="3113">
        <v>0.1</v>
      </c>
      <c r="F123" s="3113">
        <v>15</v>
      </c>
    </row>
    <row r="124" spans="1:6" ht="24">
      <c r="A124" s="3113">
        <v>52</v>
      </c>
      <c r="B124" s="3774" t="s">
        <v>2758</v>
      </c>
      <c r="C124" s="3113" t="s">
        <v>2759</v>
      </c>
      <c r="D124" s="3087" t="s">
        <v>2760</v>
      </c>
      <c r="E124" s="3113">
        <v>0.1</v>
      </c>
      <c r="F124" s="3113">
        <v>15</v>
      </c>
    </row>
    <row r="125" spans="1:6" ht="24">
      <c r="A125" s="3113">
        <v>53</v>
      </c>
      <c r="B125" s="3774"/>
      <c r="C125" s="3113" t="s">
        <v>2761</v>
      </c>
      <c r="D125" s="3087" t="s">
        <v>2762</v>
      </c>
      <c r="E125" s="3113">
        <v>0.1</v>
      </c>
      <c r="F125" s="3113">
        <v>15</v>
      </c>
    </row>
    <row r="126" spans="1:6" ht="13.5">
      <c r="A126" s="3113">
        <v>54</v>
      </c>
      <c r="B126" s="3113" t="s">
        <v>2763</v>
      </c>
      <c r="C126" s="3113" t="s">
        <v>2764</v>
      </c>
      <c r="D126" s="3087" t="s">
        <v>2765</v>
      </c>
      <c r="E126" s="3113">
        <v>0.1</v>
      </c>
      <c r="F126" s="3113">
        <v>15</v>
      </c>
    </row>
    <row r="127" spans="1:6" ht="13.5">
      <c r="A127" s="3113">
        <v>55</v>
      </c>
      <c r="B127" s="3774" t="s">
        <v>2766</v>
      </c>
      <c r="C127" s="3113" t="s">
        <v>2767</v>
      </c>
      <c r="D127" s="3087" t="s">
        <v>2768</v>
      </c>
      <c r="E127" s="3113">
        <v>0.1</v>
      </c>
      <c r="F127" s="3113">
        <v>15</v>
      </c>
    </row>
    <row r="128" spans="1:6" ht="13.5">
      <c r="A128" s="3113">
        <v>56</v>
      </c>
      <c r="B128" s="3774"/>
      <c r="C128" s="3113" t="s">
        <v>2769</v>
      </c>
      <c r="D128" s="3087" t="s">
        <v>2770</v>
      </c>
      <c r="E128" s="3113">
        <v>0.1</v>
      </c>
      <c r="F128" s="3113">
        <v>15</v>
      </c>
    </row>
    <row r="129" spans="1:6" ht="24">
      <c r="A129" s="3113">
        <v>57</v>
      </c>
      <c r="B129" s="3774"/>
      <c r="C129" s="3113" t="s">
        <v>2771</v>
      </c>
      <c r="D129" s="3087" t="s">
        <v>2772</v>
      </c>
      <c r="E129" s="3113">
        <v>0.1</v>
      </c>
      <c r="F129" s="3113">
        <v>15</v>
      </c>
    </row>
    <row r="130" spans="1:6" ht="24">
      <c r="A130" s="3113">
        <v>58</v>
      </c>
      <c r="B130" s="3774" t="s">
        <v>2773</v>
      </c>
      <c r="C130" s="3113" t="s">
        <v>2774</v>
      </c>
      <c r="D130" s="3087" t="s">
        <v>2775</v>
      </c>
      <c r="E130" s="3113">
        <v>0.1</v>
      </c>
      <c r="F130" s="3113">
        <v>15</v>
      </c>
    </row>
    <row r="131" spans="1:6" ht="13.5">
      <c r="A131" s="3113">
        <v>59</v>
      </c>
      <c r="B131" s="3774"/>
      <c r="C131" s="3113" t="s">
        <v>2776</v>
      </c>
      <c r="D131" s="3087" t="s">
        <v>2777</v>
      </c>
      <c r="E131" s="3113">
        <v>0.1</v>
      </c>
      <c r="F131" s="3113">
        <v>15</v>
      </c>
    </row>
    <row r="132" spans="1:6" ht="13.5">
      <c r="A132" s="3113">
        <v>60</v>
      </c>
      <c r="B132" s="3769" t="s">
        <v>2778</v>
      </c>
      <c r="C132" s="3113" t="s">
        <v>2779</v>
      </c>
      <c r="D132" s="3087" t="s">
        <v>2780</v>
      </c>
      <c r="E132" s="3113">
        <v>0.1</v>
      </c>
      <c r="F132" s="3113">
        <v>15</v>
      </c>
    </row>
    <row r="133" spans="1:6" ht="13.5">
      <c r="A133" s="3113">
        <v>61</v>
      </c>
      <c r="B133" s="3773"/>
      <c r="C133" s="3113" t="s">
        <v>2781</v>
      </c>
      <c r="D133" s="3087" t="s">
        <v>2782</v>
      </c>
      <c r="E133" s="3113">
        <v>0.1</v>
      </c>
      <c r="F133" s="3113">
        <v>15</v>
      </c>
    </row>
    <row r="134" spans="1:6" ht="24">
      <c r="A134" s="3113">
        <v>62</v>
      </c>
      <c r="B134" s="3113" t="s">
        <v>2783</v>
      </c>
      <c r="C134" s="3113" t="s">
        <v>2784</v>
      </c>
      <c r="D134" s="3087" t="s">
        <v>2785</v>
      </c>
      <c r="E134" s="3113">
        <v>0.1</v>
      </c>
      <c r="F134" s="3113">
        <v>15</v>
      </c>
    </row>
    <row r="135" spans="1:6" ht="13.5">
      <c r="A135" s="3113">
        <v>63</v>
      </c>
      <c r="B135" s="3774" t="s">
        <v>2786</v>
      </c>
      <c r="C135" s="3113" t="s">
        <v>2787</v>
      </c>
      <c r="D135" s="3087" t="s">
        <v>2788</v>
      </c>
      <c r="E135" s="3113">
        <v>0.1</v>
      </c>
      <c r="F135" s="3113">
        <v>15</v>
      </c>
    </row>
    <row r="136" spans="1:6" ht="13.5">
      <c r="A136" s="3113">
        <v>64</v>
      </c>
      <c r="B136" s="3774"/>
      <c r="C136" s="3113" t="s">
        <v>2789</v>
      </c>
      <c r="D136" s="3087" t="s">
        <v>2790</v>
      </c>
      <c r="E136" s="3113">
        <v>0.1</v>
      </c>
      <c r="F136" s="3113">
        <v>15</v>
      </c>
    </row>
    <row r="137" spans="1:6" ht="13.5">
      <c r="A137" s="3113">
        <v>65</v>
      </c>
      <c r="B137" s="3113" t="s">
        <v>2791</v>
      </c>
      <c r="C137" s="3113" t="s">
        <v>2792</v>
      </c>
      <c r="D137" s="3087" t="s">
        <v>2793</v>
      </c>
      <c r="E137" s="3113">
        <v>0.1</v>
      </c>
      <c r="F137" s="3113">
        <v>15</v>
      </c>
    </row>
    <row r="138" spans="1:6" ht="13.5">
      <c r="A138" s="3113"/>
      <c r="B138" s="3113"/>
      <c r="C138" s="3113"/>
      <c r="D138" s="3113"/>
      <c r="E138" s="3113" t="s">
        <v>2794</v>
      </c>
      <c r="F138" s="311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2795</v>
      </c>
      <c r="B1" s="3122"/>
      <c r="C1" s="3122"/>
      <c r="D1" s="3122"/>
      <c r="E1" s="3122"/>
      <c r="F1" s="3122"/>
      <c r="G1" s="3122"/>
      <c r="H1" s="3122"/>
      <c r="I1" s="3122"/>
      <c r="J1" s="3122"/>
      <c r="K1" s="3122"/>
      <c r="L1" s="3122"/>
      <c r="M1" s="3122"/>
      <c r="N1" s="749"/>
    </row>
    <row r="2" spans="1:20">
      <c r="A2" s="3123" t="s">
        <v>2796</v>
      </c>
      <c r="B2" s="3124" t="s">
        <v>2592</v>
      </c>
      <c r="C2" s="3124" t="s">
        <v>2593</v>
      </c>
      <c r="D2" s="3124" t="s">
        <v>2594</v>
      </c>
      <c r="E2" s="3124" t="s">
        <v>2595</v>
      </c>
      <c r="F2" s="3124" t="s">
        <v>2596</v>
      </c>
      <c r="G2" s="3124" t="s">
        <v>2597</v>
      </c>
      <c r="H2" s="3125" t="s">
        <v>2598</v>
      </c>
      <c r="I2" s="3125" t="s">
        <v>2599</v>
      </c>
      <c r="J2" s="3126" t="s">
        <v>2600</v>
      </c>
      <c r="K2" s="3126" t="s">
        <v>2601</v>
      </c>
      <c r="L2" s="3126" t="s">
        <v>2602</v>
      </c>
      <c r="M2" s="3127" t="s">
        <v>2603</v>
      </c>
      <c r="Q2" s="3137" t="s">
        <v>2801</v>
      </c>
      <c r="R2" s="3137" t="s">
        <v>2802</v>
      </c>
      <c r="S2" s="3137" t="s">
        <v>2803</v>
      </c>
      <c r="T2" s="3137" t="s">
        <v>2804</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2797</v>
      </c>
      <c r="B93" s="3122"/>
      <c r="C93" s="3122"/>
      <c r="D93" s="3122"/>
      <c r="E93" s="3122"/>
      <c r="F93" s="3122"/>
      <c r="G93" s="3122"/>
      <c r="H93" s="3122"/>
      <c r="I93" s="3122"/>
      <c r="J93" s="3122"/>
      <c r="K93" s="3122"/>
      <c r="L93" s="3122"/>
      <c r="M93" s="3122"/>
    </row>
    <row r="94" spans="1:20">
      <c r="A94" s="3123" t="s">
        <v>2796</v>
      </c>
      <c r="B94" s="3124" t="s">
        <v>2592</v>
      </c>
      <c r="C94" s="3124" t="s">
        <v>2593</v>
      </c>
      <c r="D94" s="3124" t="s">
        <v>2594</v>
      </c>
      <c r="E94" s="3124" t="s">
        <v>2595</v>
      </c>
      <c r="F94" s="3124" t="s">
        <v>2596</v>
      </c>
      <c r="G94" s="3124" t="s">
        <v>2597</v>
      </c>
      <c r="H94" s="3125" t="s">
        <v>2598</v>
      </c>
      <c r="I94" s="3125" t="s">
        <v>2599</v>
      </c>
      <c r="J94" s="3126" t="s">
        <v>2600</v>
      </c>
      <c r="K94" s="3126" t="s">
        <v>2601</v>
      </c>
      <c r="L94" s="3126" t="s">
        <v>2602</v>
      </c>
      <c r="M94" s="3127" t="s">
        <v>2603</v>
      </c>
      <c r="N94" s="750">
        <f>SUMPRODUCT((A95:A184=ROUNDDOWN(基准地价修正!G3,1))*(B94:M94=基准地价修正!G2)*(B95:M184))</f>
        <v>1.0287999999999999</v>
      </c>
      <c r="Q94" s="3137" t="s">
        <v>2801</v>
      </c>
      <c r="R94" s="3137" t="s">
        <v>2802</v>
      </c>
      <c r="S94" s="3137" t="s">
        <v>2803</v>
      </c>
      <c r="T94" s="3137" t="s">
        <v>2804</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2798</v>
      </c>
      <c r="B185" s="3122"/>
      <c r="C185" s="3122"/>
      <c r="D185" s="3122"/>
      <c r="E185" s="3122"/>
      <c r="F185" s="3122"/>
      <c r="G185" s="3122"/>
      <c r="H185" s="3122"/>
      <c r="I185" s="3122"/>
      <c r="J185" s="3122"/>
      <c r="K185" s="3122"/>
      <c r="L185" s="3122"/>
      <c r="M185" s="3122"/>
    </row>
    <row r="186" spans="1:20">
      <c r="A186" s="3123" t="s">
        <v>2796</v>
      </c>
      <c r="B186" s="3124" t="s">
        <v>2592</v>
      </c>
      <c r="C186" s="3124" t="s">
        <v>2593</v>
      </c>
      <c r="D186" s="3124" t="s">
        <v>2594</v>
      </c>
      <c r="E186" s="3124" t="s">
        <v>2595</v>
      </c>
      <c r="F186" s="3124" t="s">
        <v>2596</v>
      </c>
      <c r="G186" s="3124" t="s">
        <v>2597</v>
      </c>
      <c r="H186" s="3125" t="s">
        <v>2598</v>
      </c>
      <c r="I186" s="3125" t="s">
        <v>2599</v>
      </c>
      <c r="J186" s="3126" t="s">
        <v>2600</v>
      </c>
      <c r="K186" s="3126" t="s">
        <v>2601</v>
      </c>
      <c r="L186" s="3126" t="s">
        <v>2602</v>
      </c>
      <c r="M186" s="3127" t="s">
        <v>2603</v>
      </c>
      <c r="Q186" s="3137" t="s">
        <v>2801</v>
      </c>
      <c r="R186" s="3137" t="s">
        <v>2802</v>
      </c>
      <c r="S186" s="3137" t="s">
        <v>2803</v>
      </c>
      <c r="T186" s="3137" t="s">
        <v>2804</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2799</v>
      </c>
      <c r="B277" s="3122"/>
      <c r="C277" s="3122"/>
      <c r="D277" s="3122"/>
      <c r="E277" s="3122"/>
      <c r="F277" s="3122"/>
      <c r="G277" s="3122"/>
      <c r="H277" s="3122"/>
      <c r="I277" s="3122"/>
      <c r="J277" s="3122"/>
      <c r="K277" s="3122"/>
      <c r="L277" s="3122"/>
      <c r="M277" s="3122"/>
    </row>
    <row r="278" spans="1:21">
      <c r="A278" s="3123" t="s">
        <v>2796</v>
      </c>
      <c r="B278" s="3124" t="s">
        <v>2592</v>
      </c>
      <c r="C278" s="3124" t="s">
        <v>2593</v>
      </c>
      <c r="D278" s="3124" t="s">
        <v>2594</v>
      </c>
      <c r="E278" s="3124" t="s">
        <v>2595</v>
      </c>
      <c r="F278" s="3124" t="s">
        <v>2596</v>
      </c>
      <c r="G278" s="3124" t="s">
        <v>2597</v>
      </c>
      <c r="H278" s="3125" t="s">
        <v>2598</v>
      </c>
      <c r="I278" s="3125" t="s">
        <v>2599</v>
      </c>
      <c r="J278" s="3126" t="s">
        <v>2600</v>
      </c>
      <c r="K278" s="3126" t="s">
        <v>2601</v>
      </c>
      <c r="L278" s="3126" t="s">
        <v>2602</v>
      </c>
      <c r="M278" s="3127" t="s">
        <v>2603</v>
      </c>
      <c r="Q278" s="3137" t="s">
        <v>2801</v>
      </c>
      <c r="R278" s="3137" t="s">
        <v>2802</v>
      </c>
      <c r="S278" s="3137" t="s">
        <v>2805</v>
      </c>
      <c r="T278" s="3137" t="s">
        <v>2806</v>
      </c>
      <c r="U278" s="3137" t="s">
        <v>2804</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2800</v>
      </c>
      <c r="B369" s="3135"/>
      <c r="C369" s="3135"/>
      <c r="D369" s="3135"/>
      <c r="E369" s="3135"/>
      <c r="F369" s="3135"/>
      <c r="G369" s="3135"/>
      <c r="H369" s="3135"/>
      <c r="I369" s="3135"/>
      <c r="J369" s="3135"/>
      <c r="K369" s="3135"/>
      <c r="L369" s="3135"/>
      <c r="M369" s="3135"/>
    </row>
    <row r="370" spans="1:20">
      <c r="A370" s="3123" t="s">
        <v>2796</v>
      </c>
      <c r="B370" s="3124" t="s">
        <v>2592</v>
      </c>
      <c r="C370" s="3124" t="s">
        <v>2593</v>
      </c>
      <c r="D370" s="3124" t="s">
        <v>2594</v>
      </c>
      <c r="E370" s="3124" t="s">
        <v>2595</v>
      </c>
      <c r="F370" s="3124" t="s">
        <v>2596</v>
      </c>
      <c r="G370" s="3124" t="s">
        <v>2597</v>
      </c>
      <c r="H370" s="3125" t="s">
        <v>2598</v>
      </c>
      <c r="I370" s="3125" t="s">
        <v>2599</v>
      </c>
      <c r="J370" s="3126" t="s">
        <v>2600</v>
      </c>
      <c r="K370" s="3126" t="s">
        <v>2601</v>
      </c>
      <c r="L370" s="3126" t="s">
        <v>2602</v>
      </c>
      <c r="M370" s="3127" t="s">
        <v>2603</v>
      </c>
      <c r="N370" s="750">
        <f>SUMPRODUCT((A371:A460=ROUNDDOWN(基准地价修正!G3,1))*(B370:M370=基准地价修正!G2)*(B371:M460))</f>
        <v>0.97860000000000003</v>
      </c>
      <c r="Q370" s="3137" t="s">
        <v>2801</v>
      </c>
      <c r="R370" s="3137" t="s">
        <v>2802</v>
      </c>
      <c r="S370" s="3137" t="s">
        <v>2803</v>
      </c>
      <c r="T370" s="3137" t="s">
        <v>2804</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67767</v>
      </c>
      <c r="C2" s="2" t="s">
        <v>106</v>
      </c>
      <c r="D2" s="199"/>
      <c r="E2" s="199"/>
      <c r="F2" s="199"/>
      <c r="G2" s="199"/>
    </row>
    <row r="3" spans="1:7" s="200" customFormat="1" ht="18" customHeight="1" thickBot="1">
      <c r="A3" s="203" t="s">
        <v>58</v>
      </c>
      <c r="B3" s="204">
        <f ca="1">ROUND(B2*10000/'数据-汇总表'!E3,0)</f>
        <v>10321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1313</v>
      </c>
      <c r="D10" s="845">
        <f>'数据-汇总表'!E6</f>
        <v>65662.34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1313</v>
      </c>
      <c r="D19" s="849">
        <f>'数据-汇总表'!E3</f>
        <v>65662.34</v>
      </c>
      <c r="E19" s="211">
        <f>'数据-取费表'!B31</f>
        <v>200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2368</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140</v>
      </c>
      <c r="D24" s="238"/>
      <c r="E24" s="238"/>
      <c r="F24" s="239"/>
      <c r="G24" s="240" t="s">
        <v>82</v>
      </c>
    </row>
    <row r="25" spans="1:7" s="214" customFormat="1" ht="24">
      <c r="A25" s="780" t="s">
        <v>348</v>
      </c>
      <c r="B25" s="215" t="s">
        <v>420</v>
      </c>
      <c r="C25" s="1105">
        <f ca="1">ROUND(IF('数据-取费表'!B22&lt;=1,C20*F22*'数据-取费表'!B23/2,C20*(POWER((1+F22),'数据-取费表'!B23/2)-1)),0)</f>
        <v>23</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4025</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4025</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32794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29839</v>
      </c>
      <c r="D34" s="217"/>
      <c r="E34" s="220"/>
      <c r="F34" s="257">
        <f>IF('数据-取费表'!B24=0,1,'数据-取费表'!N16)</f>
        <v>1</v>
      </c>
      <c r="G34" s="219" t="s">
        <v>89</v>
      </c>
    </row>
    <row r="35" spans="1:7" ht="13.5" customHeight="1">
      <c r="A35" s="780" t="s">
        <v>351</v>
      </c>
      <c r="B35" s="215" t="s">
        <v>33</v>
      </c>
      <c r="C35" s="220">
        <f>ROUND(C34*F35,0)</f>
        <v>1194</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1313</v>
      </c>
      <c r="D37" s="217">
        <f>'数据-汇总表'!E3</f>
        <v>65662.34</v>
      </c>
      <c r="E37" s="249">
        <f>'数据-取费表'!B35</f>
        <v>200</v>
      </c>
      <c r="F37" s="259"/>
      <c r="G37" s="261" t="s">
        <v>92</v>
      </c>
    </row>
    <row r="38" spans="1:7" ht="13.5" customHeight="1">
      <c r="A38" s="780" t="s">
        <v>354</v>
      </c>
      <c r="B38" s="215" t="s">
        <v>36</v>
      </c>
      <c r="C38" s="220">
        <f>ROUND(C34*F38,0)</f>
        <v>448</v>
      </c>
      <c r="D38" s="220"/>
      <c r="E38" s="220"/>
      <c r="F38" s="259">
        <f>'数据-取费表'!B36</f>
        <v>1.4999999999999999E-2</v>
      </c>
      <c r="G38" s="219" t="s">
        <v>90</v>
      </c>
    </row>
    <row r="39" spans="1:7" s="214" customFormat="1" ht="13.5" customHeight="1">
      <c r="A39" s="777" t="s">
        <v>338</v>
      </c>
      <c r="B39" s="210" t="s">
        <v>77</v>
      </c>
      <c r="C39" s="232">
        <f>ROUND(C33*F20,0)</f>
        <v>656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1744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1710</v>
      </c>
      <c r="D42" s="238"/>
      <c r="E42" s="238"/>
      <c r="F42" s="239"/>
      <c r="G42" s="3639" t="s">
        <v>94</v>
      </c>
    </row>
    <row r="43" spans="1:7" ht="13.5" customHeight="1">
      <c r="A43" s="780" t="s">
        <v>347</v>
      </c>
      <c r="B43" s="215" t="s">
        <v>426</v>
      </c>
      <c r="C43" s="238">
        <f ca="1">ROUND(IF('数据-取费表'!B22&lt;=1,C39*F22*'数据-取费表'!B21/2,C39*(POWER((1+F22),'数据-取费表'!B21/2)-1)),0)</f>
        <v>34</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6021</v>
      </c>
      <c r="D45" s="235">
        <f>C47</f>
        <v>3.5999999999999999E-3</v>
      </c>
      <c r="E45" s="236" t="s">
        <v>102</v>
      </c>
      <c r="F45" s="246"/>
      <c r="G45" s="247" t="s">
        <v>434</v>
      </c>
    </row>
    <row r="46" spans="1:7" s="214" customFormat="1" ht="13.5" customHeight="1">
      <c r="A46" s="780" t="s">
        <v>349</v>
      </c>
      <c r="B46" s="248" t="s">
        <v>427</v>
      </c>
      <c r="C46" s="249">
        <f>ROUND((C33+C39)*F27,0)</f>
        <v>6021</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44652</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36615</v>
      </c>
      <c r="D51" s="232"/>
      <c r="E51" s="232"/>
      <c r="F51" s="264"/>
      <c r="G51" s="234" t="s">
        <v>37</v>
      </c>
    </row>
    <row r="52" spans="1:7" s="208" customFormat="1" ht="16.5" thickBot="1">
      <c r="A52" s="265" t="s">
        <v>38</v>
      </c>
      <c r="B52" s="266"/>
      <c r="C52" s="267">
        <f ca="1">C31+C51</f>
        <v>67767</v>
      </c>
      <c r="D52" s="266"/>
      <c r="E52" s="266"/>
      <c r="F52" s="266"/>
      <c r="G52" s="268"/>
    </row>
    <row r="55" spans="1:7" ht="15">
      <c r="B55" s="270" t="s">
        <v>39</v>
      </c>
      <c r="C55" s="271"/>
    </row>
    <row r="56" spans="1:7">
      <c r="B56" s="273" t="s">
        <v>40</v>
      </c>
      <c r="C56" s="274">
        <f ca="1">ROUND(C51/C52,3)</f>
        <v>0.54</v>
      </c>
    </row>
    <row r="57" spans="1:7">
      <c r="B57" s="273" t="s">
        <v>41</v>
      </c>
      <c r="C57" s="275">
        <f ca="1">1-C56</f>
        <v>0.45999999999999996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AL55" sqref="A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25.34</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97836</v>
      </c>
      <c r="C2" s="1386" t="s">
        <v>805</v>
      </c>
      <c r="D2" s="1386"/>
      <c r="E2" s="1387"/>
      <c r="F2" s="1388"/>
      <c r="G2" s="2701"/>
      <c r="H2" s="2690"/>
      <c r="I2" s="2690"/>
      <c r="J2" s="2690"/>
      <c r="K2" s="2691"/>
      <c r="L2" s="2690"/>
      <c r="M2" s="2690"/>
    </row>
    <row r="3" spans="1:37" ht="18" customHeight="1" thickBot="1">
      <c r="A3" s="1389" t="s">
        <v>806</v>
      </c>
      <c r="B3" s="1390">
        <f ca="1">IF(ISERROR(B2*10000/F43),0,ROUND(B2*10000/F43,0))</f>
        <v>18547</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6593</v>
      </c>
      <c r="D5" s="1363" t="s">
        <v>693</v>
      </c>
      <c r="E5" s="1071"/>
      <c r="F5" s="1072"/>
      <c r="G5" s="1383"/>
      <c r="H5" s="299">
        <v>1</v>
      </c>
      <c r="I5" s="300" t="s">
        <v>692</v>
      </c>
      <c r="J5" s="1070">
        <f ca="1">J6+J10+J12</f>
        <v>0</v>
      </c>
      <c r="K5" s="1363" t="s">
        <v>693</v>
      </c>
      <c r="L5" s="1071"/>
      <c r="M5" s="1072"/>
    </row>
    <row r="6" spans="1:37" ht="18" customHeight="1">
      <c r="A6" s="1069" t="s">
        <v>398</v>
      </c>
      <c r="B6" s="3642" t="s">
        <v>694</v>
      </c>
      <c r="C6" s="1074">
        <f ca="1">ROUND(F6*F8*F7*(1-F9)/10000,0)</f>
        <v>6585</v>
      </c>
      <c r="D6" s="155" t="s">
        <v>2108</v>
      </c>
      <c r="E6" s="302" t="s">
        <v>696</v>
      </c>
      <c r="F6" s="303">
        <f ca="1">INDIRECT("'数据-取费表'!u"&amp;$G$1)</f>
        <v>3.8</v>
      </c>
      <c r="G6" s="1383"/>
      <c r="H6" s="1069" t="s">
        <v>398</v>
      </c>
      <c r="I6" s="3642" t="s">
        <v>694</v>
      </c>
      <c r="J6" s="301">
        <f ca="1">ROUND(M6*M8*M7*(1-M9)/10000,0)</f>
        <v>0</v>
      </c>
      <c r="K6" s="155"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52748.91</v>
      </c>
      <c r="G7" s="1383"/>
      <c r="H7" s="304"/>
      <c r="I7" s="3643"/>
      <c r="J7" s="306"/>
      <c r="K7" s="307"/>
      <c r="L7" s="302" t="s">
        <v>697</v>
      </c>
      <c r="M7" s="303">
        <f ca="1">F7</f>
        <v>52748.91</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9" t="s">
        <v>402</v>
      </c>
      <c r="B10" s="1364" t="s">
        <v>700</v>
      </c>
      <c r="C10" s="316">
        <f ca="1">ROUND(IF(F10="押一",C6/12*F11,IF(F10="押二",C6/12*2*F11,IF(F10="押三",C6/12*3*F11,C11*F11))),0)</f>
        <v>8</v>
      </c>
      <c r="D10" s="1365" t="s">
        <v>2116</v>
      </c>
      <c r="E10" s="313" t="s">
        <v>701</v>
      </c>
      <c r="F10" s="1116" t="s">
        <v>3414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31717</v>
      </c>
      <c r="D13" s="1081" t="s">
        <v>705</v>
      </c>
      <c r="E13" s="1081"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25475</v>
      </c>
      <c r="D14" s="1344" t="s">
        <v>708</v>
      </c>
      <c r="E14" s="1341"/>
      <c r="F14" s="319"/>
      <c r="G14" s="1383"/>
      <c r="H14" s="982" t="s">
        <v>398</v>
      </c>
      <c r="I14" s="302" t="s">
        <v>709</v>
      </c>
      <c r="J14" s="21">
        <f ca="1">C29</f>
        <v>38679</v>
      </c>
      <c r="K14" s="12"/>
      <c r="L14" s="807"/>
      <c r="M14" s="808"/>
    </row>
    <row r="15" spans="1:37" s="1396" customFormat="1" ht="18" customHeight="1" thickBot="1">
      <c r="A15" s="982" t="s">
        <v>399</v>
      </c>
      <c r="B15" s="302" t="s">
        <v>710</v>
      </c>
      <c r="C15" s="21">
        <f ca="1">ROUND(C14*F15,0)</f>
        <v>1019</v>
      </c>
      <c r="D15" s="320" t="s">
        <v>711</v>
      </c>
      <c r="E15" s="320"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195</v>
      </c>
      <c r="K16" s="1087" t="s">
        <v>715</v>
      </c>
      <c r="L16" s="1088"/>
      <c r="M16" s="1072"/>
    </row>
    <row r="17" spans="1:37" s="1396" customFormat="1" ht="18" customHeight="1">
      <c r="A17" s="982" t="s">
        <v>681</v>
      </c>
      <c r="B17" s="302" t="s">
        <v>716</v>
      </c>
      <c r="C17" s="21">
        <f ca="1">ROUND(F17*(F43+INDIRECT("'数据-取费表'!S"&amp;$G$1))/10000,0)</f>
        <v>1064</v>
      </c>
      <c r="D17" s="302" t="s">
        <v>717</v>
      </c>
      <c r="E17" s="302" t="s">
        <v>718</v>
      </c>
      <c r="F17" s="23">
        <f>'数据-取费表'!B35</f>
        <v>200</v>
      </c>
      <c r="G17" s="1395"/>
      <c r="H17" s="982" t="s">
        <v>398</v>
      </c>
      <c r="I17" s="302" t="s">
        <v>719</v>
      </c>
      <c r="J17" s="2315">
        <f ca="1">ROUND(IF(AND(项目基本情况!B11="自然人",项目基本情况!B10="北京市"),J6*M17/(1+'数据-取费表'!C42),J18+J19+J20),2)</f>
        <v>2.08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382</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27940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559</v>
      </c>
      <c r="D20" s="323" t="s">
        <v>729</v>
      </c>
      <c r="E20" s="302" t="s">
        <v>712</v>
      </c>
      <c r="F20" s="322">
        <f>'数据-取费表'!B37</f>
        <v>0.02</v>
      </c>
      <c r="G20" s="1395"/>
      <c r="H20" s="982" t="s">
        <v>680</v>
      </c>
      <c r="I20" s="155" t="s">
        <v>730</v>
      </c>
      <c r="J20" s="22">
        <f ca="1">ROUND(M20*M21/10000,2)</f>
        <v>2.08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13862.43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193.4</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1486</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-195</v>
      </c>
      <c r="K25" s="1095" t="s">
        <v>753</v>
      </c>
      <c r="L25" s="1096"/>
      <c r="M25" s="1097"/>
    </row>
    <row r="26" spans="1:37">
      <c r="A26" s="982" t="s">
        <v>397</v>
      </c>
      <c r="B26" s="302" t="s">
        <v>754</v>
      </c>
      <c r="C26" s="21">
        <f ca="1">ROUND((C19+C20)*F26,0)</f>
        <v>5700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38679</v>
      </c>
      <c r="D29" s="1092"/>
      <c r="E29" s="1090"/>
      <c r="F29" s="1093"/>
      <c r="G29" s="1395"/>
      <c r="H29" s="334" t="s">
        <v>396</v>
      </c>
      <c r="I29" s="335" t="s">
        <v>768</v>
      </c>
      <c r="J29" s="336">
        <f ca="1">ROUND(J26/(1+F40)^F41,0)</f>
        <v>0</v>
      </c>
      <c r="K29" s="337" t="s">
        <v>769</v>
      </c>
      <c r="L29" s="338"/>
      <c r="M29" s="339">
        <f ca="1">INDIRECT("'数据-取费表'!k"&amp;$G$1)</f>
        <v>52748.91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1358</v>
      </c>
      <c r="D30" s="1087" t="s">
        <v>715</v>
      </c>
      <c r="E30" s="1088"/>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ROUND(IF(AND(项目基本情况!B11="自然人",项目基本情况!B10="北京市"),C6*F31/(1+'数据-取费表'!C42),C32+C33+C34),2)</f>
        <v>1099.58</v>
      </c>
      <c r="D31" s="1344" t="s">
        <v>720</v>
      </c>
      <c r="E31" s="1343"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IF(项目基本情况!B11="自然人","——",ROUND(C6*F32/(1+'数据-取费表'!C42),2))</f>
        <v>344.93</v>
      </c>
      <c r="D32" s="1343"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752.57</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IF(项目基本情况!B11="自然人","——",ROUND(F34*F35/10000,2))</f>
        <v>2.08</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13862.43</v>
      </c>
      <c r="G35" s="1383"/>
      <c r="H35" s="2692"/>
      <c r="I35" s="1397"/>
      <c r="J35" s="1398"/>
      <c r="K35" s="2696"/>
      <c r="L35" s="2695"/>
      <c r="M35" s="2695"/>
    </row>
    <row r="36" spans="1:18" ht="18" customHeight="1">
      <c r="A36" s="1102" t="s">
        <v>402</v>
      </c>
      <c r="B36" s="302" t="s">
        <v>738</v>
      </c>
      <c r="C36" s="21">
        <f ca="1">ROUND(C29*F36,2)</f>
        <v>193.4</v>
      </c>
      <c r="D36" s="1343" t="s">
        <v>771</v>
      </c>
      <c r="E36" s="302" t="s">
        <v>712</v>
      </c>
      <c r="F36" s="328">
        <f ca="1">INDIRECT("'数据-取费表'!Ak"&amp;$G$1)</f>
        <v>5.0000000000000001E-3</v>
      </c>
      <c r="G36" s="1383"/>
      <c r="H36" s="2695"/>
      <c r="I36" s="1397"/>
      <c r="J36" s="1398"/>
      <c r="K36" s="2539"/>
      <c r="L36" s="2695"/>
      <c r="M36" s="2695"/>
    </row>
    <row r="37" spans="1:18" ht="18" customHeight="1">
      <c r="A37" s="982" t="s">
        <v>437</v>
      </c>
      <c r="B37" s="302" t="s">
        <v>742</v>
      </c>
      <c r="C37" s="21">
        <f ca="1">ROUND(C13*F37,2)</f>
        <v>31.72</v>
      </c>
      <c r="D37" s="1343" t="s">
        <v>743</v>
      </c>
      <c r="E37" s="302" t="s">
        <v>744</v>
      </c>
      <c r="F37" s="330">
        <f ca="1">INDIRECT("'数据-取费表'!Al"&amp;$G$1)</f>
        <v>1E-3</v>
      </c>
      <c r="G37" s="1383"/>
      <c r="H37" s="2695"/>
      <c r="I37" s="1397"/>
      <c r="J37" s="1398"/>
      <c r="K37" s="2539"/>
      <c r="L37" s="2695"/>
      <c r="M37" s="2695"/>
    </row>
    <row r="38" spans="1:18" ht="18" customHeight="1" thickBot="1">
      <c r="A38" s="1089" t="s">
        <v>684</v>
      </c>
      <c r="B38" s="1090" t="s">
        <v>728</v>
      </c>
      <c r="C38" s="1091">
        <f ca="1">ROUND(C5*F38,2)</f>
        <v>32.97</v>
      </c>
      <c r="D38" s="1092" t="s">
        <v>748</v>
      </c>
      <c r="E38" s="1090" t="s">
        <v>744</v>
      </c>
      <c r="F38" s="1086">
        <f ca="1">INDIRECT("'数据-取费表'!Am"&amp;$G$1)</f>
        <v>5.0000000000000001E-3</v>
      </c>
      <c r="G38" s="1383"/>
      <c r="H38" s="2695"/>
      <c r="I38" s="1397"/>
      <c r="J38" s="1398"/>
      <c r="K38" s="2699"/>
      <c r="L38" s="2695"/>
      <c r="M38" s="2695"/>
    </row>
    <row r="39" spans="1:18" ht="24.6" customHeight="1" thickTop="1">
      <c r="A39" s="1079" t="s">
        <v>394</v>
      </c>
      <c r="B39" s="1094" t="s">
        <v>772</v>
      </c>
      <c r="C39" s="310">
        <f ca="1">C5-C30</f>
        <v>5235</v>
      </c>
      <c r="D39" s="1095" t="s">
        <v>773</v>
      </c>
      <c r="E39" s="1096"/>
      <c r="F39" s="1097"/>
      <c r="G39" s="1383"/>
      <c r="H39" s="2695"/>
      <c r="I39" s="1397"/>
      <c r="J39" s="1398"/>
      <c r="K39" s="2699"/>
      <c r="L39" s="2695"/>
      <c r="M39" s="2695"/>
    </row>
    <row r="40" spans="1:18" ht="18" customHeight="1">
      <c r="A40" s="299" t="s">
        <v>395</v>
      </c>
      <c r="B40" s="300" t="s">
        <v>774</v>
      </c>
      <c r="C40" s="301">
        <f ca="1">ROUND(C39*(1-((1+F42)/(1+F40))^F41)/(F40-F42),0)</f>
        <v>95361</v>
      </c>
      <c r="D40" s="324" t="s">
        <v>758</v>
      </c>
      <c r="E40" s="302" t="s">
        <v>759</v>
      </c>
      <c r="F40" s="312">
        <f ca="1">INDIRECT("'数据-取费表'!I"&amp;$G$1)</f>
        <v>5.5E-2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25.34</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ROUND(C40*10000/F43,0)</f>
        <v>18078</v>
      </c>
      <c r="D43" s="337" t="s">
        <v>777</v>
      </c>
      <c r="E43" s="338" t="s">
        <v>778</v>
      </c>
      <c r="F43" s="339">
        <f ca="1">INDIRECT("'数据-取费表'!k"&amp;$G$1)</f>
        <v>52748.91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f ca="1">C68-C40</f>
        <v>-98425</v>
      </c>
      <c r="D46" s="1405" t="str">
        <f>C2</f>
        <v>万元</v>
      </c>
      <c r="E46" s="1399"/>
      <c r="F46" s="1399"/>
      <c r="I46" s="1406" t="s">
        <v>810</v>
      </c>
      <c r="J46" s="1407"/>
      <c r="K46" s="1408"/>
      <c r="L46" s="1409">
        <f ca="1">IF(M47="住宅",0,IF(L48&gt;J51,L60,J60))</f>
        <v>2475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3415</v>
      </c>
      <c r="K47" s="1415" t="s">
        <v>816</v>
      </c>
      <c r="L47" s="1416">
        <f ca="1">INDIRECT("'数据-取费表'!d"&amp;$G$1)</f>
        <v>40</v>
      </c>
      <c r="M47" s="1379" t="str">
        <f>IF(ISNUMBER(FIND("住宅",C1)),"住宅","非住宅")</f>
        <v>非住宅</v>
      </c>
      <c r="O47" s="1417" t="s">
        <v>403</v>
      </c>
      <c r="P47" s="1418" t="s">
        <v>817</v>
      </c>
      <c r="Q47" s="1419">
        <f ca="1">C40+J29</f>
        <v>95361</v>
      </c>
      <c r="R47" s="1419" t="s">
        <v>818</v>
      </c>
    </row>
    <row r="48" spans="1:18" s="1383" customFormat="1" ht="28.5" thickBot="1">
      <c r="A48" s="1110" t="s">
        <v>438</v>
      </c>
      <c r="B48" s="300" t="s">
        <v>692</v>
      </c>
      <c r="C48" s="1358">
        <f ca="1">C49+C53+C55</f>
        <v>0</v>
      </c>
      <c r="D48" s="1112"/>
      <c r="E48" s="1113"/>
      <c r="F48" s="962"/>
      <c r="G48" s="722"/>
      <c r="H48" s="723"/>
      <c r="I48" s="1420" t="s">
        <v>819</v>
      </c>
      <c r="J48" s="1421" t="s">
        <v>3416</v>
      </c>
      <c r="K48" s="1422" t="s">
        <v>820</v>
      </c>
      <c r="L48" s="1423">
        <f ca="1">INDIRECT("'数据-取费表'!f"&amp;$G$1)</f>
        <v>25.34</v>
      </c>
      <c r="O48" s="1417" t="s">
        <v>404</v>
      </c>
      <c r="P48" s="1418" t="s">
        <v>821</v>
      </c>
      <c r="Q48" s="1419">
        <f ca="1">J60</f>
        <v>2475</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f>'数据-取费表'!N18</f>
        <v>2012</v>
      </c>
      <c r="K49" s="1422" t="s">
        <v>824</v>
      </c>
      <c r="L49" s="1426"/>
      <c r="O49" s="1427" t="s">
        <v>405</v>
      </c>
      <c r="P49" s="1418" t="s">
        <v>825</v>
      </c>
      <c r="Q49" s="1419">
        <f ca="1">C29</f>
        <v>38679</v>
      </c>
      <c r="R49" s="1419" t="s">
        <v>818</v>
      </c>
    </row>
    <row r="50" spans="1:18" s="1383" customFormat="1" ht="13.5" thickBot="1">
      <c r="A50" s="976"/>
      <c r="B50" s="979"/>
      <c r="C50" s="1118"/>
      <c r="D50" s="953"/>
      <c r="E50" s="1056" t="s">
        <v>697</v>
      </c>
      <c r="F50" s="1057">
        <f ca="1">F7</f>
        <v>52748.91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49</v>
      </c>
      <c r="K51" s="1433" t="s">
        <v>830</v>
      </c>
      <c r="L51" s="1434">
        <f ca="1">ROUND(-PV(INDIRECT("'数据-取费表'!h"&amp;$G$1),J51,(C39-C13*C76),0),0)</f>
        <v>54775</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25.34</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25.34</v>
      </c>
      <c r="K53" s="3645" t="s">
        <v>837</v>
      </c>
      <c r="L53" s="3646"/>
      <c r="O53" s="1417" t="s">
        <v>409</v>
      </c>
      <c r="P53" s="1418" t="s">
        <v>838</v>
      </c>
      <c r="Q53" s="1419">
        <f ca="1">Q47+Q48</f>
        <v>97836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0.39400000000000002</v>
      </c>
      <c r="K55" s="1444" t="s">
        <v>841</v>
      </c>
      <c r="L55" s="1445"/>
      <c r="O55" s="1410" t="s">
        <v>811</v>
      </c>
      <c r="P55" s="1411" t="s">
        <v>812</v>
      </c>
      <c r="Q55" s="1412" t="s">
        <v>813</v>
      </c>
      <c r="R55" s="1412" t="s">
        <v>814</v>
      </c>
    </row>
    <row r="56" spans="1:18" s="1383" customFormat="1" ht="25.5" thickTop="1" thickBot="1">
      <c r="A56" s="957">
        <v>2</v>
      </c>
      <c r="B56" s="958" t="s">
        <v>704</v>
      </c>
      <c r="C56" s="232">
        <f ca="1">C13</f>
        <v>31717</v>
      </c>
      <c r="D56" s="1446"/>
      <c r="E56" s="1447"/>
      <c r="F56" s="1439"/>
      <c r="I56" s="1448" t="s">
        <v>842</v>
      </c>
      <c r="J56" s="1449" t="s">
        <v>3380</v>
      </c>
      <c r="K56" s="1420" t="s">
        <v>843</v>
      </c>
      <c r="L56" s="1423" t="str">
        <f ca="1">IF(L48&lt;J51,"——",L48-J53)</f>
        <v>——</v>
      </c>
      <c r="O56" s="1417" t="s">
        <v>403</v>
      </c>
      <c r="P56" s="1418" t="s">
        <v>817</v>
      </c>
      <c r="Q56" s="1419">
        <f ca="1">C40+J29</f>
        <v>95361</v>
      </c>
      <c r="R56" s="1419" t="s">
        <v>818</v>
      </c>
    </row>
    <row r="57" spans="1:18" s="1383" customFormat="1" ht="24.75" thickBot="1">
      <c r="A57" s="1450"/>
      <c r="B57" s="950" t="s">
        <v>767</v>
      </c>
      <c r="C57" s="238">
        <f ca="1">C29</f>
        <v>38679</v>
      </c>
      <c r="D57" s="1451"/>
      <c r="E57" s="1452"/>
      <c r="F57" s="1453"/>
      <c r="I57" s="1454" t="s">
        <v>844</v>
      </c>
      <c r="J57" s="1455">
        <f ca="1">IF(OR(M47="住宅",J51&lt;L48,J56="是"),"——",J51-L48)</f>
        <v>23.66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227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15472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2475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2.08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95361</v>
      </c>
      <c r="R62" s="1419" t="s">
        <v>410</v>
      </c>
    </row>
    <row r="63" spans="1:18" s="1383" customFormat="1" ht="13.5" thickBot="1">
      <c r="A63" s="326"/>
      <c r="B63" s="956"/>
      <c r="C63" s="26"/>
      <c r="D63" s="966"/>
      <c r="E63" s="950" t="s">
        <v>788</v>
      </c>
      <c r="F63" s="303">
        <f t="shared" ca="1" si="0"/>
        <v>13862.43</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193.4</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31.72</v>
      </c>
      <c r="D65" s="964" t="s">
        <v>743</v>
      </c>
      <c r="E65" s="950" t="s">
        <v>744</v>
      </c>
      <c r="F65" s="330">
        <f t="shared" ca="1" si="0"/>
        <v>1E-3</v>
      </c>
      <c r="I65" s="1461" t="s">
        <v>867</v>
      </c>
      <c r="J65" s="1462">
        <v>40</v>
      </c>
      <c r="K65" s="1462">
        <v>30</v>
      </c>
      <c r="L65" s="1462">
        <v>50</v>
      </c>
      <c r="M65" s="1464">
        <v>0.02</v>
      </c>
      <c r="O65" s="1417" t="s">
        <v>403</v>
      </c>
      <c r="P65" s="1418" t="s">
        <v>868</v>
      </c>
      <c r="Q65" s="1419">
        <f ca="1">C40+J29</f>
        <v>95361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-227</v>
      </c>
      <c r="D67" s="963" t="s">
        <v>753</v>
      </c>
      <c r="E67" s="968"/>
      <c r="F67" s="969"/>
      <c r="O67" s="1427" t="s">
        <v>405</v>
      </c>
      <c r="P67" s="1418" t="s">
        <v>850</v>
      </c>
      <c r="Q67" s="1465">
        <f ca="1">L51</f>
        <v>54775</v>
      </c>
      <c r="R67" s="1419" t="s">
        <v>870</v>
      </c>
    </row>
    <row r="68" spans="1:18" s="1383" customFormat="1" ht="16.5" thickBot="1">
      <c r="A68" s="947" t="s">
        <v>395</v>
      </c>
      <c r="B68" s="948" t="s">
        <v>774</v>
      </c>
      <c r="C68" s="301">
        <f ca="1">ROUND(C67*(1-((1+F70)/(1+F68))^F69)/(F68-F70),0)</f>
        <v>-3064</v>
      </c>
      <c r="D68" s="965" t="s">
        <v>758</v>
      </c>
      <c r="E68" s="950" t="s">
        <v>759</v>
      </c>
      <c r="F68" s="312">
        <f ca="1">F40</f>
        <v>5.5E-2</v>
      </c>
      <c r="O68" s="1427" t="s">
        <v>406</v>
      </c>
      <c r="P68" s="1466" t="s">
        <v>871</v>
      </c>
      <c r="Q68" s="1419">
        <f ca="1">ROUND(Q69-Q70*Q71,0)</f>
        <v>3015</v>
      </c>
      <c r="R68" s="1419" t="s">
        <v>414</v>
      </c>
    </row>
    <row r="69" spans="1:18" s="1383" customFormat="1" ht="13.5" thickBot="1">
      <c r="A69" s="951"/>
      <c r="B69" s="952"/>
      <c r="C69" s="306"/>
      <c r="D69" s="970" t="s">
        <v>762</v>
      </c>
      <c r="E69" s="950" t="s">
        <v>763</v>
      </c>
      <c r="F69" s="333">
        <f ca="1">F41</f>
        <v>25.34</v>
      </c>
      <c r="O69" s="1427" t="s">
        <v>411</v>
      </c>
      <c r="P69" s="1466" t="s">
        <v>872</v>
      </c>
      <c r="Q69" s="1419">
        <f ca="1">C39</f>
        <v>5235</v>
      </c>
      <c r="R69" s="1419" t="s">
        <v>818</v>
      </c>
    </row>
    <row r="70" spans="1:18" s="1383" customFormat="1" ht="13.5" thickBot="1">
      <c r="A70" s="954"/>
      <c r="B70" s="955"/>
      <c r="C70" s="310"/>
      <c r="D70" s="966"/>
      <c r="E70" s="950" t="s">
        <v>766</v>
      </c>
      <c r="F70" s="1054"/>
      <c r="O70" s="1427" t="s">
        <v>412</v>
      </c>
      <c r="P70" s="1466" t="s">
        <v>873</v>
      </c>
      <c r="Q70" s="1419">
        <f ca="1">C13</f>
        <v>31717</v>
      </c>
      <c r="R70" s="1419" t="s">
        <v>818</v>
      </c>
    </row>
    <row r="71" spans="1:18" s="1383" customFormat="1" ht="13.5" thickBot="1">
      <c r="A71" s="971" t="s">
        <v>396</v>
      </c>
      <c r="B71" s="972" t="s">
        <v>776</v>
      </c>
      <c r="C71" s="336">
        <f ca="1">ROUND(C68*10000/F71,0)</f>
        <v>-581</v>
      </c>
      <c r="D71" s="973" t="s">
        <v>777</v>
      </c>
      <c r="E71" s="974" t="s">
        <v>778</v>
      </c>
      <c r="F71" s="339">
        <f ca="1">F43</f>
        <v>52748.91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2220</v>
      </c>
      <c r="D75" s="1383"/>
      <c r="E75" s="1383"/>
      <c r="F75" s="1383"/>
      <c r="K75" s="1401"/>
      <c r="L75" s="1383"/>
      <c r="O75" s="1417" t="s">
        <v>409</v>
      </c>
      <c r="P75" s="1418" t="s">
        <v>838</v>
      </c>
      <c r="Q75" s="1419">
        <f ca="1">Q65+Q66</f>
        <v>95361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0.57600000000000007</v>
      </c>
    </row>
    <row r="80" spans="1:18">
      <c r="B80" s="340" t="s">
        <v>800</v>
      </c>
      <c r="C80" s="274">
        <f ca="1">ROUND(C75/C39,3)</f>
        <v>0.42399999999999999</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AL55" sqref="A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3331</v>
      </c>
      <c r="D1" s="1361" t="s">
        <v>43</v>
      </c>
      <c r="E1" s="1362" t="s">
        <v>678</v>
      </c>
      <c r="F1" s="1062">
        <f ca="1">J53</f>
        <v>35.35</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5165</v>
      </c>
      <c r="C2" s="1386" t="s">
        <v>805</v>
      </c>
      <c r="D2" s="1386"/>
      <c r="E2" s="1387"/>
      <c r="F2" s="1388"/>
      <c r="G2" s="2701"/>
      <c r="H2" s="2690"/>
      <c r="I2" s="2690"/>
      <c r="J2" s="2690"/>
      <c r="K2" s="2691"/>
      <c r="L2" s="2690"/>
      <c r="M2" s="2690"/>
    </row>
    <row r="3" spans="1:37" ht="18" customHeight="1" thickBot="1">
      <c r="A3" s="1389" t="s">
        <v>806</v>
      </c>
      <c r="B3" s="1390">
        <f ca="1">IF(ISERROR(B2*10000/F43),0,ROUND(B2*10000/F43,0))</f>
        <v>4178</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305</v>
      </c>
      <c r="D5" s="1363" t="s">
        <v>693</v>
      </c>
      <c r="E5" s="1071"/>
      <c r="F5" s="1072"/>
      <c r="G5" s="1383"/>
      <c r="H5" s="299">
        <v>1</v>
      </c>
      <c r="I5" s="300" t="s">
        <v>692</v>
      </c>
      <c r="J5" s="1070">
        <f ca="1">J6+J10+J12</f>
        <v>0</v>
      </c>
      <c r="K5" s="1363" t="s">
        <v>693</v>
      </c>
      <c r="L5" s="1071"/>
      <c r="M5" s="1072"/>
    </row>
    <row r="6" spans="1:37" ht="18" customHeight="1">
      <c r="A6" s="1069" t="s">
        <v>398</v>
      </c>
      <c r="B6" s="3642" t="s">
        <v>694</v>
      </c>
      <c r="C6" s="1074">
        <f ca="1">ROUND(F6*F8*F7*(1-F9)/10000,0)</f>
        <v>305</v>
      </c>
      <c r="D6" s="155" t="s">
        <v>2108</v>
      </c>
      <c r="E6" s="302" t="s">
        <v>696</v>
      </c>
      <c r="F6" s="303">
        <f ca="1">INDIRECT("'数据-取费表'!u"&amp;$G$1)</f>
        <v>800</v>
      </c>
      <c r="G6" s="1383"/>
      <c r="H6" s="1069" t="s">
        <v>398</v>
      </c>
      <c r="I6" s="3642" t="s">
        <v>694</v>
      </c>
      <c r="J6" s="301">
        <f ca="1">ROUND(M6*M8*M7*(1-M9)/10000,0)</f>
        <v>0</v>
      </c>
      <c r="K6" s="155" t="s">
        <v>2107</v>
      </c>
      <c r="L6" s="302" t="s">
        <v>696</v>
      </c>
      <c r="M6" s="303">
        <f ca="1">INDIRECT("'数据-取费表'!z"&amp;$G$1)</f>
        <v>0</v>
      </c>
    </row>
    <row r="7" spans="1:37" ht="18" customHeight="1">
      <c r="A7" s="1073"/>
      <c r="B7" s="3643"/>
      <c r="C7" s="1075"/>
      <c r="D7" s="307"/>
      <c r="E7" s="3453" t="s">
        <v>697</v>
      </c>
      <c r="F7" s="303">
        <f ca="1">IF(INDIRECT("'数据-取费表'!ah"&amp;$G$1)="",INDIRECT("'数据-取费表'!k"&amp;$G$1),INDIRECT("'数据-取费表'!ah"&amp;$G$1))</f>
        <v>353</v>
      </c>
      <c r="G7" s="1383"/>
      <c r="H7" s="304"/>
      <c r="I7" s="3643"/>
      <c r="J7" s="306"/>
      <c r="K7" s="307"/>
      <c r="L7" s="302" t="s">
        <v>697</v>
      </c>
      <c r="M7" s="303">
        <f ca="1">F7</f>
        <v>353</v>
      </c>
    </row>
    <row r="8" spans="1:37" ht="18" customHeight="1">
      <c r="A8" s="304"/>
      <c r="B8" s="3643"/>
      <c r="C8" s="306"/>
      <c r="D8" s="307"/>
      <c r="E8" s="302" t="s">
        <v>698</v>
      </c>
      <c r="F8" s="303">
        <f ca="1">INDIRECT("'数据-取费表'!ai"&amp;$G$1)</f>
        <v>12</v>
      </c>
      <c r="G8" s="1383"/>
      <c r="H8" s="304"/>
      <c r="I8" s="3643"/>
      <c r="J8" s="306"/>
      <c r="K8" s="307"/>
      <c r="L8" s="302" t="s">
        <v>698</v>
      </c>
      <c r="M8" s="303">
        <f ca="1">INDIRECT("'数据-取费表'!ai"&amp;$G$1)</f>
        <v>12</v>
      </c>
    </row>
    <row r="9" spans="1:37" ht="18" customHeight="1">
      <c r="A9" s="304"/>
      <c r="B9" s="3644"/>
      <c r="C9" s="306"/>
      <c r="D9" s="307"/>
      <c r="E9" s="302" t="s">
        <v>699</v>
      </c>
      <c r="F9" s="312">
        <f ca="1">INDIRECT("'数据-取费表'!w"&amp;$G$1)</f>
        <v>0.1</v>
      </c>
      <c r="G9" s="1383"/>
      <c r="H9" s="304"/>
      <c r="I9" s="364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t="s">
        <v>3414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4968</v>
      </c>
      <c r="D13" s="3445" t="s">
        <v>705</v>
      </c>
      <c r="E13" s="3445" t="s">
        <v>706</v>
      </c>
      <c r="F13" s="1082">
        <f ca="1">INDIRECT("'数据-取费表'!y"&amp;$G$1)</f>
        <v>0.82</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4364</v>
      </c>
      <c r="D14" s="3449" t="s">
        <v>708</v>
      </c>
      <c r="E14" s="3447"/>
      <c r="F14" s="319"/>
      <c r="G14" s="1383"/>
      <c r="H14" s="982" t="s">
        <v>398</v>
      </c>
      <c r="I14" s="302" t="s">
        <v>709</v>
      </c>
      <c r="J14" s="21">
        <f ca="1">C29</f>
        <v>6058</v>
      </c>
      <c r="K14" s="3452"/>
      <c r="L14" s="807"/>
      <c r="M14" s="808"/>
    </row>
    <row r="15" spans="1:37" s="1396" customFormat="1" ht="18" customHeight="1" thickBot="1">
      <c r="A15" s="982" t="s">
        <v>399</v>
      </c>
      <c r="B15" s="302" t="s">
        <v>710</v>
      </c>
      <c r="C15" s="21">
        <f ca="1">ROUND(C14*F15,0)</f>
        <v>175</v>
      </c>
      <c r="D15" s="3446" t="s">
        <v>711</v>
      </c>
      <c r="E15" s="3446" t="s">
        <v>712</v>
      </c>
      <c r="F15" s="321">
        <f>'数据-取费表'!B33</f>
        <v>0.04</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3450"/>
      <c r="M16" s="1072"/>
    </row>
    <row r="17" spans="1:37" s="1396" customFormat="1" ht="18" customHeight="1">
      <c r="A17" s="982" t="s">
        <v>681</v>
      </c>
      <c r="B17" s="302" t="s">
        <v>716</v>
      </c>
      <c r="C17" s="21">
        <f ca="1">ROUND(F17*(F43+INDIRECT("'数据-取费表'!S"&amp;$G$1))/10000,0)</f>
        <v>249</v>
      </c>
      <c r="D17" s="302" t="s">
        <v>717</v>
      </c>
      <c r="E17" s="302" t="s">
        <v>718</v>
      </c>
      <c r="F17" s="23">
        <f>'数据-取费表'!B35</f>
        <v>200</v>
      </c>
      <c r="G17" s="1395"/>
      <c r="H17" s="982" t="s">
        <v>398</v>
      </c>
      <c r="I17" s="302" t="s">
        <v>719</v>
      </c>
      <c r="J17" s="2315">
        <f ca="1">ROUND(IF(AND(项目基本情况!B11="自然人",项目基本情况!B10="北京市"),J6*M17/(1+'数据-取费表'!C42),J18+J19+J20),2)</f>
        <v>0.49</v>
      </c>
      <c r="K17" s="3449" t="s">
        <v>720</v>
      </c>
      <c r="L17" s="3448"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65</v>
      </c>
      <c r="D18" s="302" t="s">
        <v>711</v>
      </c>
      <c r="E18" s="302" t="s">
        <v>712</v>
      </c>
      <c r="F18" s="322">
        <f>'数据-取费表'!B36</f>
        <v>1.4999999999999999E-2</v>
      </c>
      <c r="G18" s="1395"/>
      <c r="H18" s="982" t="s">
        <v>397</v>
      </c>
      <c r="I18" s="302" t="s">
        <v>723</v>
      </c>
      <c r="J18" s="21">
        <f ca="1">ROUND(J6*M18/(1+'数据-取费表'!C42),2)</f>
        <v>0</v>
      </c>
      <c r="K18" s="3448"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4853</v>
      </c>
      <c r="D19" s="131" t="s">
        <v>726</v>
      </c>
      <c r="E19" s="3455"/>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97</v>
      </c>
      <c r="D20" s="2425" t="s">
        <v>729</v>
      </c>
      <c r="E20" s="302" t="s">
        <v>712</v>
      </c>
      <c r="F20" s="322">
        <f>'数据-取费表'!B37</f>
        <v>0.02</v>
      </c>
      <c r="G20" s="1395"/>
      <c r="H20" s="982" t="s">
        <v>680</v>
      </c>
      <c r="I20" s="155" t="s">
        <v>730</v>
      </c>
      <c r="J20" s="22">
        <f ca="1">ROUND(M20*M21/10000,2)</f>
        <v>0.49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3248.7400000000002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5"/>
      <c r="F22" s="23"/>
      <c r="G22" s="1383"/>
      <c r="H22" s="982" t="s">
        <v>402</v>
      </c>
      <c r="I22" s="302" t="s">
        <v>738</v>
      </c>
      <c r="J22" s="21">
        <f ca="1">ROUND(J14*M22,2)</f>
        <v>30.29</v>
      </c>
      <c r="K22" s="3448"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258</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3448"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5"/>
      <c r="H24" s="1089" t="s">
        <v>683</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5"/>
      <c r="F25" s="23"/>
      <c r="G25" s="1383"/>
      <c r="H25" s="1079" t="s">
        <v>394</v>
      </c>
      <c r="I25" s="1094" t="s">
        <v>752</v>
      </c>
      <c r="J25" s="310">
        <f ca="1">J5-J16</f>
        <v>-31</v>
      </c>
      <c r="K25" s="1095" t="s">
        <v>753</v>
      </c>
      <c r="L25" s="1096"/>
      <c r="M25" s="1097"/>
    </row>
    <row r="26" spans="1:37">
      <c r="A26" s="982" t="s">
        <v>397</v>
      </c>
      <c r="B26" s="302" t="s">
        <v>754</v>
      </c>
      <c r="C26" s="21">
        <f ca="1">ROUND((C19+C20)*F26,0)</f>
        <v>396</v>
      </c>
      <c r="D26" s="2425"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5" t="s">
        <v>761</v>
      </c>
      <c r="E27" s="3446"/>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6058</v>
      </c>
      <c r="D29" s="1092"/>
      <c r="E29" s="1090"/>
      <c r="F29" s="1093"/>
      <c r="G29" s="1395"/>
      <c r="H29" s="334" t="s">
        <v>396</v>
      </c>
      <c r="I29" s="335" t="s">
        <v>768</v>
      </c>
      <c r="J29" s="336">
        <f ca="1">ROUND(J26/(1+F40)^F41,0)</f>
        <v>0</v>
      </c>
      <c r="K29" s="337" t="s">
        <v>769</v>
      </c>
      <c r="L29" s="338"/>
      <c r="M29" s="339">
        <f ca="1">INDIRECT("'数据-取费表'!k"&amp;$G$1)</f>
        <v>12362.01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88</v>
      </c>
      <c r="D30" s="1087" t="s">
        <v>715</v>
      </c>
      <c r="E30" s="3450"/>
      <c r="F30" s="1072"/>
      <c r="G30" s="1383"/>
      <c r="H30" s="2692"/>
      <c r="I30" s="1397"/>
      <c r="J30" s="1398"/>
      <c r="K30" s="2470"/>
      <c r="L30" s="2693"/>
      <c r="M30" s="2694"/>
    </row>
    <row r="31" spans="1:37" ht="18" customHeight="1">
      <c r="A31" s="982" t="s">
        <v>398</v>
      </c>
      <c r="B31" s="302" t="s">
        <v>719</v>
      </c>
      <c r="C31" s="2315">
        <f ca="1">ROUND(IF(AND(项目基本情况!B11="自然人",项目基本情况!B10="北京市"),C6*F31/(1+'数据-取费表'!C42),C32+C33+C34),2)</f>
        <v>51.33</v>
      </c>
      <c r="D31" s="3449" t="s">
        <v>720</v>
      </c>
      <c r="E31" s="3448" t="s">
        <v>770</v>
      </c>
      <c r="F31" s="2314" t="str">
        <f>IF(项目基本情况!B11="企业","——",IF(M47="住宅",IF(F6*F7*F8/12/(1+'数据-取费表'!F30)&gt;100000,4%,2.5%),IF(F6*F7*F8/12/(1+'数据-取费表'!F30)&gt;100000,12%,7%)))</f>
        <v>——</v>
      </c>
      <c r="G31" s="1383"/>
      <c r="H31" s="2803" t="s">
        <v>2304</v>
      </c>
      <c r="I31" s="1397"/>
      <c r="J31" s="1398"/>
      <c r="K31" s="2470"/>
      <c r="L31" s="2693"/>
      <c r="M31" s="2694"/>
    </row>
    <row r="32" spans="1:37" ht="18" customHeight="1">
      <c r="A32" s="982" t="s">
        <v>397</v>
      </c>
      <c r="B32" s="302" t="s">
        <v>723</v>
      </c>
      <c r="C32" s="21">
        <f ca="1">IF(项目基本情况!B11="自然人","——",ROUND(C6*F32/(1+'数据-取费表'!C42),2))</f>
        <v>15.98</v>
      </c>
      <c r="D32" s="3448" t="s">
        <v>724</v>
      </c>
      <c r="E32" s="302" t="s">
        <v>712</v>
      </c>
      <c r="F32" s="331">
        <f>'数据-取费表'!B41</f>
        <v>5.5000000000000007E-2</v>
      </c>
      <c r="G32" s="1383"/>
      <c r="H32" s="2692"/>
      <c r="I32" s="1397"/>
      <c r="J32" s="1398"/>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34.86</v>
      </c>
      <c r="D33" s="1369" t="s">
        <v>3333</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f ca="1">IF(项目基本情况!B11="自然人","——",ROUND(F34*F35/10000,2))</f>
        <v>0.49</v>
      </c>
      <c r="D34" s="324" t="s">
        <v>731</v>
      </c>
      <c r="E34" s="302" t="s">
        <v>732</v>
      </c>
      <c r="F34" s="325">
        <f>'数据-取费表'!B52</f>
        <v>1.5</v>
      </c>
      <c r="G34" s="1383"/>
      <c r="H34" s="2692"/>
      <c r="I34" s="1397"/>
      <c r="J34" s="1398"/>
      <c r="K34" s="2697"/>
      <c r="L34" s="2698"/>
      <c r="M34" s="2698"/>
    </row>
    <row r="35" spans="1:18" ht="18" customHeight="1">
      <c r="A35" s="1103"/>
      <c r="B35" s="1101"/>
      <c r="C35" s="26"/>
      <c r="D35" s="327"/>
      <c r="E35" s="302" t="s">
        <v>736</v>
      </c>
      <c r="F35" s="303">
        <f ca="1">INDIRECT("'数据-取费表'!r"&amp;$G$1)</f>
        <v>3248.7400000000002</v>
      </c>
      <c r="G35" s="1383"/>
      <c r="H35" s="2692"/>
      <c r="I35" s="1397"/>
      <c r="J35" s="1398"/>
      <c r="K35" s="2696"/>
      <c r="L35" s="2695"/>
      <c r="M35" s="2695"/>
    </row>
    <row r="36" spans="1:18" ht="18" customHeight="1">
      <c r="A36" s="1102" t="s">
        <v>402</v>
      </c>
      <c r="B36" s="302" t="s">
        <v>738</v>
      </c>
      <c r="C36" s="21">
        <f ca="1">ROUND(C29*F36,2)</f>
        <v>30.29</v>
      </c>
      <c r="D36" s="3448" t="s">
        <v>771</v>
      </c>
      <c r="E36" s="302" t="s">
        <v>712</v>
      </c>
      <c r="F36" s="328">
        <f ca="1">INDIRECT("'数据-取费表'!Ak"&amp;$G$1)</f>
        <v>5.0000000000000001E-3</v>
      </c>
      <c r="G36" s="1383"/>
      <c r="H36" s="2695"/>
      <c r="I36" s="1397"/>
      <c r="J36" s="1398"/>
      <c r="K36" s="2539"/>
      <c r="L36" s="2695"/>
      <c r="M36" s="2695"/>
    </row>
    <row r="37" spans="1:18" ht="18" customHeight="1">
      <c r="A37" s="982" t="s">
        <v>437</v>
      </c>
      <c r="B37" s="302" t="s">
        <v>742</v>
      </c>
      <c r="C37" s="21">
        <f ca="1">ROUND(C13*F37,2)</f>
        <v>4.97</v>
      </c>
      <c r="D37" s="3448" t="s">
        <v>743</v>
      </c>
      <c r="E37" s="302" t="s">
        <v>744</v>
      </c>
      <c r="F37" s="330">
        <f ca="1">INDIRECT("'数据-取费表'!Al"&amp;$G$1)</f>
        <v>1E-3</v>
      </c>
      <c r="G37" s="1383"/>
      <c r="H37" s="2695"/>
      <c r="I37" s="1397"/>
      <c r="J37" s="1398"/>
      <c r="K37" s="2539"/>
      <c r="L37" s="2695"/>
      <c r="M37" s="2695"/>
    </row>
    <row r="38" spans="1:18" ht="18" customHeight="1" thickBot="1">
      <c r="A38" s="1089" t="s">
        <v>683</v>
      </c>
      <c r="B38" s="1090" t="s">
        <v>728</v>
      </c>
      <c r="C38" s="1091">
        <f ca="1">ROUND(C5*F38,2)</f>
        <v>1.53</v>
      </c>
      <c r="D38" s="1092" t="s">
        <v>748</v>
      </c>
      <c r="E38" s="1090" t="s">
        <v>744</v>
      </c>
      <c r="F38" s="1086">
        <f ca="1">INDIRECT("'数据-取费表'!Am"&amp;$G$1)</f>
        <v>5.0000000000000001E-3</v>
      </c>
      <c r="G38" s="1383"/>
      <c r="H38" s="2695"/>
      <c r="I38" s="1397"/>
      <c r="J38" s="1398"/>
      <c r="K38" s="2699"/>
      <c r="L38" s="2695"/>
      <c r="M38" s="2695"/>
    </row>
    <row r="39" spans="1:18" ht="24.6" customHeight="1" thickTop="1">
      <c r="A39" s="1079" t="s">
        <v>394</v>
      </c>
      <c r="B39" s="1094" t="s">
        <v>752</v>
      </c>
      <c r="C39" s="310">
        <f ca="1">C5-C30</f>
        <v>217</v>
      </c>
      <c r="D39" s="1095" t="s">
        <v>753</v>
      </c>
      <c r="E39" s="1096"/>
      <c r="F39" s="1097"/>
      <c r="G39" s="1383"/>
      <c r="H39" s="2695"/>
      <c r="I39" s="1397"/>
      <c r="J39" s="1398"/>
      <c r="K39" s="2699"/>
      <c r="L39" s="2695"/>
      <c r="M39" s="2695"/>
    </row>
    <row r="40" spans="1:18" ht="18" customHeight="1">
      <c r="A40" s="299" t="s">
        <v>395</v>
      </c>
      <c r="B40" s="300" t="s">
        <v>774</v>
      </c>
      <c r="C40" s="301">
        <f ca="1">ROUND(C39*(1-((1+F42)/(1+F40))^F41)/(F40-F42),0)</f>
        <v>4977</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35.35</v>
      </c>
      <c r="G41" s="1383"/>
      <c r="H41" s="1190"/>
      <c r="I41" s="1397"/>
      <c r="J41" s="1398"/>
      <c r="K41" s="2539"/>
      <c r="L41" s="1190"/>
      <c r="M41" s="1190"/>
    </row>
    <row r="42" spans="1:18" ht="18" customHeight="1">
      <c r="A42" s="308"/>
      <c r="B42" s="309"/>
      <c r="C42" s="310"/>
      <c r="D42" s="327"/>
      <c r="E42" s="302" t="s">
        <v>766</v>
      </c>
      <c r="F42" s="312">
        <f ca="1">INDIRECT("'数据-取费表'!v"&amp;$G$1)</f>
        <v>2.5000000000000001E-2</v>
      </c>
      <c r="G42" s="1383"/>
      <c r="H42" s="1190"/>
      <c r="I42" s="1397"/>
      <c r="J42" s="1398"/>
      <c r="K42" s="2539"/>
      <c r="L42" s="1190"/>
      <c r="M42" s="1190"/>
    </row>
    <row r="43" spans="1:18" ht="18" customHeight="1" thickBot="1">
      <c r="A43" s="334" t="s">
        <v>396</v>
      </c>
      <c r="B43" s="335" t="s">
        <v>776</v>
      </c>
      <c r="C43" s="336">
        <f ca="1">ROUND(C40*10000/F43,0)</f>
        <v>4026</v>
      </c>
      <c r="D43" s="337" t="s">
        <v>777</v>
      </c>
      <c r="E43" s="338" t="s">
        <v>778</v>
      </c>
      <c r="F43" s="339">
        <f ca="1">INDIRECT("'数据-取费表'!k"&amp;$G$1)</f>
        <v>12362.01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f ca="1">C68-C40</f>
        <v>-5552</v>
      </c>
      <c r="D46" s="1405" t="str">
        <f>C2</f>
        <v>万元</v>
      </c>
      <c r="E46" s="1399"/>
      <c r="F46" s="1399"/>
      <c r="I46" s="1406" t="s">
        <v>810</v>
      </c>
      <c r="J46" s="1407"/>
      <c r="K46" s="1408"/>
      <c r="L46" s="1409">
        <f ca="1">IF(M47="住宅",0,IF(L48&gt;J51,L60,J60))</f>
        <v>188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3415</v>
      </c>
      <c r="K47" s="1415" t="s">
        <v>816</v>
      </c>
      <c r="L47" s="1416">
        <f ca="1">INDIRECT("'数据-取费表'!d"&amp;$G$1)</f>
        <v>50</v>
      </c>
      <c r="M47" s="1379" t="str">
        <f>IF(ISNUMBER(FIND("住宅",C1)),"住宅","非住宅")</f>
        <v>非住宅</v>
      </c>
      <c r="O47" s="1417" t="s">
        <v>403</v>
      </c>
      <c r="P47" s="1418" t="s">
        <v>817</v>
      </c>
      <c r="Q47" s="1419">
        <f ca="1">C40+J29</f>
        <v>4977</v>
      </c>
      <c r="R47" s="1419" t="s">
        <v>818</v>
      </c>
    </row>
    <row r="48" spans="1:18" s="1383" customFormat="1" ht="28.5" thickBot="1">
      <c r="A48" s="1110" t="s">
        <v>438</v>
      </c>
      <c r="B48" s="300" t="s">
        <v>692</v>
      </c>
      <c r="C48" s="3454">
        <f ca="1">C49+C53+C55</f>
        <v>0</v>
      </c>
      <c r="D48" s="1112"/>
      <c r="E48" s="1113"/>
      <c r="F48" s="962"/>
      <c r="G48" s="722"/>
      <c r="H48" s="723"/>
      <c r="I48" s="1420" t="s">
        <v>819</v>
      </c>
      <c r="J48" s="1421" t="s">
        <v>3416</v>
      </c>
      <c r="K48" s="1422" t="s">
        <v>820</v>
      </c>
      <c r="L48" s="1423">
        <f ca="1">INDIRECT("'数据-取费表'!f"&amp;$G$1)</f>
        <v>35.35</v>
      </c>
      <c r="O48" s="1417" t="s">
        <v>404</v>
      </c>
      <c r="P48" s="1418" t="s">
        <v>821</v>
      </c>
      <c r="Q48" s="1419">
        <f ca="1">J60</f>
        <v>188</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f>'数据-取费表'!N18</f>
        <v>2012</v>
      </c>
      <c r="K49" s="1422" t="s">
        <v>824</v>
      </c>
      <c r="L49" s="1426"/>
      <c r="O49" s="1427" t="s">
        <v>405</v>
      </c>
      <c r="P49" s="1418" t="s">
        <v>825</v>
      </c>
      <c r="Q49" s="1419">
        <f ca="1">C29</f>
        <v>6058</v>
      </c>
      <c r="R49" s="1419" t="s">
        <v>818</v>
      </c>
    </row>
    <row r="50" spans="1:18" s="1383" customFormat="1" ht="13.5" thickBot="1">
      <c r="A50" s="976"/>
      <c r="B50" s="979"/>
      <c r="C50" s="1118"/>
      <c r="D50" s="953"/>
      <c r="E50" s="1056" t="s">
        <v>697</v>
      </c>
      <c r="F50" s="1057">
        <f ca="1">F7</f>
        <v>353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49</v>
      </c>
      <c r="K51" s="1433" t="s">
        <v>830</v>
      </c>
      <c r="L51" s="1434">
        <f ca="1">ROUND(-PV(INDIRECT("'数据-取费表'!h"&amp;$G$1),J51,(C39-C13*C76),0),0)</f>
        <v>-2570</v>
      </c>
      <c r="M51" s="1435"/>
      <c r="O51" s="1427" t="s">
        <v>407</v>
      </c>
      <c r="P51" s="1418" t="s">
        <v>831</v>
      </c>
      <c r="Q51" s="1430">
        <f>J52</f>
        <v>7.5000000000000011E-2</v>
      </c>
      <c r="R51" s="1419"/>
    </row>
    <row r="52" spans="1:18" s="1383" customFormat="1" ht="13.5" thickBot="1">
      <c r="A52" s="977"/>
      <c r="B52" s="979"/>
      <c r="C52" s="980"/>
      <c r="D52" s="953"/>
      <c r="E52" s="981" t="s">
        <v>699</v>
      </c>
      <c r="F52" s="1054"/>
      <c r="I52" s="1436" t="s">
        <v>832</v>
      </c>
      <c r="J52" s="1437">
        <f>'数据-取费表'!J6+0.005</f>
        <v>7.5000000000000011E-2</v>
      </c>
      <c r="K52" s="1436" t="s">
        <v>833</v>
      </c>
      <c r="L52" s="1437"/>
      <c r="O52" s="1427" t="s">
        <v>408</v>
      </c>
      <c r="P52" s="1418" t="s">
        <v>834</v>
      </c>
      <c r="Q52" s="1419">
        <f ca="1">J53</f>
        <v>35.35</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35.35</v>
      </c>
      <c r="K53" s="3645" t="s">
        <v>837</v>
      </c>
      <c r="L53" s="3646"/>
      <c r="O53" s="1417" t="s">
        <v>409</v>
      </c>
      <c r="P53" s="1418" t="s">
        <v>838</v>
      </c>
      <c r="Q53" s="1419">
        <f ca="1">Q47+Q48</f>
        <v>5165</v>
      </c>
      <c r="R53" s="1419" t="s">
        <v>410</v>
      </c>
    </row>
    <row r="54" spans="1:18" s="1383" customFormat="1" ht="13.5" thickBot="1">
      <c r="A54" s="1153"/>
      <c r="B54" s="1366" t="s">
        <v>679</v>
      </c>
      <c r="C54" s="959"/>
      <c r="D54" s="1365"/>
      <c r="E54" s="345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1"/>
      <c r="F55" s="1439"/>
      <c r="I55" s="1442" t="s">
        <v>840</v>
      </c>
      <c r="J55" s="1443">
        <f ca="1">ROUND(IF(J47="钢混",J57/J50,1-(1-2%)*(J50-J57)/J50),3)</f>
        <v>0.22800000000000001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4968</v>
      </c>
      <c r="D56" s="1446"/>
      <c r="E56" s="1447"/>
      <c r="F56" s="1439"/>
      <c r="I56" s="1448" t="s">
        <v>842</v>
      </c>
      <c r="J56" s="1449" t="s">
        <v>3380</v>
      </c>
      <c r="K56" s="1420" t="s">
        <v>843</v>
      </c>
      <c r="L56" s="1423" t="str">
        <f ca="1">IF(L48&lt;J51,"——",L48-J53)</f>
        <v>——</v>
      </c>
      <c r="O56" s="1417" t="s">
        <v>403</v>
      </c>
      <c r="P56" s="1418" t="s">
        <v>817</v>
      </c>
      <c r="Q56" s="1419">
        <f ca="1">C40+J29</f>
        <v>4977</v>
      </c>
      <c r="R56" s="1419" t="s">
        <v>818</v>
      </c>
    </row>
    <row r="57" spans="1:18" s="1383" customFormat="1" ht="24.75" thickBot="1">
      <c r="A57" s="1450"/>
      <c r="B57" s="950" t="s">
        <v>767</v>
      </c>
      <c r="C57" s="238">
        <f ca="1">C29</f>
        <v>6058</v>
      </c>
      <c r="D57" s="1451"/>
      <c r="E57" s="1452"/>
      <c r="F57" s="1453"/>
      <c r="I57" s="1454" t="s">
        <v>844</v>
      </c>
      <c r="J57" s="1455">
        <f ca="1">IF(OR(M47="住宅",J51&lt;L48,J56="是"),"——",J51-L48)</f>
        <v>13.649999999999999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2423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188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0.49</v>
      </c>
      <c r="D62" s="965" t="s">
        <v>731</v>
      </c>
      <c r="E62" s="950" t="s">
        <v>732</v>
      </c>
      <c r="F62" s="325">
        <f t="shared" si="0"/>
        <v>1.5</v>
      </c>
      <c r="I62" s="1461" t="s">
        <v>858</v>
      </c>
      <c r="J62" s="1462" t="s">
        <v>859</v>
      </c>
      <c r="K62" s="1462" t="s">
        <v>860</v>
      </c>
      <c r="L62" s="1462" t="s">
        <v>861</v>
      </c>
      <c r="M62" s="1463" t="s">
        <v>862</v>
      </c>
      <c r="O62" s="1417" t="s">
        <v>409</v>
      </c>
      <c r="P62" s="1418" t="s">
        <v>838</v>
      </c>
      <c r="Q62" s="1419">
        <f ca="1">Q56+Q57</f>
        <v>4977</v>
      </c>
      <c r="R62" s="1419" t="s">
        <v>410</v>
      </c>
    </row>
    <row r="63" spans="1:18" s="1383" customFormat="1" ht="13.5" thickBot="1">
      <c r="A63" s="326"/>
      <c r="B63" s="956"/>
      <c r="C63" s="26"/>
      <c r="D63" s="966"/>
      <c r="E63" s="950" t="s">
        <v>736</v>
      </c>
      <c r="F63" s="303">
        <f t="shared" ca="1" si="0"/>
        <v>3248.7400000000002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30.29</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4.97</v>
      </c>
      <c r="D65" s="964" t="s">
        <v>743</v>
      </c>
      <c r="E65" s="950" t="s">
        <v>744</v>
      </c>
      <c r="F65" s="330">
        <f t="shared" ca="1" si="0"/>
        <v>1E-3</v>
      </c>
      <c r="I65" s="1461" t="s">
        <v>867</v>
      </c>
      <c r="J65" s="1462">
        <v>40</v>
      </c>
      <c r="K65" s="1462">
        <v>30</v>
      </c>
      <c r="L65" s="1462">
        <v>50</v>
      </c>
      <c r="M65" s="1464">
        <v>0.02</v>
      </c>
      <c r="O65" s="1417" t="s">
        <v>403</v>
      </c>
      <c r="P65" s="1418" t="s">
        <v>868</v>
      </c>
      <c r="Q65" s="1419">
        <f ca="1">C40+J29</f>
        <v>4977</v>
      </c>
      <c r="R65" s="1419" t="s">
        <v>818</v>
      </c>
    </row>
    <row r="66" spans="1:18" s="1383" customFormat="1" ht="16.5"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-35</v>
      </c>
      <c r="D67" s="963" t="s">
        <v>753</v>
      </c>
      <c r="E67" s="968"/>
      <c r="F67" s="969"/>
      <c r="O67" s="1427" t="s">
        <v>405</v>
      </c>
      <c r="P67" s="1418" t="s">
        <v>850</v>
      </c>
      <c r="Q67" s="1465">
        <f ca="1">L51</f>
        <v>-2570</v>
      </c>
      <c r="R67" s="1419" t="s">
        <v>870</v>
      </c>
    </row>
    <row r="68" spans="1:18" s="1383" customFormat="1" ht="16.5" thickBot="1">
      <c r="A68" s="947" t="s">
        <v>395</v>
      </c>
      <c r="B68" s="948" t="s">
        <v>774</v>
      </c>
      <c r="C68" s="301">
        <f ca="1">ROUND(C67*(1-((1+F70)/(1+F68))^F69)/(F68-F70),0)</f>
        <v>-575</v>
      </c>
      <c r="D68" s="965" t="s">
        <v>758</v>
      </c>
      <c r="E68" s="950" t="s">
        <v>759</v>
      </c>
      <c r="F68" s="312">
        <f ca="1">F40</f>
        <v>0.05</v>
      </c>
      <c r="O68" s="1427" t="s">
        <v>406</v>
      </c>
      <c r="P68" s="1466" t="s">
        <v>871</v>
      </c>
      <c r="Q68" s="1419">
        <f ca="1">ROUND(Q69-Q70*Q71,0)</f>
        <v>-131</v>
      </c>
      <c r="R68" s="1419" t="s">
        <v>414</v>
      </c>
    </row>
    <row r="69" spans="1:18" s="1383" customFormat="1" ht="13.5" thickBot="1">
      <c r="A69" s="951"/>
      <c r="B69" s="952"/>
      <c r="C69" s="306"/>
      <c r="D69" s="970" t="s">
        <v>762</v>
      </c>
      <c r="E69" s="950" t="s">
        <v>763</v>
      </c>
      <c r="F69" s="333">
        <f ca="1">F41</f>
        <v>35.35</v>
      </c>
      <c r="O69" s="1427" t="s">
        <v>411</v>
      </c>
      <c r="P69" s="1466" t="s">
        <v>872</v>
      </c>
      <c r="Q69" s="1419">
        <f ca="1">C39</f>
        <v>217</v>
      </c>
      <c r="R69" s="1419" t="s">
        <v>818</v>
      </c>
    </row>
    <row r="70" spans="1:18" s="1383" customFormat="1" ht="13.5" thickBot="1">
      <c r="A70" s="954"/>
      <c r="B70" s="955"/>
      <c r="C70" s="310"/>
      <c r="D70" s="966"/>
      <c r="E70" s="950" t="s">
        <v>766</v>
      </c>
      <c r="F70" s="1054"/>
      <c r="O70" s="1427" t="s">
        <v>412</v>
      </c>
      <c r="P70" s="1466" t="s">
        <v>873</v>
      </c>
      <c r="Q70" s="1419">
        <f ca="1">C13</f>
        <v>4968</v>
      </c>
      <c r="R70" s="1419" t="s">
        <v>818</v>
      </c>
    </row>
    <row r="71" spans="1:18" s="1383" customFormat="1" ht="13.5" thickBot="1">
      <c r="A71" s="971" t="s">
        <v>396</v>
      </c>
      <c r="B71" s="972" t="s">
        <v>776</v>
      </c>
      <c r="C71" s="336">
        <f ca="1">ROUND(C68*10000/F71,0)</f>
        <v>-465</v>
      </c>
      <c r="D71" s="973" t="s">
        <v>777</v>
      </c>
      <c r="E71" s="974" t="s">
        <v>778</v>
      </c>
      <c r="F71" s="339">
        <f ca="1">F43</f>
        <v>12362.01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348</v>
      </c>
      <c r="D75" s="1383"/>
      <c r="E75" s="1383"/>
      <c r="F75" s="1383"/>
      <c r="K75" s="1401"/>
      <c r="L75" s="1383"/>
      <c r="O75" s="1417" t="s">
        <v>409</v>
      </c>
      <c r="P75" s="1418" t="s">
        <v>838</v>
      </c>
      <c r="Q75" s="1419">
        <f ca="1">Q65+Q66</f>
        <v>4977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-0.60400000000000009</v>
      </c>
    </row>
    <row r="80" spans="1:18">
      <c r="B80" s="340" t="s">
        <v>800</v>
      </c>
      <c r="C80" s="274">
        <f ca="1">ROUND(C75/C39,3)</f>
        <v>1.6040000000000001</v>
      </c>
    </row>
    <row r="81" spans="2:3">
      <c r="B81" s="270" t="s">
        <v>801</v>
      </c>
      <c r="C81" s="238"/>
    </row>
    <row r="82" spans="2:3">
      <c r="B82" s="273" t="s">
        <v>802</v>
      </c>
      <c r="C82" s="275">
        <f ca="1">1-C83</f>
        <v>2.0000000000000018E-3</v>
      </c>
    </row>
    <row r="83" spans="2:3">
      <c r="B83" s="273" t="s">
        <v>803</v>
      </c>
      <c r="C83" s="274">
        <f ca="1">ROUND(C13/C40,3)</f>
        <v>0.998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50">
        <f ca="1">结果表!H101</f>
        <v>133009</v>
      </c>
      <c r="E5" s="1490"/>
    </row>
    <row r="6" spans="1:5" ht="15.75">
      <c r="A6" s="1490"/>
      <c r="B6" s="3458"/>
      <c r="C6" s="1493" t="s">
        <v>911</v>
      </c>
      <c r="D6" s="850" t="str">
        <f ca="1">NUMBERSTRING(INT(D5*10000),2)&amp;"元整"</f>
        <v>壹拾叁亿叁仟零玖万元整</v>
      </c>
      <c r="E6" s="1490"/>
    </row>
    <row r="7" spans="1:5" ht="15.75">
      <c r="A7" s="1490"/>
      <c r="B7" s="3463"/>
      <c r="C7" s="1494" t="s">
        <v>912</v>
      </c>
      <c r="D7" s="851">
        <f ca="1">结果表!H102</f>
        <v>20257</v>
      </c>
      <c r="E7" s="1490"/>
    </row>
    <row r="8" spans="1:5" ht="15.75">
      <c r="A8" s="1490"/>
      <c r="B8" s="3464" t="str">
        <f>结果表!E103</f>
        <v>2.估价师知悉的法定优先受偿款</v>
      </c>
      <c r="C8" s="1495" t="s">
        <v>913</v>
      </c>
      <c r="D8" s="851">
        <f>结果表!H103</f>
        <v>0</v>
      </c>
      <c r="E8" s="1490"/>
    </row>
    <row r="9" spans="1:5" ht="15.75">
      <c r="A9" s="1490"/>
      <c r="B9" s="346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7" t="str">
        <f>结果表!E107</f>
        <v>3.房地产抵押价值</v>
      </c>
      <c r="C13" s="1498" t="s">
        <v>910</v>
      </c>
      <c r="D13" s="853">
        <f ca="1">结果表!H107</f>
        <v>133009</v>
      </c>
      <c r="E13" s="1490"/>
    </row>
    <row r="14" spans="1:5" ht="15.75">
      <c r="A14" s="1490"/>
      <c r="B14" s="3458"/>
      <c r="C14" s="1493" t="s">
        <v>911</v>
      </c>
      <c r="D14" s="850" t="str">
        <f ca="1">NUMBERSTRING(INT(D13*10000),2)&amp;"元整"</f>
        <v>壹拾叁亿叁仟零玖万元整</v>
      </c>
      <c r="E14" s="1490"/>
    </row>
    <row r="15" spans="1:5" ht="15">
      <c r="A15" s="1490"/>
      <c r="B15" s="3463"/>
      <c r="C15" s="1494" t="s">
        <v>921</v>
      </c>
      <c r="D15" s="859">
        <f ca="1">结果表!H108</f>
        <v>20257</v>
      </c>
      <c r="E15" s="1490"/>
    </row>
    <row r="16" spans="1:5" ht="15">
      <c r="A16" s="1490"/>
      <c r="B16" s="3464" t="str">
        <f>结果表!E109</f>
        <v>——</v>
      </c>
      <c r="C16" s="1498" t="s">
        <v>922</v>
      </c>
      <c r="D16" s="1499" t="str">
        <f>结果表!H109</f>
        <v>——</v>
      </c>
      <c r="E16" s="1490"/>
    </row>
    <row r="17" spans="1:5" ht="15.75">
      <c r="A17" s="1490"/>
      <c r="B17" s="3465"/>
      <c r="C17" s="1493" t="s">
        <v>923</v>
      </c>
      <c r="D17" s="850" t="e">
        <f>NUMBERSTRING(INT(D16*10000),2)&amp;"元整"</f>
        <v>#VALUE!</v>
      </c>
      <c r="E17" s="1490"/>
    </row>
    <row r="18" spans="1:5" ht="15">
      <c r="A18" s="1490"/>
      <c r="B18" s="3466"/>
      <c r="C18" s="1494" t="s">
        <v>912</v>
      </c>
      <c r="D18" s="859" t="str">
        <f>结果表!H110</f>
        <v>——</v>
      </c>
      <c r="E18" s="1490"/>
    </row>
    <row r="19" spans="1:5" ht="15.75">
      <c r="A19" s="1490"/>
      <c r="B19" s="3457" t="str">
        <f>结果表!E111</f>
        <v>——</v>
      </c>
      <c r="C19" s="1498" t="s">
        <v>910</v>
      </c>
      <c r="D19" s="851" t="str">
        <f>结果表!H111</f>
        <v>——</v>
      </c>
      <c r="E19" s="1490"/>
    </row>
    <row r="20" spans="1:5" ht="15.75">
      <c r="A20" s="1490"/>
      <c r="B20" s="3458"/>
      <c r="C20" s="1493" t="s">
        <v>923</v>
      </c>
      <c r="D20" s="850" t="e">
        <f>NUMBERSTRING(INT(D19*10000),2)&amp;"元整"</f>
        <v>#VALUE!</v>
      </c>
      <c r="E20" s="1490"/>
    </row>
    <row r="21" spans="1:5" ht="15.75" thickBot="1">
      <c r="A21" s="1490"/>
      <c r="B21" s="345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18"/>
  <sheetViews>
    <sheetView workbookViewId="0">
      <pane xSplit="5" ySplit="3" topLeftCell="H118" activePane="bottomRight" state="frozen"/>
      <selection activeCell="AL55" sqref="AL55"/>
      <selection pane="topRight" activeCell="AL55" sqref="AL55"/>
      <selection pane="bottomLeft" activeCell="AL55" sqref="AL55"/>
      <selection pane="bottomRight" activeCell="B122" sqref="B122"/>
    </sheetView>
  </sheetViews>
  <sheetFormatPr defaultRowHeight="13.5"/>
  <cols>
    <col min="1" max="1" width="3.625" style="3805" customWidth="1"/>
    <col min="2" max="2" width="12.25" style="3804" bestFit="1" customWidth="1"/>
    <col min="3" max="3" width="59.875" style="3804" bestFit="1" customWidth="1"/>
    <col min="4" max="5" width="9" style="3805"/>
    <col min="6" max="6" width="17.25" style="3804" bestFit="1" customWidth="1"/>
    <col min="7" max="7" width="17.125" style="3805" bestFit="1" customWidth="1"/>
    <col min="8" max="8" width="12.625" style="3805" bestFit="1" customWidth="1"/>
    <col min="9" max="9" width="17.25" style="3805" bestFit="1" customWidth="1"/>
    <col min="10" max="10" width="15.125" style="3805" bestFit="1" customWidth="1"/>
    <col min="11" max="11" width="13.875" style="3805" bestFit="1" customWidth="1"/>
    <col min="12" max="12" width="23.25" style="3805" customWidth="1"/>
    <col min="13" max="13" width="12.875" style="3805" bestFit="1" customWidth="1"/>
    <col min="14" max="14" width="16.5" style="3805" bestFit="1" customWidth="1"/>
    <col min="15" max="16384" width="9" style="3805"/>
  </cols>
  <sheetData>
    <row r="2" spans="2:16" ht="27.75" customHeight="1">
      <c r="B2" s="3803" t="s">
        <v>3440</v>
      </c>
    </row>
    <row r="3" spans="2:16" s="3809" customFormat="1" ht="48.75" customHeight="1">
      <c r="B3" s="3806" t="s">
        <v>3441</v>
      </c>
      <c r="C3" s="3806" t="s">
        <v>3442</v>
      </c>
      <c r="D3" s="3807" t="s">
        <v>3443</v>
      </c>
      <c r="E3" s="3807" t="s">
        <v>3444</v>
      </c>
      <c r="F3" s="3807" t="s">
        <v>3445</v>
      </c>
      <c r="G3" s="3807" t="s">
        <v>3446</v>
      </c>
      <c r="H3" s="3807" t="s">
        <v>3447</v>
      </c>
      <c r="I3" s="3807" t="s">
        <v>3448</v>
      </c>
      <c r="J3" s="3807" t="s">
        <v>3449</v>
      </c>
      <c r="K3" s="3807" t="s">
        <v>3450</v>
      </c>
      <c r="L3" s="3807" t="s">
        <v>3451</v>
      </c>
      <c r="M3" s="3807" t="s">
        <v>3452</v>
      </c>
      <c r="N3" s="3808" t="s">
        <v>3453</v>
      </c>
    </row>
    <row r="4" spans="2:16" ht="24">
      <c r="B4" s="3810" t="s">
        <v>3454</v>
      </c>
      <c r="C4" s="3811" t="s">
        <v>3455</v>
      </c>
      <c r="D4" s="3812">
        <v>15921.33</v>
      </c>
      <c r="E4" s="3812">
        <v>15921.33</v>
      </c>
      <c r="F4" s="3813">
        <v>3.09</v>
      </c>
      <c r="G4" s="3814" t="s">
        <v>3456</v>
      </c>
      <c r="H4" s="3813"/>
      <c r="I4" s="3815">
        <f>F4*$E4*365</f>
        <v>17956872.0405</v>
      </c>
      <c r="J4" s="3815">
        <f>5*D4*12+43*D4</f>
        <v>1639896.9899999998</v>
      </c>
      <c r="K4" s="3815">
        <f>H4*E4*365</f>
        <v>0</v>
      </c>
      <c r="L4" s="3815">
        <f>SUM(I4:K4)</f>
        <v>19596769.030499998</v>
      </c>
      <c r="M4" s="3816"/>
      <c r="N4" s="3817"/>
      <c r="P4" s="3834">
        <f>L4/D4/365</f>
        <v>3.3721917808219177</v>
      </c>
    </row>
    <row r="5" spans="2:16" ht="24">
      <c r="B5" s="3810" t="s">
        <v>3457</v>
      </c>
      <c r="C5" s="3811" t="s">
        <v>3458</v>
      </c>
      <c r="D5" s="3812">
        <v>450.75</v>
      </c>
      <c r="E5" s="3812">
        <v>302.83</v>
      </c>
      <c r="F5" s="3813">
        <v>3.25</v>
      </c>
      <c r="G5" s="3813">
        <v>0.8</v>
      </c>
      <c r="H5" s="3813">
        <v>1.4</v>
      </c>
      <c r="I5" s="3815">
        <f t="shared" ref="I5:I68" si="0">F5*E5*365</f>
        <v>359232.08750000002</v>
      </c>
      <c r="J5" s="3815">
        <f t="shared" ref="J5:K67" si="1">G5*D5*365</f>
        <v>131619</v>
      </c>
      <c r="K5" s="3815">
        <f t="shared" si="1"/>
        <v>154746.12999999998</v>
      </c>
      <c r="L5" s="3815">
        <f t="shared" ref="L5:L68" si="2">SUM(I5:K5)</f>
        <v>645597.21750000003</v>
      </c>
      <c r="M5" s="3816"/>
      <c r="N5" s="3817"/>
      <c r="P5" s="3834">
        <f t="shared" ref="P5:P68" si="3">L5/D5/365</f>
        <v>3.9240366056572382</v>
      </c>
    </row>
    <row r="6" spans="2:16">
      <c r="B6" s="3810" t="s">
        <v>3459</v>
      </c>
      <c r="C6" s="3811" t="s">
        <v>3460</v>
      </c>
      <c r="D6" s="3812">
        <v>263.48</v>
      </c>
      <c r="E6" s="3812">
        <v>177.01</v>
      </c>
      <c r="F6" s="3813">
        <v>4.37</v>
      </c>
      <c r="G6" s="3813">
        <v>0.7</v>
      </c>
      <c r="H6" s="3813">
        <v>0.83</v>
      </c>
      <c r="I6" s="3815">
        <f t="shared" si="0"/>
        <v>282339.80050000001</v>
      </c>
      <c r="J6" s="3815">
        <f t="shared" si="1"/>
        <v>67319.14</v>
      </c>
      <c r="K6" s="3815">
        <f t="shared" si="1"/>
        <v>53625.179499999998</v>
      </c>
      <c r="L6" s="3815">
        <f t="shared" si="2"/>
        <v>403284.12</v>
      </c>
      <c r="M6" s="3816"/>
      <c r="N6" s="3817"/>
      <c r="P6" s="3834">
        <f t="shared" si="3"/>
        <v>4.1934416274480029</v>
      </c>
    </row>
    <row r="7" spans="2:16" s="3842" customFormat="1">
      <c r="B7" s="3835" t="s">
        <v>3461</v>
      </c>
      <c r="C7" s="3836" t="s">
        <v>3462</v>
      </c>
      <c r="D7" s="3837">
        <v>955</v>
      </c>
      <c r="E7" s="3837">
        <v>955</v>
      </c>
      <c r="F7" s="3838" t="s">
        <v>3463</v>
      </c>
      <c r="G7" s="3838"/>
      <c r="H7" s="3838"/>
      <c r="I7" s="3839">
        <v>2854829.25</v>
      </c>
      <c r="J7" s="3839">
        <f t="shared" si="1"/>
        <v>0</v>
      </c>
      <c r="K7" s="3839">
        <f t="shared" si="1"/>
        <v>0</v>
      </c>
      <c r="L7" s="3839">
        <f t="shared" si="2"/>
        <v>2854829.25</v>
      </c>
      <c r="M7" s="3840"/>
      <c r="N7" s="3841"/>
      <c r="P7" s="3843">
        <f t="shared" si="3"/>
        <v>8.19</v>
      </c>
    </row>
    <row r="8" spans="2:16" s="3842" customFormat="1">
      <c r="B8" s="3835" t="s">
        <v>3464</v>
      </c>
      <c r="C8" s="3836" t="s">
        <v>3465</v>
      </c>
      <c r="D8" s="3837">
        <v>408</v>
      </c>
      <c r="E8" s="3837">
        <v>408</v>
      </c>
      <c r="F8" s="3838" t="s">
        <v>3466</v>
      </c>
      <c r="G8" s="3838" t="s">
        <v>3467</v>
      </c>
      <c r="H8" s="3838" t="s">
        <v>3468</v>
      </c>
      <c r="I8" s="3839">
        <f xml:space="preserve"> 193146.25*4</f>
        <v>772585</v>
      </c>
      <c r="J8" s="3839">
        <f>180000</f>
        <v>180000</v>
      </c>
      <c r="K8" s="3839">
        <f>36789.75*4</f>
        <v>147159</v>
      </c>
      <c r="L8" s="3839">
        <f t="shared" si="2"/>
        <v>1099744</v>
      </c>
      <c r="M8" s="3840"/>
      <c r="N8" s="3841"/>
      <c r="P8" s="3843">
        <f t="shared" si="3"/>
        <v>7.3847972065538547</v>
      </c>
    </row>
    <row r="9" spans="2:16" s="3842" customFormat="1">
      <c r="B9" s="3835" t="s">
        <v>3469</v>
      </c>
      <c r="C9" s="3836" t="s">
        <v>3470</v>
      </c>
      <c r="D9" s="3837">
        <v>150</v>
      </c>
      <c r="E9" s="3837">
        <v>150</v>
      </c>
      <c r="F9" s="3838">
        <v>5</v>
      </c>
      <c r="G9" s="3838"/>
      <c r="H9" s="3838"/>
      <c r="I9" s="3839">
        <f t="shared" si="0"/>
        <v>273750</v>
      </c>
      <c r="J9" s="3839">
        <f t="shared" si="1"/>
        <v>0</v>
      </c>
      <c r="K9" s="3839">
        <f t="shared" si="1"/>
        <v>0</v>
      </c>
      <c r="L9" s="3839">
        <f t="shared" si="2"/>
        <v>273750</v>
      </c>
      <c r="M9" s="3840"/>
      <c r="N9" s="3841"/>
      <c r="P9" s="3843">
        <f t="shared" si="3"/>
        <v>5</v>
      </c>
    </row>
    <row r="10" spans="2:16" s="3842" customFormat="1">
      <c r="B10" s="3835" t="s">
        <v>3471</v>
      </c>
      <c r="C10" s="3836" t="s">
        <v>3472</v>
      </c>
      <c r="D10" s="3837">
        <v>207.4</v>
      </c>
      <c r="E10" s="3837">
        <v>139.34</v>
      </c>
      <c r="F10" s="3838">
        <v>8.01</v>
      </c>
      <c r="G10" s="3838" t="s">
        <v>3473</v>
      </c>
      <c r="H10" s="3838">
        <v>1.53</v>
      </c>
      <c r="I10" s="3839">
        <f t="shared" si="0"/>
        <v>407381.391</v>
      </c>
      <c r="J10" s="3839">
        <v>40935</v>
      </c>
      <c r="K10" s="3839">
        <f t="shared" si="1"/>
        <v>77814.422999999995</v>
      </c>
      <c r="L10" s="3839">
        <f t="shared" si="2"/>
        <v>526130.81400000001</v>
      </c>
      <c r="M10" s="3840"/>
      <c r="N10" s="3841"/>
      <c r="P10" s="3843">
        <f t="shared" si="3"/>
        <v>6.9501170922444881</v>
      </c>
    </row>
    <row r="11" spans="2:16" s="3842" customFormat="1">
      <c r="B11" s="3835" t="s">
        <v>3474</v>
      </c>
      <c r="C11" s="3836" t="s">
        <v>3475</v>
      </c>
      <c r="D11" s="3837">
        <v>77.209999999999994</v>
      </c>
      <c r="E11" s="3837">
        <v>52</v>
      </c>
      <c r="F11" s="3838">
        <v>6.8</v>
      </c>
      <c r="G11" s="3838">
        <v>1</v>
      </c>
      <c r="H11" s="3838">
        <v>2.9</v>
      </c>
      <c r="I11" s="3839">
        <f t="shared" si="0"/>
        <v>129063.99999999999</v>
      </c>
      <c r="J11" s="3839">
        <f t="shared" si="1"/>
        <v>28181.649999999998</v>
      </c>
      <c r="K11" s="3839">
        <f t="shared" si="1"/>
        <v>55041.999999999993</v>
      </c>
      <c r="L11" s="3839">
        <f t="shared" si="2"/>
        <v>212287.65</v>
      </c>
      <c r="M11" s="3840"/>
      <c r="N11" s="3841"/>
      <c r="P11" s="3843">
        <f t="shared" si="3"/>
        <v>7.5328325346457721</v>
      </c>
    </row>
    <row r="12" spans="2:16" s="3842" customFormat="1">
      <c r="B12" s="3835" t="s">
        <v>3476</v>
      </c>
      <c r="C12" s="3836" t="s">
        <v>3477</v>
      </c>
      <c r="D12" s="3837">
        <v>94</v>
      </c>
      <c r="E12" s="3837">
        <v>65</v>
      </c>
      <c r="F12" s="3838">
        <v>8.4</v>
      </c>
      <c r="G12" s="3838">
        <v>1</v>
      </c>
      <c r="H12" s="3838">
        <v>3.6</v>
      </c>
      <c r="I12" s="3839">
        <f t="shared" si="0"/>
        <v>199290</v>
      </c>
      <c r="J12" s="3839">
        <f t="shared" si="1"/>
        <v>34310</v>
      </c>
      <c r="K12" s="3839">
        <f t="shared" si="1"/>
        <v>85410</v>
      </c>
      <c r="L12" s="3839">
        <f t="shared" si="2"/>
        <v>319010</v>
      </c>
      <c r="M12" s="3840"/>
      <c r="N12" s="3841"/>
      <c r="P12" s="3843">
        <f t="shared" si="3"/>
        <v>9.2978723404255312</v>
      </c>
    </row>
    <row r="13" spans="2:16" s="3842" customFormat="1">
      <c r="B13" s="3835" t="s">
        <v>3478</v>
      </c>
      <c r="C13" s="3836" t="s">
        <v>3479</v>
      </c>
      <c r="D13" s="3837">
        <v>46.38</v>
      </c>
      <c r="E13" s="3837">
        <v>30</v>
      </c>
      <c r="F13" s="3838">
        <v>9.8000000000000007</v>
      </c>
      <c r="G13" s="3838">
        <v>1</v>
      </c>
      <c r="H13" s="3838">
        <v>4.2</v>
      </c>
      <c r="I13" s="3839">
        <f t="shared" si="0"/>
        <v>107310</v>
      </c>
      <c r="J13" s="3839">
        <f t="shared" si="1"/>
        <v>16928.7</v>
      </c>
      <c r="K13" s="3839">
        <f t="shared" si="1"/>
        <v>45990</v>
      </c>
      <c r="L13" s="3839">
        <f t="shared" si="2"/>
        <v>170228.7</v>
      </c>
      <c r="M13" s="3840"/>
      <c r="N13" s="3841"/>
      <c r="P13" s="3843">
        <f t="shared" si="3"/>
        <v>10.055627425614489</v>
      </c>
    </row>
    <row r="14" spans="2:16" s="3842" customFormat="1">
      <c r="B14" s="3835" t="s">
        <v>3480</v>
      </c>
      <c r="C14" s="3836" t="s">
        <v>3481</v>
      </c>
      <c r="D14" s="3837">
        <v>66.48</v>
      </c>
      <c r="E14" s="3837">
        <v>43</v>
      </c>
      <c r="F14" s="3838">
        <v>9.8000000000000007</v>
      </c>
      <c r="G14" s="3838">
        <v>1</v>
      </c>
      <c r="H14" s="3838">
        <v>4.2</v>
      </c>
      <c r="I14" s="3839">
        <f t="shared" si="0"/>
        <v>153811</v>
      </c>
      <c r="J14" s="3839">
        <f t="shared" si="1"/>
        <v>24265.200000000001</v>
      </c>
      <c r="K14" s="3839">
        <f t="shared" si="1"/>
        <v>65919</v>
      </c>
      <c r="L14" s="3839">
        <f t="shared" si="2"/>
        <v>243995.2</v>
      </c>
      <c r="M14" s="3840"/>
      <c r="N14" s="3841"/>
      <c r="P14" s="3843">
        <f t="shared" si="3"/>
        <v>10.055354993983153</v>
      </c>
    </row>
    <row r="15" spans="2:16" s="3842" customFormat="1">
      <c r="B15" s="3835" t="s">
        <v>3482</v>
      </c>
      <c r="C15" s="3836" t="s">
        <v>3483</v>
      </c>
      <c r="D15" s="3837">
        <v>178.56</v>
      </c>
      <c r="E15" s="3837">
        <v>120</v>
      </c>
      <c r="F15" s="3838">
        <v>7.56</v>
      </c>
      <c r="G15" s="3838">
        <v>0.5</v>
      </c>
      <c r="H15" s="3838">
        <v>1.44</v>
      </c>
      <c r="I15" s="3839">
        <f t="shared" si="0"/>
        <v>331128</v>
      </c>
      <c r="J15" s="3839">
        <f t="shared" si="1"/>
        <v>32587.200000000001</v>
      </c>
      <c r="K15" s="3839">
        <f t="shared" si="1"/>
        <v>63071.999999999993</v>
      </c>
      <c r="L15" s="3839">
        <f t="shared" si="2"/>
        <v>426787.2</v>
      </c>
      <c r="M15" s="3840"/>
      <c r="N15" s="3841"/>
      <c r="P15" s="3843">
        <f t="shared" si="3"/>
        <v>6.5483870967741931</v>
      </c>
    </row>
    <row r="16" spans="2:16" s="3842" customFormat="1">
      <c r="B16" s="3835" t="s">
        <v>3484</v>
      </c>
      <c r="C16" s="3836" t="s">
        <v>3485</v>
      </c>
      <c r="D16" s="3837">
        <v>243</v>
      </c>
      <c r="E16" s="3837">
        <v>163</v>
      </c>
      <c r="F16" s="3838">
        <v>7.7</v>
      </c>
      <c r="G16" s="3838">
        <v>1</v>
      </c>
      <c r="H16" s="3838">
        <v>3.3</v>
      </c>
      <c r="I16" s="3839">
        <f t="shared" si="0"/>
        <v>458111.50000000006</v>
      </c>
      <c r="J16" s="3839">
        <f t="shared" si="1"/>
        <v>88695</v>
      </c>
      <c r="K16" s="3839">
        <f t="shared" si="1"/>
        <v>196333.5</v>
      </c>
      <c r="L16" s="3839">
        <f t="shared" si="2"/>
        <v>743140</v>
      </c>
      <c r="M16" s="3844"/>
      <c r="N16" s="3845">
        <v>311835.5</v>
      </c>
      <c r="P16" s="3843">
        <f t="shared" si="3"/>
        <v>8.378600823045268</v>
      </c>
    </row>
    <row r="17" spans="1:16">
      <c r="B17" s="3810" t="s">
        <v>3486</v>
      </c>
      <c r="C17" s="3811" t="s">
        <v>3487</v>
      </c>
      <c r="D17" s="3812">
        <v>250.5</v>
      </c>
      <c r="E17" s="3812">
        <v>140.19999999999999</v>
      </c>
      <c r="F17" s="3813">
        <v>4.71</v>
      </c>
      <c r="G17" s="3813">
        <v>1</v>
      </c>
      <c r="H17" s="3813">
        <v>0.9</v>
      </c>
      <c r="I17" s="3815">
        <f t="shared" si="0"/>
        <v>241024.83</v>
      </c>
      <c r="J17" s="3815">
        <f t="shared" si="1"/>
        <v>91432.5</v>
      </c>
      <c r="K17" s="3815">
        <f t="shared" si="1"/>
        <v>46055.7</v>
      </c>
      <c r="L17" s="3815">
        <f t="shared" si="2"/>
        <v>378513.02999999997</v>
      </c>
      <c r="M17" s="3816"/>
      <c r="N17" s="3817"/>
      <c r="P17" s="3834">
        <f t="shared" si="3"/>
        <v>4.1398083832335324</v>
      </c>
    </row>
    <row r="18" spans="1:16">
      <c r="B18" s="3810" t="s">
        <v>3488</v>
      </c>
      <c r="C18" s="3811" t="s">
        <v>3489</v>
      </c>
      <c r="D18" s="3812">
        <v>630</v>
      </c>
      <c r="E18" s="3812">
        <v>353</v>
      </c>
      <c r="F18" s="3813">
        <v>3.78</v>
      </c>
      <c r="G18" s="3813">
        <v>0.6</v>
      </c>
      <c r="H18" s="3813">
        <v>1.62</v>
      </c>
      <c r="I18" s="3815">
        <f t="shared" si="0"/>
        <v>487034.1</v>
      </c>
      <c r="J18" s="3815">
        <f t="shared" si="1"/>
        <v>137970</v>
      </c>
      <c r="K18" s="3815">
        <f t="shared" si="1"/>
        <v>208728.9</v>
      </c>
      <c r="L18" s="3815">
        <f t="shared" si="2"/>
        <v>833733</v>
      </c>
      <c r="M18" s="3816"/>
      <c r="N18" s="3817"/>
      <c r="P18" s="3834">
        <f t="shared" si="3"/>
        <v>3.6257142857142859</v>
      </c>
    </row>
    <row r="19" spans="1:16">
      <c r="B19" s="3810" t="s">
        <v>3490</v>
      </c>
      <c r="C19" s="3811" t="s">
        <v>3491</v>
      </c>
      <c r="D19" s="3812">
        <v>223</v>
      </c>
      <c r="E19" s="3812">
        <v>149.82</v>
      </c>
      <c r="F19" s="3813">
        <v>3.78</v>
      </c>
      <c r="G19" s="3813">
        <v>0.5</v>
      </c>
      <c r="H19" s="3813">
        <v>1.62</v>
      </c>
      <c r="I19" s="3815">
        <f t="shared" si="0"/>
        <v>206706.65399999998</v>
      </c>
      <c r="J19" s="3815">
        <f t="shared" si="1"/>
        <v>40697.5</v>
      </c>
      <c r="K19" s="3815">
        <f t="shared" si="1"/>
        <v>88588.566000000006</v>
      </c>
      <c r="L19" s="3815">
        <f t="shared" si="2"/>
        <v>335992.72</v>
      </c>
      <c r="M19" s="3818"/>
      <c r="N19" s="3819">
        <v>55845.430799999995</v>
      </c>
      <c r="P19" s="3834">
        <f t="shared" si="3"/>
        <v>4.1279282511210758</v>
      </c>
    </row>
    <row r="20" spans="1:16">
      <c r="B20" s="3810" t="s">
        <v>3492</v>
      </c>
      <c r="C20" s="3811" t="s">
        <v>3493</v>
      </c>
      <c r="D20" s="3812">
        <v>383.41</v>
      </c>
      <c r="E20" s="3812">
        <v>248</v>
      </c>
      <c r="F20" s="3813"/>
      <c r="G20" s="3813">
        <v>0.5</v>
      </c>
      <c r="H20" s="3813">
        <v>5.8</v>
      </c>
      <c r="I20" s="3815">
        <f t="shared" si="0"/>
        <v>0</v>
      </c>
      <c r="J20" s="3815">
        <f t="shared" si="1"/>
        <v>69972.325000000012</v>
      </c>
      <c r="K20" s="3815">
        <f t="shared" si="1"/>
        <v>525016</v>
      </c>
      <c r="L20" s="3815">
        <f t="shared" si="2"/>
        <v>594988.32499999995</v>
      </c>
      <c r="M20" s="3816"/>
      <c r="N20" s="3819">
        <v>149969.67000000001</v>
      </c>
      <c r="P20" s="3834">
        <f t="shared" si="3"/>
        <v>4.2515975065856395</v>
      </c>
    </row>
    <row r="21" spans="1:16" ht="24">
      <c r="B21" s="3810" t="s">
        <v>3494</v>
      </c>
      <c r="C21" s="3811" t="s">
        <v>3495</v>
      </c>
      <c r="D21" s="3812">
        <v>932</v>
      </c>
      <c r="E21" s="3812">
        <v>626.29999999999995</v>
      </c>
      <c r="F21" s="3813">
        <v>4.54</v>
      </c>
      <c r="G21" s="3813">
        <v>0.5</v>
      </c>
      <c r="H21" s="3813">
        <v>0.86</v>
      </c>
      <c r="I21" s="3815">
        <f t="shared" si="0"/>
        <v>1037841.7299999999</v>
      </c>
      <c r="J21" s="3815">
        <f t="shared" si="1"/>
        <v>170090</v>
      </c>
      <c r="K21" s="3815">
        <f t="shared" si="1"/>
        <v>196595.56999999998</v>
      </c>
      <c r="L21" s="3815">
        <f t="shared" si="2"/>
        <v>1404527.3</v>
      </c>
      <c r="M21" s="3816"/>
      <c r="N21" s="3819">
        <v>523521.64999999997</v>
      </c>
      <c r="P21" s="3834">
        <f t="shared" si="3"/>
        <v>4.1287768240343352</v>
      </c>
    </row>
    <row r="22" spans="1:16" ht="24">
      <c r="B22" s="3810" t="s">
        <v>3496</v>
      </c>
      <c r="C22" s="3811" t="s">
        <v>3497</v>
      </c>
      <c r="D22" s="3812">
        <v>595.20000000000005</v>
      </c>
      <c r="E22" s="3812">
        <v>400</v>
      </c>
      <c r="F22" s="3813">
        <v>5.1100000000000003</v>
      </c>
      <c r="G22" s="3813">
        <v>0.5</v>
      </c>
      <c r="H22" s="3813">
        <v>0.97</v>
      </c>
      <c r="I22" s="3815">
        <f t="shared" si="0"/>
        <v>746060.00000000012</v>
      </c>
      <c r="J22" s="3815">
        <f t="shared" si="1"/>
        <v>108624.00000000001</v>
      </c>
      <c r="K22" s="3815">
        <f t="shared" si="1"/>
        <v>141620</v>
      </c>
      <c r="L22" s="3815">
        <f t="shared" si="2"/>
        <v>996304.00000000012</v>
      </c>
      <c r="M22" s="3816"/>
      <c r="N22" s="3817"/>
      <c r="P22" s="3834">
        <f t="shared" si="3"/>
        <v>4.586021505376344</v>
      </c>
    </row>
    <row r="23" spans="1:16" ht="24">
      <c r="B23" s="3810" t="s">
        <v>3498</v>
      </c>
      <c r="C23" s="3811" t="s">
        <v>3499</v>
      </c>
      <c r="D23" s="3812">
        <v>5853.68</v>
      </c>
      <c r="E23" s="3812">
        <v>5853.68</v>
      </c>
      <c r="F23" s="3813" t="s">
        <v>3500</v>
      </c>
      <c r="G23" s="3820" t="s">
        <v>3501</v>
      </c>
      <c r="H23" s="3813"/>
      <c r="I23" s="3815">
        <v>3900000</v>
      </c>
      <c r="J23" s="3815">
        <f>7.1*D23*12+160000</f>
        <v>658733.53599999996</v>
      </c>
      <c r="K23" s="3815">
        <f t="shared" si="1"/>
        <v>0</v>
      </c>
      <c r="L23" s="3815">
        <f t="shared" si="2"/>
        <v>4558733.5360000003</v>
      </c>
      <c r="M23" s="3816"/>
      <c r="N23" s="3819">
        <v>1020788.9180000001</v>
      </c>
      <c r="P23" s="3834">
        <f t="shared" si="3"/>
        <v>2.1336460005582718</v>
      </c>
    </row>
    <row r="24" spans="1:16">
      <c r="A24" s="3804"/>
      <c r="B24" s="3810" t="s">
        <v>3502</v>
      </c>
      <c r="C24" s="3811" t="s">
        <v>3503</v>
      </c>
      <c r="D24" s="3812">
        <v>474.75</v>
      </c>
      <c r="E24" s="3812">
        <v>265.86</v>
      </c>
      <c r="F24" s="3813"/>
      <c r="G24" s="3813">
        <v>0.5</v>
      </c>
      <c r="H24" s="3813">
        <v>6</v>
      </c>
      <c r="I24" s="3815">
        <f t="shared" si="0"/>
        <v>0</v>
      </c>
      <c r="J24" s="3815">
        <f t="shared" si="1"/>
        <v>86641.875</v>
      </c>
      <c r="K24" s="3815">
        <f t="shared" si="1"/>
        <v>582233.4</v>
      </c>
      <c r="L24" s="3815">
        <f t="shared" si="2"/>
        <v>668875.27500000002</v>
      </c>
      <c r="M24" s="3816"/>
      <c r="N24" s="3819">
        <v>236717.82</v>
      </c>
      <c r="P24" s="3834">
        <f t="shared" si="3"/>
        <v>3.8600000000000003</v>
      </c>
    </row>
    <row r="25" spans="1:16" s="3804" customFormat="1" ht="24">
      <c r="B25" s="3810" t="s">
        <v>3504</v>
      </c>
      <c r="C25" s="3811" t="s">
        <v>3505</v>
      </c>
      <c r="D25" s="3812">
        <v>1236.8</v>
      </c>
      <c r="E25" s="3812">
        <v>800</v>
      </c>
      <c r="F25" s="3813">
        <v>1.73</v>
      </c>
      <c r="G25" s="3813">
        <v>0.78</v>
      </c>
      <c r="H25" s="3813"/>
      <c r="I25" s="3815">
        <f t="shared" si="0"/>
        <v>505160</v>
      </c>
      <c r="J25" s="3815">
        <f t="shared" si="1"/>
        <v>352116.95999999996</v>
      </c>
      <c r="K25" s="3815">
        <f t="shared" si="1"/>
        <v>0</v>
      </c>
      <c r="L25" s="3815">
        <f t="shared" si="2"/>
        <v>857276.96</v>
      </c>
      <c r="M25" s="3821"/>
      <c r="N25" s="3819">
        <v>727026.49</v>
      </c>
      <c r="P25" s="3834">
        <f t="shared" si="3"/>
        <v>1.8990168175937903</v>
      </c>
    </row>
    <row r="26" spans="1:16" s="3804" customFormat="1">
      <c r="A26" s="3805"/>
      <c r="B26" s="3810" t="s">
        <v>3506</v>
      </c>
      <c r="C26" s="3811" t="s">
        <v>3507</v>
      </c>
      <c r="D26" s="3812">
        <v>448</v>
      </c>
      <c r="E26" s="3812">
        <v>301</v>
      </c>
      <c r="F26" s="3813">
        <v>2.74</v>
      </c>
      <c r="G26" s="3813">
        <v>0.42</v>
      </c>
      <c r="H26" s="3813">
        <v>1.17</v>
      </c>
      <c r="I26" s="3815">
        <f t="shared" si="0"/>
        <v>301030.09999999998</v>
      </c>
      <c r="J26" s="3815">
        <f t="shared" si="1"/>
        <v>68678.399999999994</v>
      </c>
      <c r="K26" s="3815">
        <f t="shared" si="1"/>
        <v>128542.04999999999</v>
      </c>
      <c r="L26" s="3815">
        <f t="shared" si="2"/>
        <v>498250.55</v>
      </c>
      <c r="M26" s="3821"/>
      <c r="N26" s="3822"/>
      <c r="P26" s="3834">
        <f t="shared" si="3"/>
        <v>3.0470312499999999</v>
      </c>
    </row>
    <row r="27" spans="1:16">
      <c r="B27" s="3810" t="s">
        <v>3508</v>
      </c>
      <c r="C27" s="3811" t="s">
        <v>3509</v>
      </c>
      <c r="D27" s="3812">
        <v>386.5</v>
      </c>
      <c r="E27" s="3812">
        <v>250</v>
      </c>
      <c r="F27" s="3813"/>
      <c r="G27" s="3813">
        <v>0.71</v>
      </c>
      <c r="H27" s="3813">
        <v>5.8</v>
      </c>
      <c r="I27" s="3815">
        <f t="shared" si="0"/>
        <v>0</v>
      </c>
      <c r="J27" s="3815">
        <f t="shared" si="1"/>
        <v>100161.47499999999</v>
      </c>
      <c r="K27" s="3815">
        <f t="shared" si="1"/>
        <v>529250</v>
      </c>
      <c r="L27" s="3815">
        <f t="shared" si="2"/>
        <v>629411.47499999998</v>
      </c>
      <c r="M27" s="3816"/>
      <c r="N27" s="3819">
        <v>105188.32</v>
      </c>
      <c r="P27" s="3834">
        <f t="shared" si="3"/>
        <v>4.4616170763260019</v>
      </c>
    </row>
    <row r="28" spans="1:16">
      <c r="B28" s="3810" t="s">
        <v>3510</v>
      </c>
      <c r="C28" s="3811" t="s">
        <v>3511</v>
      </c>
      <c r="D28" s="3812">
        <v>305</v>
      </c>
      <c r="E28" s="3812">
        <v>205</v>
      </c>
      <c r="F28" s="3813">
        <v>3.4</v>
      </c>
      <c r="G28" s="3813">
        <v>0.71</v>
      </c>
      <c r="H28" s="3813">
        <v>0.65</v>
      </c>
      <c r="I28" s="3815">
        <f t="shared" si="0"/>
        <v>254405</v>
      </c>
      <c r="J28" s="3815">
        <f t="shared" si="1"/>
        <v>79040.75</v>
      </c>
      <c r="K28" s="3815">
        <f t="shared" si="1"/>
        <v>48636.25</v>
      </c>
      <c r="L28" s="3815">
        <f t="shared" si="2"/>
        <v>382082</v>
      </c>
      <c r="M28" s="3816"/>
      <c r="N28" s="3817"/>
      <c r="P28" s="3834">
        <f t="shared" si="3"/>
        <v>3.4321311475409839</v>
      </c>
    </row>
    <row r="29" spans="1:16">
      <c r="B29" s="3810" t="s">
        <v>3512</v>
      </c>
      <c r="C29" s="3811" t="s">
        <v>3513</v>
      </c>
      <c r="D29" s="3812">
        <v>223.2</v>
      </c>
      <c r="E29" s="3812">
        <v>150</v>
      </c>
      <c r="F29" s="3813">
        <v>5</v>
      </c>
      <c r="G29" s="3813">
        <v>0.95</v>
      </c>
      <c r="H29" s="3813">
        <v>0.96</v>
      </c>
      <c r="I29" s="3815">
        <f t="shared" si="0"/>
        <v>273750</v>
      </c>
      <c r="J29" s="3815">
        <f t="shared" si="1"/>
        <v>77394.599999999991</v>
      </c>
      <c r="K29" s="3815">
        <f t="shared" si="1"/>
        <v>52560</v>
      </c>
      <c r="L29" s="3815">
        <f t="shared" si="2"/>
        <v>403704.6</v>
      </c>
      <c r="M29" s="3816"/>
      <c r="N29" s="3817"/>
      <c r="P29" s="3834">
        <f t="shared" si="3"/>
        <v>4.9553763440860212</v>
      </c>
    </row>
    <row r="30" spans="1:16">
      <c r="B30" s="3810" t="s">
        <v>3514</v>
      </c>
      <c r="C30" s="3811" t="s">
        <v>3515</v>
      </c>
      <c r="D30" s="3812">
        <v>386.5</v>
      </c>
      <c r="E30" s="3812">
        <v>250</v>
      </c>
      <c r="F30" s="3813">
        <v>4.9000000000000004</v>
      </c>
      <c r="G30" s="3813">
        <v>1</v>
      </c>
      <c r="H30" s="3813">
        <v>2.1</v>
      </c>
      <c r="I30" s="3815">
        <f t="shared" si="0"/>
        <v>447125</v>
      </c>
      <c r="J30" s="3815">
        <f t="shared" si="1"/>
        <v>141072.5</v>
      </c>
      <c r="K30" s="3815">
        <f t="shared" si="1"/>
        <v>191625</v>
      </c>
      <c r="L30" s="3815">
        <f t="shared" si="2"/>
        <v>779822.5</v>
      </c>
      <c r="M30" s="3816"/>
      <c r="N30" s="3817"/>
      <c r="P30" s="3834">
        <f t="shared" si="3"/>
        <v>5.5278137128072444</v>
      </c>
    </row>
    <row r="31" spans="1:16">
      <c r="B31" s="3810" t="s">
        <v>3516</v>
      </c>
      <c r="C31" s="3811" t="s">
        <v>3517</v>
      </c>
      <c r="D31" s="3812">
        <v>205.82</v>
      </c>
      <c r="E31" s="3812">
        <v>133.13</v>
      </c>
      <c r="F31" s="3813">
        <v>5.6</v>
      </c>
      <c r="G31" s="3813">
        <v>0.5</v>
      </c>
      <c r="H31" s="3813">
        <v>2.4</v>
      </c>
      <c r="I31" s="3815">
        <f t="shared" si="0"/>
        <v>272117.71999999997</v>
      </c>
      <c r="J31" s="3815">
        <f t="shared" si="1"/>
        <v>37562.15</v>
      </c>
      <c r="K31" s="3815">
        <f t="shared" si="1"/>
        <v>116621.88</v>
      </c>
      <c r="L31" s="3815">
        <f t="shared" si="2"/>
        <v>426301.75</v>
      </c>
      <c r="M31" s="3816"/>
      <c r="N31" s="3818">
        <v>35936.512000000002</v>
      </c>
      <c r="P31" s="3834">
        <f t="shared" si="3"/>
        <v>5.6746185987756288</v>
      </c>
    </row>
    <row r="32" spans="1:16">
      <c r="B32" s="3810" t="s">
        <v>3518</v>
      </c>
      <c r="C32" s="3811" t="s">
        <v>3519</v>
      </c>
      <c r="D32" s="3812">
        <v>677.04</v>
      </c>
      <c r="E32" s="3812">
        <v>455</v>
      </c>
      <c r="F32" s="3813">
        <v>4.76</v>
      </c>
      <c r="G32" s="3813">
        <v>0.56699999999999995</v>
      </c>
      <c r="H32" s="3813">
        <v>0.91</v>
      </c>
      <c r="I32" s="3815">
        <f t="shared" si="0"/>
        <v>790516.99999999988</v>
      </c>
      <c r="J32" s="3815">
        <f t="shared" si="1"/>
        <v>140116.81319999998</v>
      </c>
      <c r="K32" s="3815">
        <f t="shared" si="1"/>
        <v>151128.25</v>
      </c>
      <c r="L32" s="3815">
        <f t="shared" si="2"/>
        <v>1081762.0631999997</v>
      </c>
      <c r="M32" s="3816"/>
      <c r="N32" s="3819">
        <v>90887.670400000003</v>
      </c>
      <c r="P32" s="3834">
        <f t="shared" si="3"/>
        <v>4.3774838709677413</v>
      </c>
    </row>
    <row r="33" spans="2:16">
      <c r="B33" s="3810" t="s">
        <v>3520</v>
      </c>
      <c r="C33" s="3811" t="s">
        <v>3521</v>
      </c>
      <c r="D33" s="3812">
        <v>278</v>
      </c>
      <c r="E33" s="3812">
        <v>187</v>
      </c>
      <c r="F33" s="3813">
        <v>7.83</v>
      </c>
      <c r="G33" s="3813">
        <v>1</v>
      </c>
      <c r="H33" s="3813">
        <v>1.5</v>
      </c>
      <c r="I33" s="3815">
        <f t="shared" si="0"/>
        <v>534436.65</v>
      </c>
      <c r="J33" s="3815">
        <f t="shared" si="1"/>
        <v>101470</v>
      </c>
      <c r="K33" s="3815">
        <f t="shared" si="1"/>
        <v>102382.5</v>
      </c>
      <c r="L33" s="3815">
        <f t="shared" si="2"/>
        <v>738289.15</v>
      </c>
      <c r="M33" s="3816"/>
      <c r="N33" s="3819">
        <v>305429.21000000002</v>
      </c>
      <c r="P33" s="3834">
        <f t="shared" si="3"/>
        <v>7.2759352517985612</v>
      </c>
    </row>
    <row r="34" spans="2:16">
      <c r="B34" s="3810" t="s">
        <v>3522</v>
      </c>
      <c r="C34" s="3811" t="s">
        <v>3523</v>
      </c>
      <c r="D34" s="3812">
        <v>229.7</v>
      </c>
      <c r="E34" s="3812">
        <v>154.31</v>
      </c>
      <c r="F34" s="3813">
        <v>8</v>
      </c>
      <c r="G34" s="3813">
        <v>0.7</v>
      </c>
      <c r="H34" s="3813">
        <v>1.54</v>
      </c>
      <c r="I34" s="3815">
        <f t="shared" si="0"/>
        <v>450585.2</v>
      </c>
      <c r="J34" s="3815">
        <f t="shared" si="1"/>
        <v>58688.35</v>
      </c>
      <c r="K34" s="3815">
        <f t="shared" si="1"/>
        <v>86737.650999999998</v>
      </c>
      <c r="L34" s="3815">
        <f t="shared" si="2"/>
        <v>596011.201</v>
      </c>
      <c r="M34" s="3816"/>
      <c r="N34" s="3817"/>
      <c r="P34" s="3834">
        <f t="shared" si="3"/>
        <v>7.1088698302133224</v>
      </c>
    </row>
    <row r="35" spans="2:16" ht="24">
      <c r="B35" s="3810" t="s">
        <v>3524</v>
      </c>
      <c r="C35" s="3811" t="s">
        <v>3525</v>
      </c>
      <c r="D35" s="3812">
        <v>1716.16</v>
      </c>
      <c r="E35" s="3812">
        <v>961.05</v>
      </c>
      <c r="F35" s="3813" t="s">
        <v>3526</v>
      </c>
      <c r="G35" s="3813" t="s">
        <v>3527</v>
      </c>
      <c r="H35" s="3813" t="s">
        <v>3528</v>
      </c>
      <c r="I35" s="3815">
        <f xml:space="preserve"> 561120</f>
        <v>561120</v>
      </c>
      <c r="J35" s="3815">
        <v>132000</v>
      </c>
      <c r="K35" s="3815">
        <v>106880</v>
      </c>
      <c r="L35" s="3815">
        <f t="shared" si="2"/>
        <v>800000</v>
      </c>
      <c r="M35" s="3816"/>
      <c r="N35" s="3817"/>
      <c r="P35" s="3834">
        <f t="shared" si="3"/>
        <v>1.2771424703511374</v>
      </c>
    </row>
    <row r="36" spans="2:16">
      <c r="B36" s="3810" t="s">
        <v>3529</v>
      </c>
      <c r="C36" s="3811" t="s">
        <v>3530</v>
      </c>
      <c r="D36" s="3812">
        <v>443.7</v>
      </c>
      <c r="E36" s="3812">
        <v>287</v>
      </c>
      <c r="F36" s="3813">
        <v>2.92</v>
      </c>
      <c r="G36" s="3813">
        <v>0.3</v>
      </c>
      <c r="H36" s="3813">
        <v>1.25</v>
      </c>
      <c r="I36" s="3815">
        <f t="shared" si="0"/>
        <v>305884.59999999998</v>
      </c>
      <c r="J36" s="3815">
        <f t="shared" si="1"/>
        <v>48585.149999999994</v>
      </c>
      <c r="K36" s="3815">
        <f t="shared" si="1"/>
        <v>130943.75</v>
      </c>
      <c r="L36" s="3815">
        <f t="shared" si="2"/>
        <v>485413.5</v>
      </c>
      <c r="M36" s="3816"/>
      <c r="N36" s="3819">
        <v>201839.19</v>
      </c>
      <c r="P36" s="3834">
        <f t="shared" si="3"/>
        <v>2.9972954699121028</v>
      </c>
    </row>
    <row r="37" spans="2:16" ht="24">
      <c r="B37" s="3810" t="s">
        <v>3531</v>
      </c>
      <c r="C37" s="3811" t="s">
        <v>3532</v>
      </c>
      <c r="D37" s="3812">
        <v>388.4</v>
      </c>
      <c r="E37" s="3812">
        <v>249</v>
      </c>
      <c r="F37" s="3813"/>
      <c r="G37" s="3813">
        <v>0.5</v>
      </c>
      <c r="H37" s="3813">
        <v>4</v>
      </c>
      <c r="I37" s="3815">
        <f t="shared" si="0"/>
        <v>0</v>
      </c>
      <c r="J37" s="3815">
        <f t="shared" si="1"/>
        <v>70883</v>
      </c>
      <c r="K37" s="3815">
        <f t="shared" si="1"/>
        <v>363540</v>
      </c>
      <c r="L37" s="3815">
        <f t="shared" si="2"/>
        <v>434423</v>
      </c>
      <c r="M37" s="3816"/>
      <c r="N37" s="3817"/>
      <c r="P37" s="3834">
        <f t="shared" si="3"/>
        <v>3.0643666323377965</v>
      </c>
    </row>
    <row r="38" spans="2:16">
      <c r="B38" s="3810" t="s">
        <v>3533</v>
      </c>
      <c r="C38" s="3811" t="s">
        <v>3534</v>
      </c>
      <c r="D38" s="3812">
        <v>89.31</v>
      </c>
      <c r="E38" s="3812">
        <v>60</v>
      </c>
      <c r="F38" s="3813">
        <v>5.2</v>
      </c>
      <c r="G38" s="3813">
        <v>0.6</v>
      </c>
      <c r="H38" s="3813">
        <v>2.2000000000000002</v>
      </c>
      <c r="I38" s="3815">
        <f t="shared" si="0"/>
        <v>113880</v>
      </c>
      <c r="J38" s="3815">
        <f t="shared" si="1"/>
        <v>19558.89</v>
      </c>
      <c r="K38" s="3815">
        <f t="shared" si="1"/>
        <v>48180</v>
      </c>
      <c r="L38" s="3815">
        <f t="shared" si="2"/>
        <v>181618.89</v>
      </c>
      <c r="M38" s="3816"/>
      <c r="N38" s="3819">
        <v>45657.069999999992</v>
      </c>
      <c r="P38" s="3834">
        <f t="shared" si="3"/>
        <v>5.5714477662075916</v>
      </c>
    </row>
    <row r="39" spans="2:16" ht="24">
      <c r="B39" s="3810" t="s">
        <v>3535</v>
      </c>
      <c r="C39" s="3811" t="s">
        <v>3536</v>
      </c>
      <c r="D39" s="3812">
        <v>838.41</v>
      </c>
      <c r="E39" s="3812">
        <v>522</v>
      </c>
      <c r="F39" s="3813">
        <v>3.22</v>
      </c>
      <c r="G39" s="3813">
        <v>0.56000000000000005</v>
      </c>
      <c r="H39" s="3813">
        <v>0.61</v>
      </c>
      <c r="I39" s="3815">
        <f t="shared" si="0"/>
        <v>613506.60000000009</v>
      </c>
      <c r="J39" s="3815">
        <f t="shared" si="1"/>
        <v>171371.00400000002</v>
      </c>
      <c r="K39" s="3815">
        <f t="shared" si="1"/>
        <v>116223.3</v>
      </c>
      <c r="L39" s="3815">
        <f t="shared" si="2"/>
        <v>901100.9040000001</v>
      </c>
      <c r="M39" s="3816"/>
      <c r="N39" s="3817"/>
      <c r="P39" s="3834">
        <f t="shared" si="3"/>
        <v>2.9445851075249583</v>
      </c>
    </row>
    <row r="40" spans="2:16">
      <c r="B40" s="3810" t="s">
        <v>3537</v>
      </c>
      <c r="C40" s="3811" t="s">
        <v>3538</v>
      </c>
      <c r="D40" s="3812">
        <v>471.32</v>
      </c>
      <c r="E40" s="3812">
        <v>275.12</v>
      </c>
      <c r="F40" s="3813">
        <v>7.98</v>
      </c>
      <c r="G40" s="3813">
        <v>0.5</v>
      </c>
      <c r="H40" s="3813">
        <v>1.52</v>
      </c>
      <c r="I40" s="3815">
        <f t="shared" si="0"/>
        <v>801342.02400000009</v>
      </c>
      <c r="J40" s="3815">
        <f t="shared" si="1"/>
        <v>86015.9</v>
      </c>
      <c r="K40" s="3815">
        <f t="shared" si="1"/>
        <v>152636.576</v>
      </c>
      <c r="L40" s="3815">
        <f t="shared" si="2"/>
        <v>1039994.5000000001</v>
      </c>
      <c r="M40" s="3816"/>
      <c r="N40" s="3817"/>
      <c r="P40" s="3834">
        <f t="shared" si="3"/>
        <v>6.045361962148859</v>
      </c>
    </row>
    <row r="41" spans="2:16">
      <c r="B41" s="3810" t="s">
        <v>3539</v>
      </c>
      <c r="C41" s="3811" t="s">
        <v>3540</v>
      </c>
      <c r="D41" s="3812">
        <v>346.7</v>
      </c>
      <c r="E41" s="3812">
        <v>233</v>
      </c>
      <c r="F41" s="3813">
        <v>5.2</v>
      </c>
      <c r="G41" s="3813">
        <v>0.5</v>
      </c>
      <c r="H41" s="3813">
        <v>1</v>
      </c>
      <c r="I41" s="3815">
        <f t="shared" si="0"/>
        <v>442234.00000000006</v>
      </c>
      <c r="J41" s="3815">
        <f t="shared" si="1"/>
        <v>63272.75</v>
      </c>
      <c r="K41" s="3815">
        <f t="shared" si="1"/>
        <v>85045</v>
      </c>
      <c r="L41" s="3815">
        <f t="shared" si="2"/>
        <v>590551.75</v>
      </c>
      <c r="M41" s="3816"/>
      <c r="N41" s="3819">
        <v>283055.34000000003</v>
      </c>
      <c r="P41" s="3834">
        <f t="shared" si="3"/>
        <v>4.6667147389674071</v>
      </c>
    </row>
    <row r="42" spans="2:16">
      <c r="B42" s="3810" t="s">
        <v>3541</v>
      </c>
      <c r="C42" s="3811" t="s">
        <v>3542</v>
      </c>
      <c r="D42" s="3812">
        <v>236.54</v>
      </c>
      <c r="E42" s="3812">
        <v>153</v>
      </c>
      <c r="F42" s="3813">
        <v>5.95</v>
      </c>
      <c r="G42" s="3813">
        <v>1</v>
      </c>
      <c r="H42" s="3813">
        <v>2.5499999999999998</v>
      </c>
      <c r="I42" s="3815">
        <f t="shared" si="0"/>
        <v>332277.75</v>
      </c>
      <c r="J42" s="3815">
        <f t="shared" si="1"/>
        <v>86337.099999999991</v>
      </c>
      <c r="K42" s="3815">
        <f t="shared" si="1"/>
        <v>142404.75</v>
      </c>
      <c r="L42" s="3815">
        <f t="shared" si="2"/>
        <v>561019.6</v>
      </c>
      <c r="M42" s="3816"/>
      <c r="N42" s="3817"/>
      <c r="P42" s="3834">
        <f t="shared" si="3"/>
        <v>6.4980130210535219</v>
      </c>
    </row>
    <row r="43" spans="2:16">
      <c r="B43" s="3810" t="s">
        <v>3543</v>
      </c>
      <c r="C43" s="3811" t="s">
        <v>3544</v>
      </c>
      <c r="D43" s="3812">
        <v>454</v>
      </c>
      <c r="E43" s="3812">
        <v>305</v>
      </c>
      <c r="F43" s="3813">
        <v>3.85</v>
      </c>
      <c r="G43" s="3813">
        <v>0.5</v>
      </c>
      <c r="H43" s="3813">
        <v>1.65</v>
      </c>
      <c r="I43" s="3815">
        <f t="shared" si="0"/>
        <v>428601.25</v>
      </c>
      <c r="J43" s="3815">
        <f t="shared" si="1"/>
        <v>82855</v>
      </c>
      <c r="K43" s="3815">
        <f t="shared" si="1"/>
        <v>183686.25</v>
      </c>
      <c r="L43" s="3815">
        <f t="shared" si="2"/>
        <v>695142.5</v>
      </c>
      <c r="M43" s="3816"/>
      <c r="N43" s="3817"/>
      <c r="P43" s="3834">
        <f t="shared" si="3"/>
        <v>4.1949339207048455</v>
      </c>
    </row>
    <row r="44" spans="2:16">
      <c r="B44" s="3810" t="s">
        <v>3545</v>
      </c>
      <c r="C44" s="3811" t="s">
        <v>3546</v>
      </c>
      <c r="D44" s="3812">
        <v>231.9</v>
      </c>
      <c r="E44" s="3812">
        <v>150</v>
      </c>
      <c r="F44" s="3813"/>
      <c r="G44" s="3813">
        <v>0.5</v>
      </c>
      <c r="H44" s="3813">
        <v>5.5</v>
      </c>
      <c r="I44" s="3815">
        <f t="shared" si="0"/>
        <v>0</v>
      </c>
      <c r="J44" s="3815">
        <f t="shared" si="1"/>
        <v>42321.75</v>
      </c>
      <c r="K44" s="3815">
        <f t="shared" si="1"/>
        <v>301125</v>
      </c>
      <c r="L44" s="3815">
        <f t="shared" si="2"/>
        <v>343446.75</v>
      </c>
      <c r="M44" s="3816"/>
      <c r="N44" s="3817"/>
      <c r="P44" s="3834">
        <f t="shared" si="3"/>
        <v>4.0575679172056915</v>
      </c>
    </row>
    <row r="45" spans="2:16">
      <c r="B45" s="3810" t="s">
        <v>3547</v>
      </c>
      <c r="C45" s="3811" t="s">
        <v>3548</v>
      </c>
      <c r="D45" s="3812">
        <v>58.75</v>
      </c>
      <c r="E45" s="3812">
        <v>38</v>
      </c>
      <c r="F45" s="3813">
        <v>4.9000000000000004</v>
      </c>
      <c r="G45" s="3813">
        <v>1</v>
      </c>
      <c r="H45" s="3813">
        <v>2.1</v>
      </c>
      <c r="I45" s="3815">
        <f t="shared" si="0"/>
        <v>67963</v>
      </c>
      <c r="J45" s="3815">
        <f t="shared" si="1"/>
        <v>21443.75</v>
      </c>
      <c r="K45" s="3815">
        <f t="shared" si="1"/>
        <v>29127</v>
      </c>
      <c r="L45" s="3815">
        <f t="shared" si="2"/>
        <v>118533.75</v>
      </c>
      <c r="M45" s="3816"/>
      <c r="N45" s="3817"/>
      <c r="P45" s="3834">
        <f t="shared" si="3"/>
        <v>5.5276595744680854</v>
      </c>
    </row>
    <row r="46" spans="2:16" s="3842" customFormat="1">
      <c r="B46" s="3835" t="s">
        <v>3549</v>
      </c>
      <c r="C46" s="3836" t="s">
        <v>3550</v>
      </c>
      <c r="D46" s="3837">
        <v>112.86</v>
      </c>
      <c r="E46" s="3837">
        <v>73</v>
      </c>
      <c r="F46" s="3838"/>
      <c r="G46" s="3838">
        <v>0.5</v>
      </c>
      <c r="H46" s="3838">
        <v>7.5</v>
      </c>
      <c r="I46" s="3839">
        <f t="shared" si="0"/>
        <v>0</v>
      </c>
      <c r="J46" s="3839">
        <f t="shared" si="1"/>
        <v>20596.95</v>
      </c>
      <c r="K46" s="3839">
        <f t="shared" si="1"/>
        <v>199837.5</v>
      </c>
      <c r="L46" s="3839">
        <f t="shared" si="2"/>
        <v>220434.45</v>
      </c>
      <c r="M46" s="3840"/>
      <c r="N46" s="3841"/>
      <c r="P46" s="3843">
        <f t="shared" si="3"/>
        <v>5.3511430090377461</v>
      </c>
    </row>
    <row r="47" spans="2:16" s="3842" customFormat="1">
      <c r="B47" s="3835" t="s">
        <v>3551</v>
      </c>
      <c r="C47" s="3836" t="s">
        <v>3552</v>
      </c>
      <c r="D47" s="3837">
        <v>77.3</v>
      </c>
      <c r="E47" s="3837">
        <v>50</v>
      </c>
      <c r="F47" s="3838">
        <v>6.65</v>
      </c>
      <c r="G47" s="3838">
        <v>0.5</v>
      </c>
      <c r="H47" s="3838">
        <v>2.85</v>
      </c>
      <c r="I47" s="3839">
        <f t="shared" si="0"/>
        <v>121362.5</v>
      </c>
      <c r="J47" s="3839">
        <f t="shared" si="1"/>
        <v>14107.25</v>
      </c>
      <c r="K47" s="3839">
        <f t="shared" si="1"/>
        <v>52012.5</v>
      </c>
      <c r="L47" s="3839">
        <f t="shared" si="2"/>
        <v>187482.25</v>
      </c>
      <c r="M47" s="3840"/>
      <c r="N47" s="3841"/>
      <c r="P47" s="3843">
        <f t="shared" si="3"/>
        <v>6.644890038809832</v>
      </c>
    </row>
    <row r="48" spans="2:16" s="3842" customFormat="1">
      <c r="B48" s="3846" t="s">
        <v>3553</v>
      </c>
      <c r="C48" s="3836" t="s">
        <v>3554</v>
      </c>
      <c r="D48" s="3837">
        <v>80.39</v>
      </c>
      <c r="E48" s="3837">
        <v>52</v>
      </c>
      <c r="F48" s="3838"/>
      <c r="G48" s="3838">
        <v>1</v>
      </c>
      <c r="H48" s="3838">
        <v>14</v>
      </c>
      <c r="I48" s="3839">
        <f t="shared" si="0"/>
        <v>0</v>
      </c>
      <c r="J48" s="3839">
        <f t="shared" si="1"/>
        <v>29342.35</v>
      </c>
      <c r="K48" s="3839">
        <f t="shared" si="1"/>
        <v>265720</v>
      </c>
      <c r="L48" s="3839">
        <f t="shared" si="2"/>
        <v>295062.34999999998</v>
      </c>
      <c r="M48" s="3840"/>
      <c r="N48" s="3841"/>
      <c r="P48" s="3843">
        <f t="shared" si="3"/>
        <v>10.05585271799975</v>
      </c>
    </row>
    <row r="49" spans="2:16">
      <c r="B49" s="3811" t="s">
        <v>3555</v>
      </c>
      <c r="C49" s="3811" t="s">
        <v>3556</v>
      </c>
      <c r="D49" s="3812">
        <v>276.43</v>
      </c>
      <c r="E49" s="3812">
        <v>276.43</v>
      </c>
      <c r="F49" s="3813">
        <v>2.4500000000000002</v>
      </c>
      <c r="G49" s="3813"/>
      <c r="H49" s="3813">
        <v>1.05</v>
      </c>
      <c r="I49" s="3815">
        <f t="shared" si="0"/>
        <v>247197.52750000003</v>
      </c>
      <c r="J49" s="3815">
        <f t="shared" si="1"/>
        <v>0</v>
      </c>
      <c r="K49" s="3815">
        <f t="shared" si="1"/>
        <v>105941.7975</v>
      </c>
      <c r="L49" s="3815">
        <f t="shared" si="2"/>
        <v>353139.32500000001</v>
      </c>
      <c r="M49" s="3816"/>
      <c r="N49" s="3817"/>
      <c r="P49" s="3834">
        <f t="shared" si="3"/>
        <v>3.5</v>
      </c>
    </row>
    <row r="50" spans="2:16">
      <c r="B50" s="3811" t="s">
        <v>3557</v>
      </c>
      <c r="C50" s="3811" t="s">
        <v>3558</v>
      </c>
      <c r="D50" s="3812">
        <v>220</v>
      </c>
      <c r="E50" s="3812">
        <v>220</v>
      </c>
      <c r="F50" s="3813">
        <v>2.4500000000000002</v>
      </c>
      <c r="G50" s="3813"/>
      <c r="H50" s="3813">
        <v>1.05</v>
      </c>
      <c r="I50" s="3815">
        <f t="shared" si="0"/>
        <v>196735</v>
      </c>
      <c r="J50" s="3815">
        <f t="shared" si="1"/>
        <v>0</v>
      </c>
      <c r="K50" s="3815">
        <f t="shared" si="1"/>
        <v>84315</v>
      </c>
      <c r="L50" s="3815">
        <f t="shared" si="2"/>
        <v>281050</v>
      </c>
      <c r="M50" s="3816"/>
      <c r="N50" s="3817"/>
      <c r="P50" s="3834">
        <f t="shared" si="3"/>
        <v>3.5</v>
      </c>
    </row>
    <row r="51" spans="2:16" s="3842" customFormat="1">
      <c r="B51" s="3835" t="s">
        <v>3559</v>
      </c>
      <c r="C51" s="3836" t="s">
        <v>3560</v>
      </c>
      <c r="D51" s="3837">
        <v>81.94</v>
      </c>
      <c r="E51" s="3837">
        <v>53</v>
      </c>
      <c r="F51" s="3838">
        <v>8.4</v>
      </c>
      <c r="G51" s="3838">
        <v>1</v>
      </c>
      <c r="H51" s="3838">
        <v>3.6</v>
      </c>
      <c r="I51" s="3839">
        <f t="shared" si="0"/>
        <v>162498.00000000003</v>
      </c>
      <c r="J51" s="3839">
        <f t="shared" si="1"/>
        <v>29908.1</v>
      </c>
      <c r="K51" s="3839">
        <f t="shared" si="1"/>
        <v>69642</v>
      </c>
      <c r="L51" s="3839">
        <f t="shared" si="2"/>
        <v>262048.10000000003</v>
      </c>
      <c r="M51" s="3840"/>
      <c r="N51" s="3841"/>
      <c r="P51" s="3843">
        <f t="shared" si="3"/>
        <v>8.7617769099341007</v>
      </c>
    </row>
    <row r="52" spans="2:16">
      <c r="B52" s="3824" t="s">
        <v>3561</v>
      </c>
      <c r="C52" s="3811" t="s">
        <v>3562</v>
      </c>
      <c r="D52" s="3812">
        <v>24.74</v>
      </c>
      <c r="E52" s="3812">
        <v>16</v>
      </c>
      <c r="F52" s="3813">
        <v>9.8000000000000007</v>
      </c>
      <c r="G52" s="3813">
        <v>1</v>
      </c>
      <c r="H52" s="3813">
        <v>4.2</v>
      </c>
      <c r="I52" s="3815">
        <f t="shared" si="0"/>
        <v>57232.000000000007</v>
      </c>
      <c r="J52" s="3815">
        <f t="shared" si="1"/>
        <v>9030.0999999999985</v>
      </c>
      <c r="K52" s="3815">
        <f t="shared" si="1"/>
        <v>24528</v>
      </c>
      <c r="L52" s="3815">
        <f t="shared" si="2"/>
        <v>90790.1</v>
      </c>
      <c r="M52" s="3816"/>
      <c r="N52" s="3817"/>
      <c r="P52" s="3834">
        <f t="shared" si="3"/>
        <v>10.054163298302345</v>
      </c>
    </row>
    <row r="53" spans="2:16" s="3842" customFormat="1">
      <c r="B53" s="3847" t="s">
        <v>3563</v>
      </c>
      <c r="C53" s="3847" t="s">
        <v>3564</v>
      </c>
      <c r="D53" s="3837">
        <v>198</v>
      </c>
      <c r="E53" s="3837">
        <v>132</v>
      </c>
      <c r="F53" s="3838">
        <v>10.08</v>
      </c>
      <c r="G53" s="3838">
        <v>0.5</v>
      </c>
      <c r="H53" s="3838">
        <v>1.92</v>
      </c>
      <c r="I53" s="3839">
        <f t="shared" si="0"/>
        <v>485654.39999999997</v>
      </c>
      <c r="J53" s="3839">
        <f t="shared" si="1"/>
        <v>36135</v>
      </c>
      <c r="K53" s="3839">
        <f t="shared" si="1"/>
        <v>92505.600000000006</v>
      </c>
      <c r="L53" s="3839">
        <f t="shared" si="2"/>
        <v>614295</v>
      </c>
      <c r="M53" s="3840"/>
      <c r="N53" s="3845">
        <v>153153.80000000002</v>
      </c>
      <c r="P53" s="3843">
        <f t="shared" si="3"/>
        <v>8.5</v>
      </c>
    </row>
    <row r="54" spans="2:16" s="3842" customFormat="1">
      <c r="B54" s="3847" t="s">
        <v>3565</v>
      </c>
      <c r="C54" s="3847" t="s">
        <v>3566</v>
      </c>
      <c r="D54" s="3837">
        <v>92.76</v>
      </c>
      <c r="E54" s="3837">
        <v>60</v>
      </c>
      <c r="F54" s="3838"/>
      <c r="G54" s="3838">
        <v>0.5</v>
      </c>
      <c r="H54" s="3838">
        <v>10.5</v>
      </c>
      <c r="I54" s="3839">
        <f t="shared" si="0"/>
        <v>0</v>
      </c>
      <c r="J54" s="3839">
        <f t="shared" si="1"/>
        <v>16928.7</v>
      </c>
      <c r="K54" s="3839">
        <f t="shared" si="1"/>
        <v>229950</v>
      </c>
      <c r="L54" s="3839">
        <f t="shared" si="2"/>
        <v>246878.7</v>
      </c>
      <c r="M54" s="3840"/>
      <c r="N54" s="3841"/>
      <c r="P54" s="3843">
        <f t="shared" si="3"/>
        <v>7.2917205692108666</v>
      </c>
    </row>
    <row r="55" spans="2:16">
      <c r="B55" s="3811" t="s">
        <v>3567</v>
      </c>
      <c r="C55" s="3811" t="s">
        <v>3568</v>
      </c>
      <c r="D55" s="3812">
        <v>223.2</v>
      </c>
      <c r="E55" s="3812">
        <v>150</v>
      </c>
      <c r="F55" s="3813">
        <v>3.78</v>
      </c>
      <c r="G55" s="3813">
        <v>0.5</v>
      </c>
      <c r="H55" s="3813">
        <v>1.62</v>
      </c>
      <c r="I55" s="3815">
        <f t="shared" si="0"/>
        <v>206955</v>
      </c>
      <c r="J55" s="3815">
        <f t="shared" si="1"/>
        <v>40734</v>
      </c>
      <c r="K55" s="3815">
        <f t="shared" si="1"/>
        <v>88695.000000000015</v>
      </c>
      <c r="L55" s="3815">
        <f t="shared" si="2"/>
        <v>336384</v>
      </c>
      <c r="M55" s="3816"/>
      <c r="N55" s="3819">
        <v>80535</v>
      </c>
      <c r="P55" s="3834">
        <f t="shared" si="3"/>
        <v>4.1290322580645169</v>
      </c>
    </row>
    <row r="56" spans="2:16" s="3842" customFormat="1">
      <c r="B56" s="3847" t="s">
        <v>3569</v>
      </c>
      <c r="C56" s="3847" t="s">
        <v>3570</v>
      </c>
      <c r="D56" s="3837">
        <v>428.5</v>
      </c>
      <c r="E56" s="3837">
        <v>288</v>
      </c>
      <c r="F56" s="3838">
        <v>4.79</v>
      </c>
      <c r="G56" s="3838">
        <v>0.3</v>
      </c>
      <c r="H56" s="3838">
        <v>0.91</v>
      </c>
      <c r="I56" s="3839">
        <f t="shared" si="0"/>
        <v>503524.8</v>
      </c>
      <c r="J56" s="3839">
        <f t="shared" si="1"/>
        <v>46920.749999999993</v>
      </c>
      <c r="K56" s="3839">
        <f t="shared" si="1"/>
        <v>95659.199999999997</v>
      </c>
      <c r="L56" s="3839">
        <f t="shared" si="2"/>
        <v>646104.74999999988</v>
      </c>
      <c r="M56" s="3840"/>
      <c r="N56" s="3841"/>
      <c r="P56" s="3843">
        <f t="shared" si="3"/>
        <v>4.1310385064177355</v>
      </c>
    </row>
    <row r="57" spans="2:16">
      <c r="B57" s="3811" t="s">
        <v>3571</v>
      </c>
      <c r="C57" s="3811" t="s">
        <v>3572</v>
      </c>
      <c r="D57" s="3812">
        <v>224.17</v>
      </c>
      <c r="E57" s="3812">
        <v>145</v>
      </c>
      <c r="F57" s="3813">
        <v>3.85</v>
      </c>
      <c r="G57" s="3813">
        <v>1</v>
      </c>
      <c r="H57" s="3813">
        <v>1.65</v>
      </c>
      <c r="I57" s="3815">
        <f t="shared" si="0"/>
        <v>203761.25</v>
      </c>
      <c r="J57" s="3815">
        <f t="shared" si="1"/>
        <v>81822.049999999988</v>
      </c>
      <c r="K57" s="3815">
        <f t="shared" si="1"/>
        <v>87326.25</v>
      </c>
      <c r="L57" s="3815">
        <f t="shared" si="2"/>
        <v>372909.55</v>
      </c>
      <c r="M57" s="3816"/>
      <c r="N57" s="3817"/>
      <c r="P57" s="3834">
        <f t="shared" si="3"/>
        <v>4.5575679172056924</v>
      </c>
    </row>
    <row r="58" spans="2:16">
      <c r="B58" s="3811" t="s">
        <v>3573</v>
      </c>
      <c r="C58" s="3811" t="s">
        <v>3574</v>
      </c>
      <c r="D58" s="3812">
        <v>23.81</v>
      </c>
      <c r="E58" s="3812">
        <v>16</v>
      </c>
      <c r="F58" s="3813">
        <v>14</v>
      </c>
      <c r="G58" s="3813">
        <v>1</v>
      </c>
      <c r="H58" s="3813">
        <v>6</v>
      </c>
      <c r="I58" s="3815">
        <f t="shared" si="0"/>
        <v>81760</v>
      </c>
      <c r="J58" s="3815">
        <f t="shared" si="1"/>
        <v>8690.65</v>
      </c>
      <c r="K58" s="3815">
        <f t="shared" si="1"/>
        <v>35040</v>
      </c>
      <c r="L58" s="3815">
        <f t="shared" si="2"/>
        <v>125490.65</v>
      </c>
      <c r="M58" s="3816"/>
      <c r="N58" s="3817"/>
      <c r="P58" s="3834">
        <f t="shared" si="3"/>
        <v>14.439731205375892</v>
      </c>
    </row>
    <row r="59" spans="2:16">
      <c r="B59" s="3811" t="s">
        <v>3575</v>
      </c>
      <c r="C59" s="3811" t="s">
        <v>3576</v>
      </c>
      <c r="D59" s="3812">
        <v>81.84</v>
      </c>
      <c r="E59" s="3812">
        <v>42</v>
      </c>
      <c r="F59" s="3813"/>
      <c r="G59" s="3813">
        <v>0.6</v>
      </c>
      <c r="H59" s="3813">
        <v>5.9</v>
      </c>
      <c r="I59" s="3815">
        <f t="shared" si="0"/>
        <v>0</v>
      </c>
      <c r="J59" s="3815">
        <f t="shared" si="1"/>
        <v>17922.96</v>
      </c>
      <c r="K59" s="3815">
        <f t="shared" si="1"/>
        <v>90447</v>
      </c>
      <c r="L59" s="3815">
        <f t="shared" si="2"/>
        <v>108369.95999999999</v>
      </c>
      <c r="M59" s="3816"/>
      <c r="N59" s="3817"/>
      <c r="P59" s="3834">
        <f t="shared" si="3"/>
        <v>3.6278592375366565</v>
      </c>
    </row>
    <row r="60" spans="2:16">
      <c r="B60" s="3811" t="s">
        <v>3577</v>
      </c>
      <c r="C60" s="3811" t="s">
        <v>3578</v>
      </c>
      <c r="D60" s="3812">
        <v>44.64</v>
      </c>
      <c r="E60" s="3812">
        <v>30</v>
      </c>
      <c r="F60" s="3813">
        <v>4.9000000000000004</v>
      </c>
      <c r="G60" s="3813">
        <v>0.5</v>
      </c>
      <c r="H60" s="3813">
        <v>2.1</v>
      </c>
      <c r="I60" s="3815">
        <f t="shared" si="0"/>
        <v>53655</v>
      </c>
      <c r="J60" s="3815">
        <f t="shared" si="1"/>
        <v>8146.8</v>
      </c>
      <c r="K60" s="3815">
        <f t="shared" si="1"/>
        <v>22995</v>
      </c>
      <c r="L60" s="3815">
        <f t="shared" si="2"/>
        <v>84796.800000000003</v>
      </c>
      <c r="M60" s="3816"/>
      <c r="N60" s="3817"/>
      <c r="P60" s="3834">
        <f t="shared" si="3"/>
        <v>5.204301075268817</v>
      </c>
    </row>
    <row r="61" spans="2:16">
      <c r="B61" s="3825" t="s">
        <v>3579</v>
      </c>
      <c r="C61" s="3811" t="s">
        <v>3580</v>
      </c>
      <c r="D61" s="3812">
        <v>37.200000000000003</v>
      </c>
      <c r="E61" s="3812">
        <v>25</v>
      </c>
      <c r="F61" s="3813">
        <v>4.79</v>
      </c>
      <c r="G61" s="3813">
        <v>0.6</v>
      </c>
      <c r="H61" s="3813">
        <v>0.91</v>
      </c>
      <c r="I61" s="3815">
        <f t="shared" si="0"/>
        <v>43708.75</v>
      </c>
      <c r="J61" s="3815">
        <f t="shared" si="1"/>
        <v>8146.8</v>
      </c>
      <c r="K61" s="3815">
        <f t="shared" si="1"/>
        <v>8303.75</v>
      </c>
      <c r="L61" s="3815">
        <f t="shared" si="2"/>
        <v>60159.3</v>
      </c>
      <c r="M61" s="3816"/>
      <c r="N61" s="3817"/>
      <c r="P61" s="3834">
        <f t="shared" si="3"/>
        <v>4.4306451612903226</v>
      </c>
    </row>
    <row r="62" spans="2:16" s="3842" customFormat="1">
      <c r="B62" s="3847" t="s">
        <v>3581</v>
      </c>
      <c r="C62" s="3847" t="s">
        <v>3582</v>
      </c>
      <c r="D62" s="3837">
        <v>389.06</v>
      </c>
      <c r="E62" s="3837">
        <v>270</v>
      </c>
      <c r="F62" s="3838">
        <v>3.85</v>
      </c>
      <c r="G62" s="3838">
        <v>1</v>
      </c>
      <c r="H62" s="3838">
        <v>1.65</v>
      </c>
      <c r="I62" s="3839">
        <f t="shared" si="0"/>
        <v>379417.5</v>
      </c>
      <c r="J62" s="3839">
        <f t="shared" si="1"/>
        <v>142006.9</v>
      </c>
      <c r="K62" s="3839">
        <f t="shared" si="1"/>
        <v>162607.5</v>
      </c>
      <c r="L62" s="3839">
        <f t="shared" si="2"/>
        <v>684031.9</v>
      </c>
      <c r="M62" s="3840"/>
      <c r="N62" s="3841"/>
      <c r="P62" s="3843">
        <f t="shared" si="3"/>
        <v>4.8168919960931484</v>
      </c>
    </row>
    <row r="63" spans="2:16">
      <c r="B63" s="3811" t="s">
        <v>3583</v>
      </c>
      <c r="C63" s="3811" t="s">
        <v>3584</v>
      </c>
      <c r="D63" s="3812">
        <v>72.66</v>
      </c>
      <c r="E63" s="3812">
        <v>47</v>
      </c>
      <c r="F63" s="3813">
        <v>5.25</v>
      </c>
      <c r="G63" s="3813">
        <v>0.5</v>
      </c>
      <c r="H63" s="3813">
        <v>2.25</v>
      </c>
      <c r="I63" s="3815">
        <f t="shared" si="0"/>
        <v>90063.75</v>
      </c>
      <c r="J63" s="3815">
        <f t="shared" si="1"/>
        <v>13260.449999999999</v>
      </c>
      <c r="K63" s="3815">
        <f t="shared" si="1"/>
        <v>38598.75</v>
      </c>
      <c r="L63" s="3815">
        <f t="shared" si="2"/>
        <v>141922.95000000001</v>
      </c>
      <c r="M63" s="3816"/>
      <c r="N63" s="3817"/>
      <c r="P63" s="3834">
        <f t="shared" si="3"/>
        <v>5.3513625103220486</v>
      </c>
    </row>
    <row r="64" spans="2:16" s="3842" customFormat="1">
      <c r="B64" s="3847" t="s">
        <v>3585</v>
      </c>
      <c r="C64" s="3847" t="s">
        <v>3586</v>
      </c>
      <c r="D64" s="3837">
        <v>767.86</v>
      </c>
      <c r="E64" s="3837">
        <v>446.57</v>
      </c>
      <c r="F64" s="3838">
        <v>4.2</v>
      </c>
      <c r="G64" s="3838">
        <v>0.5</v>
      </c>
      <c r="H64" s="3838">
        <v>0.8</v>
      </c>
      <c r="I64" s="3839">
        <f t="shared" si="0"/>
        <v>684591.81</v>
      </c>
      <c r="J64" s="3839">
        <f t="shared" si="1"/>
        <v>140134.45000000001</v>
      </c>
      <c r="K64" s="3839">
        <f t="shared" si="1"/>
        <v>130398.44000000002</v>
      </c>
      <c r="L64" s="3839">
        <f t="shared" si="2"/>
        <v>955124.70000000007</v>
      </c>
      <c r="M64" s="3840"/>
      <c r="N64" s="3841"/>
      <c r="P64" s="3843">
        <f t="shared" si="3"/>
        <v>3.4078868543744951</v>
      </c>
    </row>
    <row r="65" spans="2:16">
      <c r="B65" s="3811" t="s">
        <v>3587</v>
      </c>
      <c r="C65" s="3811" t="s">
        <v>3588</v>
      </c>
      <c r="D65" s="3812">
        <v>44.64</v>
      </c>
      <c r="E65" s="3812">
        <v>30</v>
      </c>
      <c r="F65" s="3813"/>
      <c r="G65" s="3813">
        <v>0.5</v>
      </c>
      <c r="H65" s="3813">
        <v>8</v>
      </c>
      <c r="I65" s="3815">
        <f t="shared" si="0"/>
        <v>0</v>
      </c>
      <c r="J65" s="3815">
        <f t="shared" si="1"/>
        <v>8146.8</v>
      </c>
      <c r="K65" s="3815">
        <f t="shared" si="1"/>
        <v>87600</v>
      </c>
      <c r="L65" s="3815">
        <f t="shared" si="2"/>
        <v>95746.8</v>
      </c>
      <c r="M65" s="3816"/>
      <c r="N65" s="3817"/>
      <c r="P65" s="3834">
        <f t="shared" si="3"/>
        <v>5.8763440860215059</v>
      </c>
    </row>
    <row r="66" spans="2:16" s="3842" customFormat="1">
      <c r="B66" s="3847" t="s">
        <v>3589</v>
      </c>
      <c r="C66" s="3847" t="s">
        <v>3590</v>
      </c>
      <c r="D66" s="3837">
        <v>96.72</v>
      </c>
      <c r="E66" s="3837">
        <v>65</v>
      </c>
      <c r="F66" s="3838" t="s">
        <v>3591</v>
      </c>
      <c r="G66" s="3838" t="s">
        <v>3592</v>
      </c>
      <c r="H66" s="3838" t="s">
        <v>3593</v>
      </c>
      <c r="I66" s="3839">
        <f>9555*12</f>
        <v>114660</v>
      </c>
      <c r="J66" s="3839">
        <f>2100*12</f>
        <v>25200</v>
      </c>
      <c r="K66" s="3839">
        <f>4095*12</f>
        <v>49140</v>
      </c>
      <c r="L66" s="3839">
        <f t="shared" si="2"/>
        <v>189000</v>
      </c>
      <c r="M66" s="3840"/>
      <c r="N66" s="3841"/>
      <c r="P66" s="3843">
        <f t="shared" si="3"/>
        <v>5.3536829939834805</v>
      </c>
    </row>
    <row r="67" spans="2:16">
      <c r="B67" s="3811" t="s">
        <v>3594</v>
      </c>
      <c r="C67" s="3811" t="s">
        <v>3595</v>
      </c>
      <c r="D67" s="3812">
        <v>44.64</v>
      </c>
      <c r="E67" s="3812">
        <v>30</v>
      </c>
      <c r="F67" s="3813">
        <v>5.2</v>
      </c>
      <c r="G67" s="3813">
        <v>0.6</v>
      </c>
      <c r="H67" s="3813">
        <v>2.2000000000000002</v>
      </c>
      <c r="I67" s="3815">
        <f t="shared" si="0"/>
        <v>56940</v>
      </c>
      <c r="J67" s="3815">
        <f t="shared" si="1"/>
        <v>9776.16</v>
      </c>
      <c r="K67" s="3815">
        <f t="shared" si="1"/>
        <v>24090</v>
      </c>
      <c r="L67" s="3815">
        <f t="shared" si="2"/>
        <v>90806.16</v>
      </c>
      <c r="M67" s="3816"/>
      <c r="N67" s="3817"/>
      <c r="P67" s="3834">
        <f t="shared" si="3"/>
        <v>5.5731182795698926</v>
      </c>
    </row>
    <row r="68" spans="2:16" s="3842" customFormat="1">
      <c r="B68" s="3847" t="s">
        <v>3596</v>
      </c>
      <c r="C68" s="3847" t="s">
        <v>3597</v>
      </c>
      <c r="D68" s="3837">
        <v>89.28</v>
      </c>
      <c r="E68" s="3837">
        <v>60</v>
      </c>
      <c r="F68" s="3838">
        <v>6.65</v>
      </c>
      <c r="G68" s="3838">
        <v>0.5</v>
      </c>
      <c r="H68" s="3838">
        <v>2.85</v>
      </c>
      <c r="I68" s="3839">
        <f t="shared" si="0"/>
        <v>145635</v>
      </c>
      <c r="J68" s="3839">
        <f t="shared" ref="J68:K112" si="4">G68*D68*365</f>
        <v>16293.6</v>
      </c>
      <c r="K68" s="3839">
        <f t="shared" si="4"/>
        <v>62415</v>
      </c>
      <c r="L68" s="3839">
        <f t="shared" si="2"/>
        <v>224343.6</v>
      </c>
      <c r="M68" s="3840"/>
      <c r="N68" s="3841"/>
      <c r="P68" s="3843">
        <f t="shared" si="3"/>
        <v>6.8844086021505371</v>
      </c>
    </row>
    <row r="69" spans="2:16">
      <c r="B69" s="3811" t="s">
        <v>3598</v>
      </c>
      <c r="C69" s="3811" t="s">
        <v>3599</v>
      </c>
      <c r="D69" s="3812">
        <v>181.84</v>
      </c>
      <c r="E69" s="3812">
        <v>122.17</v>
      </c>
      <c r="F69" s="3813">
        <v>5.39</v>
      </c>
      <c r="G69" s="3813">
        <v>0.5</v>
      </c>
      <c r="H69" s="3813">
        <v>2.31</v>
      </c>
      <c r="I69" s="3815">
        <f t="shared" ref="I69:I113" si="5">F69*E69*365</f>
        <v>240351.1495</v>
      </c>
      <c r="J69" s="3815">
        <f t="shared" si="4"/>
        <v>33185.800000000003</v>
      </c>
      <c r="K69" s="3815">
        <f t="shared" si="4"/>
        <v>103007.63549999999</v>
      </c>
      <c r="L69" s="3815">
        <f t="shared" ref="L69:L113" si="6">SUM(I69:K69)</f>
        <v>376544.58499999996</v>
      </c>
      <c r="M69" s="3816"/>
      <c r="N69" s="3819">
        <v>62929.340000000004</v>
      </c>
      <c r="P69" s="3834">
        <f t="shared" ref="P69:P113" si="7">L69/D69/365</f>
        <v>5.6732787065552124</v>
      </c>
    </row>
    <row r="70" spans="2:16" s="3842" customFormat="1">
      <c r="B70" s="3847" t="s">
        <v>3600</v>
      </c>
      <c r="C70" s="3847" t="s">
        <v>3601</v>
      </c>
      <c r="D70" s="3837">
        <v>30.92</v>
      </c>
      <c r="E70" s="3837">
        <v>20</v>
      </c>
      <c r="F70" s="3838">
        <v>11.2</v>
      </c>
      <c r="G70" s="3838">
        <v>1</v>
      </c>
      <c r="H70" s="3838">
        <v>4.8</v>
      </c>
      <c r="I70" s="3839">
        <f t="shared" si="5"/>
        <v>81760</v>
      </c>
      <c r="J70" s="3839">
        <f t="shared" si="4"/>
        <v>11285.800000000001</v>
      </c>
      <c r="K70" s="3839">
        <f t="shared" si="4"/>
        <v>35040</v>
      </c>
      <c r="L70" s="3839">
        <f t="shared" si="6"/>
        <v>128085.8</v>
      </c>
      <c r="M70" s="3840"/>
      <c r="N70" s="3841"/>
      <c r="P70" s="3843">
        <f t="shared" si="7"/>
        <v>11.349288486416558</v>
      </c>
    </row>
    <row r="71" spans="2:16" s="3842" customFormat="1">
      <c r="B71" s="3847" t="s">
        <v>3602</v>
      </c>
      <c r="C71" s="3847" t="s">
        <v>3603</v>
      </c>
      <c r="D71" s="3837">
        <v>226.18</v>
      </c>
      <c r="E71" s="3837">
        <v>152</v>
      </c>
      <c r="F71" s="3838">
        <v>5.6</v>
      </c>
      <c r="G71" s="3838">
        <v>1</v>
      </c>
      <c r="H71" s="3838">
        <v>2.4</v>
      </c>
      <c r="I71" s="3839">
        <f t="shared" si="5"/>
        <v>310688</v>
      </c>
      <c r="J71" s="3839">
        <f t="shared" si="4"/>
        <v>82555.7</v>
      </c>
      <c r="K71" s="3839">
        <f t="shared" si="4"/>
        <v>133152</v>
      </c>
      <c r="L71" s="3839">
        <f t="shared" si="6"/>
        <v>526395.69999999995</v>
      </c>
      <c r="M71" s="3840"/>
      <c r="N71" s="3841"/>
      <c r="P71" s="3843">
        <f t="shared" si="7"/>
        <v>6.3762490052170833</v>
      </c>
    </row>
    <row r="72" spans="2:16">
      <c r="B72" s="3811" t="s">
        <v>3604</v>
      </c>
      <c r="C72" s="3811" t="s">
        <v>3605</v>
      </c>
      <c r="D72" s="3812">
        <v>92.33</v>
      </c>
      <c r="E72" s="3812">
        <v>62.03</v>
      </c>
      <c r="F72" s="3813">
        <v>3.99</v>
      </c>
      <c r="G72" s="3813">
        <v>0.7</v>
      </c>
      <c r="H72" s="3813">
        <v>1.71</v>
      </c>
      <c r="I72" s="3815">
        <f t="shared" si="5"/>
        <v>90337.390500000009</v>
      </c>
      <c r="J72" s="3815">
        <f t="shared" si="4"/>
        <v>23590.314999999999</v>
      </c>
      <c r="K72" s="3815">
        <f t="shared" si="4"/>
        <v>38716.0245</v>
      </c>
      <c r="L72" s="3815">
        <f t="shared" si="6"/>
        <v>152643.73000000001</v>
      </c>
      <c r="M72" s="3816"/>
      <c r="N72" s="3817"/>
      <c r="P72" s="3834">
        <f t="shared" si="7"/>
        <v>4.5294270551283446</v>
      </c>
    </row>
    <row r="73" spans="2:16" s="3842" customFormat="1">
      <c r="B73" s="3835" t="s">
        <v>3606</v>
      </c>
      <c r="C73" s="3836" t="s">
        <v>3607</v>
      </c>
      <c r="D73" s="3837">
        <v>286.02</v>
      </c>
      <c r="E73" s="3837">
        <v>192.22</v>
      </c>
      <c r="F73" s="3838">
        <v>2.1</v>
      </c>
      <c r="G73" s="3838">
        <v>0.5</v>
      </c>
      <c r="H73" s="3838">
        <v>0.9</v>
      </c>
      <c r="I73" s="3839">
        <f t="shared" si="5"/>
        <v>147336.63</v>
      </c>
      <c r="J73" s="3839">
        <f t="shared" si="4"/>
        <v>52198.649999999994</v>
      </c>
      <c r="K73" s="3839">
        <f t="shared" si="4"/>
        <v>63144.27</v>
      </c>
      <c r="L73" s="3839">
        <f t="shared" si="6"/>
        <v>262679.55</v>
      </c>
      <c r="M73" s="3840"/>
      <c r="N73" s="3841"/>
      <c r="P73" s="3843">
        <f t="shared" si="7"/>
        <v>2.5161527165932451</v>
      </c>
    </row>
    <row r="74" spans="2:16">
      <c r="B74" s="3823" t="s">
        <v>3608</v>
      </c>
      <c r="C74" s="3811" t="s">
        <v>3609</v>
      </c>
      <c r="D74" s="3812">
        <v>37.200000000000003</v>
      </c>
      <c r="E74" s="3812">
        <v>25</v>
      </c>
      <c r="F74" s="3813">
        <v>5.6</v>
      </c>
      <c r="G74" s="3813">
        <v>1</v>
      </c>
      <c r="H74" s="3813">
        <v>2.4</v>
      </c>
      <c r="I74" s="3815">
        <f t="shared" si="5"/>
        <v>51100</v>
      </c>
      <c r="J74" s="3815">
        <f t="shared" si="4"/>
        <v>13578.000000000002</v>
      </c>
      <c r="K74" s="3815">
        <f t="shared" si="4"/>
        <v>21900</v>
      </c>
      <c r="L74" s="3815">
        <f t="shared" si="6"/>
        <v>86578</v>
      </c>
      <c r="M74" s="3816"/>
      <c r="N74" s="3817"/>
      <c r="P74" s="3834">
        <f t="shared" si="7"/>
        <v>6.3763440860215042</v>
      </c>
    </row>
    <row r="75" spans="2:16" s="3842" customFormat="1">
      <c r="B75" s="3835" t="s">
        <v>3610</v>
      </c>
      <c r="C75" s="3836" t="s">
        <v>3611</v>
      </c>
      <c r="D75" s="3837">
        <v>305</v>
      </c>
      <c r="E75" s="3837">
        <v>205</v>
      </c>
      <c r="F75" s="3838">
        <v>2.8</v>
      </c>
      <c r="G75" s="3838">
        <v>1</v>
      </c>
      <c r="H75" s="3838">
        <v>1.2</v>
      </c>
      <c r="I75" s="3839">
        <f t="shared" si="5"/>
        <v>209510</v>
      </c>
      <c r="J75" s="3839">
        <f t="shared" si="4"/>
        <v>111325</v>
      </c>
      <c r="K75" s="3839">
        <f t="shared" si="4"/>
        <v>89790</v>
      </c>
      <c r="L75" s="3839">
        <f t="shared" si="6"/>
        <v>410625</v>
      </c>
      <c r="M75" s="3840"/>
      <c r="N75" s="3841"/>
      <c r="P75" s="3843">
        <f t="shared" si="7"/>
        <v>3.6885245901639343</v>
      </c>
    </row>
    <row r="76" spans="2:16" s="3842" customFormat="1">
      <c r="B76" s="3836" t="s">
        <v>3612</v>
      </c>
      <c r="C76" s="3836" t="s">
        <v>3613</v>
      </c>
      <c r="D76" s="3837">
        <v>42.64</v>
      </c>
      <c r="E76" s="3837">
        <v>35</v>
      </c>
      <c r="F76" s="3838">
        <v>12.6</v>
      </c>
      <c r="G76" s="3838">
        <v>1</v>
      </c>
      <c r="H76" s="3838">
        <v>5.4</v>
      </c>
      <c r="I76" s="3839">
        <f t="shared" si="5"/>
        <v>160965</v>
      </c>
      <c r="J76" s="3839">
        <f t="shared" si="4"/>
        <v>15563.6</v>
      </c>
      <c r="K76" s="3839">
        <f t="shared" si="4"/>
        <v>68985</v>
      </c>
      <c r="L76" s="3839">
        <f t="shared" si="6"/>
        <v>245513.60000000001</v>
      </c>
      <c r="M76" s="3844"/>
      <c r="N76" s="3845">
        <v>74102.880000000005</v>
      </c>
      <c r="P76" s="3843">
        <f t="shared" si="7"/>
        <v>15.77485928705441</v>
      </c>
    </row>
    <row r="77" spans="2:16" s="3842" customFormat="1">
      <c r="B77" s="3835" t="s">
        <v>3614</v>
      </c>
      <c r="C77" s="3836" t="s">
        <v>3615</v>
      </c>
      <c r="D77" s="3837">
        <v>153.26</v>
      </c>
      <c r="E77" s="3837">
        <v>103</v>
      </c>
      <c r="F77" s="3838">
        <v>10.5</v>
      </c>
      <c r="G77" s="3838">
        <v>1</v>
      </c>
      <c r="H77" s="3838">
        <v>4.5</v>
      </c>
      <c r="I77" s="3839">
        <f t="shared" si="5"/>
        <v>394747.5</v>
      </c>
      <c r="J77" s="3839">
        <f t="shared" si="4"/>
        <v>55939.899999999994</v>
      </c>
      <c r="K77" s="3839">
        <f t="shared" si="4"/>
        <v>169177.5</v>
      </c>
      <c r="L77" s="3839">
        <f t="shared" si="6"/>
        <v>619864.9</v>
      </c>
      <c r="M77" s="3844"/>
      <c r="N77" s="3845">
        <v>285348.71999999997</v>
      </c>
      <c r="P77" s="3843">
        <f t="shared" si="7"/>
        <v>11.080908260472402</v>
      </c>
    </row>
    <row r="78" spans="2:16">
      <c r="B78" s="3811" t="s">
        <v>3616</v>
      </c>
      <c r="C78" s="3811" t="s">
        <v>3617</v>
      </c>
      <c r="D78" s="3812">
        <v>297.60000000000002</v>
      </c>
      <c r="E78" s="3812">
        <v>200</v>
      </c>
      <c r="F78" s="3813">
        <v>3.15</v>
      </c>
      <c r="G78" s="3813">
        <v>0.5</v>
      </c>
      <c r="H78" s="3813">
        <v>1.35</v>
      </c>
      <c r="I78" s="3815">
        <f t="shared" si="5"/>
        <v>229950</v>
      </c>
      <c r="J78" s="3815">
        <f t="shared" si="4"/>
        <v>54312.000000000007</v>
      </c>
      <c r="K78" s="3815">
        <f t="shared" si="4"/>
        <v>98550</v>
      </c>
      <c r="L78" s="3815">
        <f t="shared" si="6"/>
        <v>382812</v>
      </c>
      <c r="M78" s="3816"/>
      <c r="N78" s="3817"/>
      <c r="P78" s="3834">
        <f t="shared" si="7"/>
        <v>3.5241935483870965</v>
      </c>
    </row>
    <row r="79" spans="2:16">
      <c r="B79" s="3811" t="s">
        <v>3618</v>
      </c>
      <c r="C79" s="3811" t="s">
        <v>3619</v>
      </c>
      <c r="D79" s="3812">
        <v>267.24</v>
      </c>
      <c r="E79" s="3812">
        <v>179.6</v>
      </c>
      <c r="F79" s="3813">
        <v>5.1100000000000003</v>
      </c>
      <c r="G79" s="3813">
        <v>0.5</v>
      </c>
      <c r="H79" s="3813">
        <v>2.19</v>
      </c>
      <c r="I79" s="3815">
        <f t="shared" si="5"/>
        <v>334980.94</v>
      </c>
      <c r="J79" s="3815">
        <f t="shared" si="4"/>
        <v>48771.3</v>
      </c>
      <c r="K79" s="3815">
        <f t="shared" si="4"/>
        <v>143563.25999999998</v>
      </c>
      <c r="L79" s="3815">
        <f t="shared" si="6"/>
        <v>527315.5</v>
      </c>
      <c r="M79" s="3816"/>
      <c r="N79" s="3817"/>
      <c r="P79" s="3834">
        <f t="shared" si="7"/>
        <v>5.4060020954946859</v>
      </c>
    </row>
    <row r="80" spans="2:16">
      <c r="B80" s="3811" t="s">
        <v>3620</v>
      </c>
      <c r="C80" s="3811" t="s">
        <v>3621</v>
      </c>
      <c r="D80" s="3812">
        <v>174.1</v>
      </c>
      <c r="E80" s="3812">
        <v>117</v>
      </c>
      <c r="F80" s="3813">
        <v>2.94</v>
      </c>
      <c r="G80" s="3813">
        <v>0.6</v>
      </c>
      <c r="H80" s="3813">
        <v>1.26</v>
      </c>
      <c r="I80" s="3815">
        <f t="shared" si="5"/>
        <v>125552.70000000001</v>
      </c>
      <c r="J80" s="3815">
        <f t="shared" si="4"/>
        <v>38127.899999999994</v>
      </c>
      <c r="K80" s="3815">
        <f t="shared" si="4"/>
        <v>53808.299999999996</v>
      </c>
      <c r="L80" s="3815">
        <f t="shared" si="6"/>
        <v>217488.9</v>
      </c>
      <c r="M80" s="3816"/>
      <c r="N80" s="3817"/>
      <c r="P80" s="3834">
        <f t="shared" si="7"/>
        <v>3.422515795519816</v>
      </c>
    </row>
    <row r="81" spans="1:16" s="3848" customFormat="1">
      <c r="B81" s="3835" t="s">
        <v>3622</v>
      </c>
      <c r="C81" s="3836" t="s">
        <v>3623</v>
      </c>
      <c r="D81" s="3837">
        <v>76.25</v>
      </c>
      <c r="E81" s="3837">
        <v>49.21</v>
      </c>
      <c r="F81" s="3838">
        <v>9.8000000000000007</v>
      </c>
      <c r="G81" s="3838">
        <v>1</v>
      </c>
      <c r="H81" s="3838">
        <v>4.2</v>
      </c>
      <c r="I81" s="3839">
        <f t="shared" si="5"/>
        <v>176024.17</v>
      </c>
      <c r="J81" s="3839">
        <f t="shared" si="4"/>
        <v>27831.25</v>
      </c>
      <c r="K81" s="3839">
        <f t="shared" si="4"/>
        <v>75438.930000000008</v>
      </c>
      <c r="L81" s="3839">
        <f t="shared" si="6"/>
        <v>279294.35000000003</v>
      </c>
      <c r="M81" s="3840"/>
      <c r="N81" s="3841"/>
      <c r="P81" s="3843">
        <f t="shared" si="7"/>
        <v>10.03527868852459</v>
      </c>
    </row>
    <row r="82" spans="1:16">
      <c r="B82" s="3811" t="s">
        <v>3624</v>
      </c>
      <c r="C82" s="3811" t="s">
        <v>3625</v>
      </c>
      <c r="D82" s="3812">
        <v>308.08999999999997</v>
      </c>
      <c r="E82" s="3812">
        <v>207</v>
      </c>
      <c r="F82" s="3813">
        <v>4.41</v>
      </c>
      <c r="G82" s="3813">
        <v>0.5</v>
      </c>
      <c r="H82" s="3813">
        <v>1.89</v>
      </c>
      <c r="I82" s="3815">
        <f t="shared" si="5"/>
        <v>333197.55</v>
      </c>
      <c r="J82" s="3815">
        <f t="shared" si="4"/>
        <v>56226.424999999996</v>
      </c>
      <c r="K82" s="3815">
        <f t="shared" si="4"/>
        <v>142798.94999999998</v>
      </c>
      <c r="L82" s="3815">
        <f t="shared" si="6"/>
        <v>532222.92499999993</v>
      </c>
      <c r="M82" s="3816"/>
      <c r="N82" s="3817"/>
      <c r="P82" s="3834">
        <f t="shared" si="7"/>
        <v>4.7328540361582654</v>
      </c>
    </row>
    <row r="83" spans="1:16">
      <c r="B83" s="3811" t="s">
        <v>3626</v>
      </c>
      <c r="C83" s="3811" t="s">
        <v>3627</v>
      </c>
      <c r="D83" s="3812">
        <v>89.28</v>
      </c>
      <c r="E83" s="3812">
        <v>60</v>
      </c>
      <c r="F83" s="3813"/>
      <c r="G83" s="3813">
        <v>0.5</v>
      </c>
      <c r="H83" s="3813">
        <v>7.5</v>
      </c>
      <c r="I83" s="3815">
        <f t="shared" si="5"/>
        <v>0</v>
      </c>
      <c r="J83" s="3815">
        <f t="shared" si="4"/>
        <v>16293.6</v>
      </c>
      <c r="K83" s="3815">
        <f t="shared" si="4"/>
        <v>164250</v>
      </c>
      <c r="L83" s="3815">
        <f t="shared" si="6"/>
        <v>180543.6</v>
      </c>
      <c r="M83" s="3816"/>
      <c r="N83" s="3817"/>
      <c r="P83" s="3834">
        <f t="shared" si="7"/>
        <v>5.540322580645161</v>
      </c>
    </row>
    <row r="84" spans="1:16" s="3848" customFormat="1">
      <c r="B84" s="3835" t="s">
        <v>3628</v>
      </c>
      <c r="C84" s="3836" t="s">
        <v>3629</v>
      </c>
      <c r="D84" s="3837">
        <v>380.93</v>
      </c>
      <c r="E84" s="3837">
        <v>256</v>
      </c>
      <c r="F84" s="3838" t="s">
        <v>3630</v>
      </c>
      <c r="G84" s="3838"/>
      <c r="H84" s="3838"/>
      <c r="I84" s="3839">
        <f>18000*12</f>
        <v>216000</v>
      </c>
      <c r="J84" s="3839">
        <f t="shared" si="4"/>
        <v>0</v>
      </c>
      <c r="K84" s="3839">
        <f t="shared" si="4"/>
        <v>0</v>
      </c>
      <c r="L84" s="3839">
        <f t="shared" si="6"/>
        <v>216000</v>
      </c>
      <c r="M84" s="3840"/>
      <c r="N84" s="3841"/>
      <c r="P84" s="3843">
        <f t="shared" si="7"/>
        <v>1.5535159265949339</v>
      </c>
    </row>
    <row r="85" spans="1:16" s="3848" customFormat="1">
      <c r="B85" s="3835" t="s">
        <v>3631</v>
      </c>
      <c r="C85" s="3836" t="s">
        <v>3632</v>
      </c>
      <c r="D85" s="3837">
        <v>391.34</v>
      </c>
      <c r="E85" s="3837">
        <v>263</v>
      </c>
      <c r="F85" s="3838" t="s">
        <v>3633</v>
      </c>
      <c r="G85" s="3838"/>
      <c r="H85" s="3838"/>
      <c r="I85" s="3839">
        <f>25000*12</f>
        <v>300000</v>
      </c>
      <c r="J85" s="3839">
        <f t="shared" si="4"/>
        <v>0</v>
      </c>
      <c r="K85" s="3839">
        <f t="shared" si="4"/>
        <v>0</v>
      </c>
      <c r="L85" s="3839">
        <f t="shared" si="6"/>
        <v>300000</v>
      </c>
      <c r="M85" s="3840"/>
      <c r="N85" s="3841"/>
      <c r="P85" s="3843">
        <f t="shared" si="7"/>
        <v>2.1002652635027808</v>
      </c>
    </row>
    <row r="86" spans="1:16" s="3848" customFormat="1">
      <c r="B86" s="3835" t="s">
        <v>3634</v>
      </c>
      <c r="C86" s="3836" t="s">
        <v>3635</v>
      </c>
      <c r="D86" s="3837">
        <v>453.84</v>
      </c>
      <c r="E86" s="3837">
        <v>305</v>
      </c>
      <c r="F86" s="3838" t="s">
        <v>3633</v>
      </c>
      <c r="G86" s="3838"/>
      <c r="H86" s="3838"/>
      <c r="I86" s="3839">
        <f>20000*12</f>
        <v>240000</v>
      </c>
      <c r="J86" s="3839">
        <f t="shared" si="4"/>
        <v>0</v>
      </c>
      <c r="K86" s="3839">
        <f t="shared" si="4"/>
        <v>0</v>
      </c>
      <c r="L86" s="3839">
        <f t="shared" si="6"/>
        <v>240000</v>
      </c>
      <c r="M86" s="3840"/>
      <c r="N86" s="3841"/>
      <c r="P86" s="3843">
        <f t="shared" si="7"/>
        <v>1.4488239171852251</v>
      </c>
    </row>
    <row r="87" spans="1:16" s="3848" customFormat="1">
      <c r="B87" s="3835" t="s">
        <v>3636</v>
      </c>
      <c r="C87" s="3836" t="s">
        <v>3637</v>
      </c>
      <c r="D87" s="3837">
        <v>174.1</v>
      </c>
      <c r="E87" s="3837">
        <v>117</v>
      </c>
      <c r="F87" s="3838">
        <v>5.95</v>
      </c>
      <c r="G87" s="3838">
        <v>0.5</v>
      </c>
      <c r="H87" s="3838">
        <v>2.5499999999999998</v>
      </c>
      <c r="I87" s="3839">
        <f t="shared" si="5"/>
        <v>254094.75</v>
      </c>
      <c r="J87" s="3839">
        <f t="shared" si="4"/>
        <v>31773.25</v>
      </c>
      <c r="K87" s="3839">
        <f t="shared" si="4"/>
        <v>108897.74999999999</v>
      </c>
      <c r="L87" s="3839">
        <f t="shared" si="6"/>
        <v>394765.75</v>
      </c>
      <c r="M87" s="3840"/>
      <c r="N87" s="3841"/>
      <c r="P87" s="3843">
        <f t="shared" si="7"/>
        <v>6.2122343480758193</v>
      </c>
    </row>
    <row r="88" spans="1:16">
      <c r="B88" s="3823" t="s">
        <v>3638</v>
      </c>
      <c r="C88" s="3811" t="s">
        <v>3639</v>
      </c>
      <c r="D88" s="3812">
        <v>44.64</v>
      </c>
      <c r="E88" s="3812">
        <v>30</v>
      </c>
      <c r="F88" s="3826">
        <v>11.9</v>
      </c>
      <c r="G88" s="3827">
        <v>5.0999999999999996</v>
      </c>
      <c r="H88" s="3827">
        <v>1</v>
      </c>
      <c r="I88" s="3815">
        <f t="shared" si="5"/>
        <v>130305</v>
      </c>
      <c r="J88" s="3815">
        <f t="shared" si="4"/>
        <v>83097.36</v>
      </c>
      <c r="K88" s="3815">
        <f t="shared" si="4"/>
        <v>10950</v>
      </c>
      <c r="L88" s="3815">
        <f t="shared" si="6"/>
        <v>224352.36</v>
      </c>
      <c r="M88" s="3816"/>
      <c r="N88" s="3817"/>
      <c r="P88" s="3834">
        <f t="shared" si="7"/>
        <v>13.769354838709678</v>
      </c>
    </row>
    <row r="89" spans="1:16">
      <c r="B89" s="3810" t="s">
        <v>3640</v>
      </c>
      <c r="C89" s="3811" t="s">
        <v>3641</v>
      </c>
      <c r="D89" s="3812">
        <v>356.24</v>
      </c>
      <c r="E89" s="3812">
        <v>200</v>
      </c>
      <c r="F89" s="3813">
        <v>4.9000000000000004</v>
      </c>
      <c r="G89" s="3813">
        <v>1</v>
      </c>
      <c r="H89" s="3813">
        <v>2.1</v>
      </c>
      <c r="I89" s="3815">
        <f t="shared" si="5"/>
        <v>357700.00000000006</v>
      </c>
      <c r="J89" s="3815">
        <f t="shared" si="4"/>
        <v>130027.6</v>
      </c>
      <c r="K89" s="3815">
        <f t="shared" si="4"/>
        <v>153300</v>
      </c>
      <c r="L89" s="3815">
        <f t="shared" si="6"/>
        <v>641027.60000000009</v>
      </c>
      <c r="M89" s="3816"/>
      <c r="N89" s="3817"/>
      <c r="P89" s="3834">
        <f t="shared" si="7"/>
        <v>4.929934875364923</v>
      </c>
    </row>
    <row r="90" spans="1:16">
      <c r="B90" s="3810" t="s">
        <v>3642</v>
      </c>
      <c r="C90" s="3811" t="s">
        <v>3643</v>
      </c>
      <c r="D90" s="3812">
        <v>111.31</v>
      </c>
      <c r="E90" s="3812">
        <v>72</v>
      </c>
      <c r="F90" s="3813">
        <v>3.15</v>
      </c>
      <c r="G90" s="3813">
        <v>1</v>
      </c>
      <c r="H90" s="3813">
        <v>1.35</v>
      </c>
      <c r="I90" s="3815">
        <f t="shared" si="5"/>
        <v>82782</v>
      </c>
      <c r="J90" s="3815">
        <f t="shared" si="4"/>
        <v>40628.15</v>
      </c>
      <c r="K90" s="3815">
        <f t="shared" si="4"/>
        <v>35478</v>
      </c>
      <c r="L90" s="3815">
        <f t="shared" si="6"/>
        <v>158888.15</v>
      </c>
      <c r="M90" s="3816"/>
      <c r="N90" s="3817"/>
      <c r="P90" s="3834">
        <f t="shared" si="7"/>
        <v>3.9107896864612344</v>
      </c>
    </row>
    <row r="91" spans="1:16">
      <c r="B91" s="3810" t="s">
        <v>3644</v>
      </c>
      <c r="C91" s="3811" t="s">
        <v>3645</v>
      </c>
      <c r="D91" s="3812">
        <v>223.2</v>
      </c>
      <c r="E91" s="3812">
        <v>150</v>
      </c>
      <c r="F91" s="3813">
        <v>4.0599999999999996</v>
      </c>
      <c r="G91" s="3813">
        <v>0.5</v>
      </c>
      <c r="H91" s="3813">
        <v>1.74</v>
      </c>
      <c r="I91" s="3815">
        <f t="shared" si="5"/>
        <v>222284.99999999997</v>
      </c>
      <c r="J91" s="3815">
        <f t="shared" si="4"/>
        <v>40734</v>
      </c>
      <c r="K91" s="3815">
        <f t="shared" si="4"/>
        <v>95265</v>
      </c>
      <c r="L91" s="3815">
        <f t="shared" si="6"/>
        <v>358284</v>
      </c>
      <c r="M91" s="3816"/>
      <c r="N91" s="3819">
        <v>85995</v>
      </c>
      <c r="P91" s="3834">
        <f t="shared" si="7"/>
        <v>4.397849462365591</v>
      </c>
    </row>
    <row r="92" spans="1:16">
      <c r="B92" s="3810" t="s">
        <v>3646</v>
      </c>
      <c r="C92" s="3811" t="s">
        <v>3647</v>
      </c>
      <c r="D92" s="3812">
        <v>751.12</v>
      </c>
      <c r="E92" s="3812">
        <v>485.85</v>
      </c>
      <c r="F92" s="3813">
        <v>2.2400000000000002</v>
      </c>
      <c r="G92" s="3813">
        <v>0.3</v>
      </c>
      <c r="H92" s="3813">
        <v>0.95</v>
      </c>
      <c r="I92" s="3815">
        <f t="shared" si="5"/>
        <v>397230.96</v>
      </c>
      <c r="J92" s="3815">
        <f t="shared" si="4"/>
        <v>82247.64</v>
      </c>
      <c r="K92" s="3815">
        <f t="shared" si="4"/>
        <v>168468.48749999999</v>
      </c>
      <c r="L92" s="3815">
        <f t="shared" si="6"/>
        <v>647947.08750000002</v>
      </c>
      <c r="M92" s="3816"/>
      <c r="N92" s="3817"/>
      <c r="P92" s="3834">
        <f t="shared" si="7"/>
        <v>2.3634006550218341</v>
      </c>
    </row>
    <row r="93" spans="1:16" s="3848" customFormat="1">
      <c r="B93" s="3835" t="s">
        <v>3648</v>
      </c>
      <c r="C93" s="3836" t="s">
        <v>3649</v>
      </c>
      <c r="D93" s="3837">
        <v>92.76</v>
      </c>
      <c r="E93" s="3837">
        <v>60</v>
      </c>
      <c r="F93" s="3838">
        <v>6.65</v>
      </c>
      <c r="G93" s="3838">
        <v>1</v>
      </c>
      <c r="H93" s="3838">
        <v>2.85</v>
      </c>
      <c r="I93" s="3839">
        <f t="shared" si="5"/>
        <v>145635</v>
      </c>
      <c r="J93" s="3839">
        <f t="shared" si="4"/>
        <v>33857.4</v>
      </c>
      <c r="K93" s="3839">
        <f t="shared" si="4"/>
        <v>62415</v>
      </c>
      <c r="L93" s="3839">
        <f t="shared" si="6"/>
        <v>241907.4</v>
      </c>
      <c r="M93" s="3840"/>
      <c r="N93" s="3841"/>
      <c r="P93" s="3843">
        <f t="shared" si="7"/>
        <v>7.144890038809832</v>
      </c>
    </row>
    <row r="94" spans="1:16">
      <c r="B94" s="3810" t="s">
        <v>3650</v>
      </c>
      <c r="C94" s="3811" t="s">
        <v>3651</v>
      </c>
      <c r="D94" s="3812">
        <v>540.76</v>
      </c>
      <c r="E94" s="3812">
        <v>349.78</v>
      </c>
      <c r="F94" s="3813">
        <v>5.32</v>
      </c>
      <c r="G94" s="3813">
        <v>0.5</v>
      </c>
      <c r="H94" s="3813">
        <v>2.2799999999999998</v>
      </c>
      <c r="I94" s="3815">
        <f t="shared" si="5"/>
        <v>679202.804</v>
      </c>
      <c r="J94" s="3815">
        <f t="shared" si="4"/>
        <v>98688.7</v>
      </c>
      <c r="K94" s="3815">
        <f t="shared" si="4"/>
        <v>291086.91599999991</v>
      </c>
      <c r="L94" s="3815">
        <f t="shared" si="6"/>
        <v>1068978.42</v>
      </c>
      <c r="M94" s="3816"/>
      <c r="N94" s="3819">
        <v>357302.37</v>
      </c>
      <c r="P94" s="3834">
        <f t="shared" si="7"/>
        <v>5.4159109401582954</v>
      </c>
    </row>
    <row r="95" spans="1:16">
      <c r="B95" s="3810" t="s">
        <v>3652</v>
      </c>
      <c r="C95" s="3811" t="s">
        <v>3653</v>
      </c>
      <c r="D95" s="3812">
        <v>194.8</v>
      </c>
      <c r="E95" s="3812">
        <v>126</v>
      </c>
      <c r="F95" s="3813">
        <v>5.6</v>
      </c>
      <c r="G95" s="3813">
        <v>1</v>
      </c>
      <c r="H95" s="3813">
        <v>2.4</v>
      </c>
      <c r="I95" s="3815">
        <f t="shared" si="5"/>
        <v>257543.99999999997</v>
      </c>
      <c r="J95" s="3815">
        <f t="shared" si="4"/>
        <v>71102</v>
      </c>
      <c r="K95" s="3815">
        <f t="shared" si="4"/>
        <v>110375.99999999999</v>
      </c>
      <c r="L95" s="3815">
        <f t="shared" si="6"/>
        <v>439022</v>
      </c>
      <c r="M95" s="3816"/>
      <c r="N95" s="3817"/>
      <c r="P95" s="3834">
        <f t="shared" si="7"/>
        <v>6.1745379876796704</v>
      </c>
    </row>
    <row r="96" spans="1:16">
      <c r="A96" s="3804"/>
      <c r="B96" s="3810" t="s">
        <v>3654</v>
      </c>
      <c r="C96" s="3811" t="s">
        <v>3655</v>
      </c>
      <c r="D96" s="3812">
        <v>231.9</v>
      </c>
      <c r="E96" s="3812">
        <v>150</v>
      </c>
      <c r="F96" s="3813">
        <v>2.4500000000000002</v>
      </c>
      <c r="G96" s="3813">
        <v>0.5</v>
      </c>
      <c r="H96" s="3813">
        <v>1.05</v>
      </c>
      <c r="I96" s="3815">
        <f t="shared" si="5"/>
        <v>134137.5</v>
      </c>
      <c r="J96" s="3815">
        <f t="shared" si="4"/>
        <v>42321.75</v>
      </c>
      <c r="K96" s="3815">
        <f t="shared" si="4"/>
        <v>57487.5</v>
      </c>
      <c r="L96" s="3815">
        <f t="shared" si="6"/>
        <v>233946.75</v>
      </c>
      <c r="M96" s="3816"/>
      <c r="N96" s="3817"/>
      <c r="P96" s="3834">
        <f t="shared" si="7"/>
        <v>2.7639068564036222</v>
      </c>
    </row>
    <row r="97" spans="1:16">
      <c r="A97" s="3804"/>
      <c r="B97" s="3810" t="s">
        <v>3656</v>
      </c>
      <c r="C97" s="3811" t="s">
        <v>3657</v>
      </c>
      <c r="D97" s="3812">
        <v>30.92</v>
      </c>
      <c r="E97" s="3812">
        <v>20</v>
      </c>
      <c r="F97" s="3813">
        <v>13.3</v>
      </c>
      <c r="G97" s="3813">
        <v>1</v>
      </c>
      <c r="H97" s="3813">
        <v>5.7</v>
      </c>
      <c r="I97" s="3815">
        <f t="shared" si="5"/>
        <v>97090</v>
      </c>
      <c r="J97" s="3815">
        <f t="shared" si="4"/>
        <v>11285.800000000001</v>
      </c>
      <c r="K97" s="3815">
        <f t="shared" si="4"/>
        <v>41610</v>
      </c>
      <c r="L97" s="3815">
        <f t="shared" si="6"/>
        <v>149985.79999999999</v>
      </c>
      <c r="M97" s="3816"/>
      <c r="N97" s="3817"/>
      <c r="P97" s="3834">
        <f t="shared" si="7"/>
        <v>13.28978007761966</v>
      </c>
    </row>
    <row r="98" spans="1:16" s="3842" customFormat="1">
      <c r="A98" s="3849"/>
      <c r="B98" s="3835" t="s">
        <v>3658</v>
      </c>
      <c r="C98" s="3836" t="s">
        <v>3659</v>
      </c>
      <c r="D98" s="3837">
        <v>112.86</v>
      </c>
      <c r="E98" s="3837">
        <v>73</v>
      </c>
      <c r="F98" s="3838">
        <v>5.53</v>
      </c>
      <c r="G98" s="3838">
        <v>0.5</v>
      </c>
      <c r="H98" s="3838">
        <v>2.37</v>
      </c>
      <c r="I98" s="3839">
        <f t="shared" si="5"/>
        <v>147346.85</v>
      </c>
      <c r="J98" s="3839">
        <f t="shared" si="4"/>
        <v>20596.95</v>
      </c>
      <c r="K98" s="3839">
        <f t="shared" si="4"/>
        <v>63148.650000000009</v>
      </c>
      <c r="L98" s="3839">
        <f t="shared" si="6"/>
        <v>231092.45</v>
      </c>
      <c r="M98" s="3844"/>
      <c r="N98" s="3845">
        <v>15743.91</v>
      </c>
      <c r="P98" s="3843">
        <f t="shared" si="7"/>
        <v>5.6098706361864261</v>
      </c>
    </row>
    <row r="99" spans="1:16">
      <c r="A99" s="3804"/>
      <c r="B99" s="3811" t="s">
        <v>3660</v>
      </c>
      <c r="C99" s="3811" t="s">
        <v>3661</v>
      </c>
      <c r="D99" s="3812">
        <v>126.77</v>
      </c>
      <c r="E99" s="3812">
        <v>82</v>
      </c>
      <c r="F99" s="3813">
        <v>3.85</v>
      </c>
      <c r="G99" s="3813">
        <v>0.5</v>
      </c>
      <c r="H99" s="3813">
        <v>1.65</v>
      </c>
      <c r="I99" s="3815">
        <f t="shared" si="5"/>
        <v>115230.5</v>
      </c>
      <c r="J99" s="3815">
        <f t="shared" si="4"/>
        <v>23135.524999999998</v>
      </c>
      <c r="K99" s="3815">
        <f t="shared" si="4"/>
        <v>49384.499999999993</v>
      </c>
      <c r="L99" s="3815">
        <f t="shared" si="6"/>
        <v>187750.52499999999</v>
      </c>
      <c r="M99" s="3816"/>
      <c r="N99" s="3817"/>
      <c r="P99" s="3834">
        <f t="shared" si="7"/>
        <v>4.0576240435434254</v>
      </c>
    </row>
    <row r="100" spans="1:16">
      <c r="B100" s="3828" t="s">
        <v>3662</v>
      </c>
      <c r="C100" s="3811" t="s">
        <v>3663</v>
      </c>
      <c r="D100" s="3812">
        <v>69.569999999999993</v>
      </c>
      <c r="E100" s="3812">
        <v>45</v>
      </c>
      <c r="F100" s="3813"/>
      <c r="G100" s="3813">
        <v>0.5</v>
      </c>
      <c r="H100" s="3813">
        <v>3</v>
      </c>
      <c r="I100" s="3815">
        <f t="shared" si="5"/>
        <v>0</v>
      </c>
      <c r="J100" s="3815">
        <f t="shared" si="4"/>
        <v>12696.525</v>
      </c>
      <c r="K100" s="3815">
        <f t="shared" si="4"/>
        <v>49275</v>
      </c>
      <c r="L100" s="3815">
        <f t="shared" si="6"/>
        <v>61971.525000000001</v>
      </c>
      <c r="M100" s="3816"/>
      <c r="N100" s="3817"/>
      <c r="P100" s="3834">
        <f t="shared" si="7"/>
        <v>2.4404915912031049</v>
      </c>
    </row>
    <row r="101" spans="1:16" s="3804" customFormat="1">
      <c r="A101" s="3805"/>
      <c r="B101" s="3828" t="s">
        <v>3664</v>
      </c>
      <c r="C101" s="3829" t="s">
        <v>3665</v>
      </c>
      <c r="D101" s="3812">
        <v>299.92</v>
      </c>
      <c r="E101" s="3812">
        <v>194</v>
      </c>
      <c r="F101" s="3813"/>
      <c r="G101" s="3813">
        <v>0.5</v>
      </c>
      <c r="H101" s="3813">
        <v>6</v>
      </c>
      <c r="I101" s="3815">
        <f t="shared" si="5"/>
        <v>0</v>
      </c>
      <c r="J101" s="3815">
        <f t="shared" si="4"/>
        <v>54735.4</v>
      </c>
      <c r="K101" s="3815">
        <f t="shared" si="4"/>
        <v>424860</v>
      </c>
      <c r="L101" s="3815">
        <f t="shared" si="6"/>
        <v>479595.4</v>
      </c>
      <c r="M101" s="3818"/>
      <c r="N101" s="3819">
        <v>74188.84</v>
      </c>
      <c r="P101" s="3834">
        <f t="shared" si="7"/>
        <v>4.3810349426513735</v>
      </c>
    </row>
    <row r="102" spans="1:16" s="3804" customFormat="1">
      <c r="A102" s="3805"/>
      <c r="B102" s="3828" t="s">
        <v>3666</v>
      </c>
      <c r="C102" s="3829" t="s">
        <v>3667</v>
      </c>
      <c r="D102" s="3812">
        <v>549.23</v>
      </c>
      <c r="E102" s="3812">
        <v>355.26</v>
      </c>
      <c r="F102" s="3813"/>
      <c r="G102" s="3813">
        <v>0.3</v>
      </c>
      <c r="H102" s="3813">
        <v>3.4</v>
      </c>
      <c r="I102" s="3815">
        <f t="shared" si="5"/>
        <v>0</v>
      </c>
      <c r="J102" s="3815">
        <f t="shared" si="4"/>
        <v>60140.685000000005</v>
      </c>
      <c r="K102" s="3815">
        <f t="shared" si="4"/>
        <v>440877.66000000003</v>
      </c>
      <c r="L102" s="3815">
        <f t="shared" si="6"/>
        <v>501018.34500000003</v>
      </c>
      <c r="M102" s="3821"/>
      <c r="N102" s="3822"/>
      <c r="P102" s="3834">
        <f t="shared" si="7"/>
        <v>2.499231651584946</v>
      </c>
    </row>
    <row r="103" spans="1:16" s="3804" customFormat="1">
      <c r="A103" s="3805"/>
      <c r="B103" s="3828" t="s">
        <v>3668</v>
      </c>
      <c r="C103" s="3829" t="s">
        <v>3669</v>
      </c>
      <c r="D103" s="3812">
        <v>156.91999999999999</v>
      </c>
      <c r="E103" s="3812">
        <v>101.5</v>
      </c>
      <c r="F103" s="3813"/>
      <c r="G103" s="3813">
        <v>0.5</v>
      </c>
      <c r="H103" s="3813">
        <v>5.5</v>
      </c>
      <c r="I103" s="3815">
        <f t="shared" si="5"/>
        <v>0</v>
      </c>
      <c r="J103" s="3815">
        <f t="shared" si="4"/>
        <v>28637.899999999998</v>
      </c>
      <c r="K103" s="3815">
        <f t="shared" si="4"/>
        <v>203761.25</v>
      </c>
      <c r="L103" s="3815">
        <f t="shared" si="6"/>
        <v>232399.15</v>
      </c>
      <c r="M103" s="3821"/>
      <c r="N103" s="3822"/>
      <c r="P103" s="3834">
        <f t="shared" si="7"/>
        <v>4.0575452459852155</v>
      </c>
    </row>
    <row r="104" spans="1:16" s="3804" customFormat="1">
      <c r="A104" s="3805"/>
      <c r="B104" s="3828" t="s">
        <v>3670</v>
      </c>
      <c r="C104" s="3829" t="s">
        <v>3671</v>
      </c>
      <c r="D104" s="3812">
        <v>167</v>
      </c>
      <c r="E104" s="3812">
        <v>108</v>
      </c>
      <c r="F104" s="3813"/>
      <c r="G104" s="3813">
        <v>0.5</v>
      </c>
      <c r="H104" s="3813">
        <v>6</v>
      </c>
      <c r="I104" s="3815">
        <f t="shared" si="5"/>
        <v>0</v>
      </c>
      <c r="J104" s="3815">
        <f t="shared" si="4"/>
        <v>30477.5</v>
      </c>
      <c r="K104" s="3815">
        <f t="shared" si="4"/>
        <v>236520</v>
      </c>
      <c r="L104" s="3815">
        <f t="shared" si="6"/>
        <v>266997.5</v>
      </c>
      <c r="M104" s="3818"/>
      <c r="N104" s="3819">
        <v>65103.5</v>
      </c>
      <c r="P104" s="3834">
        <f t="shared" si="7"/>
        <v>4.3802395209580833</v>
      </c>
    </row>
    <row r="105" spans="1:16">
      <c r="B105" s="3828" t="s">
        <v>3672</v>
      </c>
      <c r="C105" s="3829" t="s">
        <v>3673</v>
      </c>
      <c r="D105" s="3812">
        <v>77.3</v>
      </c>
      <c r="E105" s="3812">
        <v>50</v>
      </c>
      <c r="F105" s="3813"/>
      <c r="G105" s="3813">
        <v>0.5</v>
      </c>
      <c r="H105" s="3813">
        <v>7</v>
      </c>
      <c r="I105" s="3815">
        <f t="shared" si="5"/>
        <v>0</v>
      </c>
      <c r="J105" s="3815">
        <f t="shared" si="4"/>
        <v>14107.25</v>
      </c>
      <c r="K105" s="3815">
        <f t="shared" si="4"/>
        <v>127750</v>
      </c>
      <c r="L105" s="3815">
        <f t="shared" si="6"/>
        <v>141857.25</v>
      </c>
      <c r="M105" s="3816"/>
      <c r="N105" s="3817"/>
      <c r="P105" s="3834">
        <f t="shared" si="7"/>
        <v>5.0278137128072444</v>
      </c>
    </row>
    <row r="106" spans="1:16">
      <c r="B106" s="3828" t="s">
        <v>3674</v>
      </c>
      <c r="C106" s="3829" t="s">
        <v>3675</v>
      </c>
      <c r="D106" s="3812">
        <v>78.849999999999994</v>
      </c>
      <c r="E106" s="3812">
        <v>51</v>
      </c>
      <c r="F106" s="3813"/>
      <c r="G106" s="3813">
        <v>0.5</v>
      </c>
      <c r="H106" s="3813">
        <v>7</v>
      </c>
      <c r="I106" s="3815">
        <f t="shared" si="5"/>
        <v>0</v>
      </c>
      <c r="J106" s="3815">
        <f t="shared" si="4"/>
        <v>14390.124999999998</v>
      </c>
      <c r="K106" s="3815">
        <f t="shared" si="4"/>
        <v>130305</v>
      </c>
      <c r="L106" s="3815">
        <f t="shared" si="6"/>
        <v>144695.125</v>
      </c>
      <c r="M106" s="3816"/>
      <c r="N106" s="3817"/>
      <c r="P106" s="3834">
        <f t="shared" si="7"/>
        <v>5.0275840202916937</v>
      </c>
    </row>
    <row r="107" spans="1:16">
      <c r="A107" s="3830"/>
      <c r="B107" s="3811" t="s">
        <v>3676</v>
      </c>
      <c r="C107" s="3811" t="s">
        <v>3677</v>
      </c>
      <c r="D107" s="3812">
        <v>61.48</v>
      </c>
      <c r="E107" s="3812">
        <v>40</v>
      </c>
      <c r="F107" s="3813">
        <v>11.2</v>
      </c>
      <c r="G107" s="3813">
        <v>1</v>
      </c>
      <c r="H107" s="3813">
        <v>4.8</v>
      </c>
      <c r="I107" s="3815">
        <f t="shared" si="5"/>
        <v>163520</v>
      </c>
      <c r="J107" s="3815">
        <f t="shared" si="4"/>
        <v>22440.199999999997</v>
      </c>
      <c r="K107" s="3815">
        <f t="shared" si="4"/>
        <v>70080</v>
      </c>
      <c r="L107" s="3815">
        <f t="shared" si="6"/>
        <v>256040.2</v>
      </c>
      <c r="M107" s="3816"/>
      <c r="N107" s="3819"/>
      <c r="P107" s="3834">
        <f t="shared" si="7"/>
        <v>11.40988939492518</v>
      </c>
    </row>
    <row r="108" spans="1:16" s="3848" customFormat="1">
      <c r="B108" s="3835" t="s">
        <v>3678</v>
      </c>
      <c r="C108" s="3836" t="s">
        <v>3679</v>
      </c>
      <c r="D108" s="3837">
        <v>146.87</v>
      </c>
      <c r="E108" s="3837">
        <v>95</v>
      </c>
      <c r="F108" s="3838">
        <v>7.7</v>
      </c>
      <c r="G108" s="3838">
        <v>0.5</v>
      </c>
      <c r="H108" s="3838">
        <v>3.3</v>
      </c>
      <c r="I108" s="3839">
        <f t="shared" si="5"/>
        <v>266997.5</v>
      </c>
      <c r="J108" s="3839">
        <f t="shared" si="4"/>
        <v>26803.775000000001</v>
      </c>
      <c r="K108" s="3839">
        <f>H108*E108*(365-151)</f>
        <v>67089</v>
      </c>
      <c r="L108" s="3839">
        <f t="shared" si="6"/>
        <v>360890.27500000002</v>
      </c>
      <c r="M108" s="3837" t="s">
        <v>3680</v>
      </c>
      <c r="N108" s="3841"/>
      <c r="P108" s="3843">
        <f t="shared" si="7"/>
        <v>6.7320792500310125</v>
      </c>
    </row>
    <row r="109" spans="1:16">
      <c r="B109" s="3811" t="s">
        <v>3681</v>
      </c>
      <c r="C109" s="3823" t="s">
        <v>3682</v>
      </c>
      <c r="D109" s="3812">
        <v>594.22</v>
      </c>
      <c r="E109" s="3812">
        <v>384.36</v>
      </c>
      <c r="F109" s="3813">
        <v>2.59</v>
      </c>
      <c r="G109" s="3813">
        <v>0.3</v>
      </c>
      <c r="H109" s="3813">
        <v>1.1100000000000001</v>
      </c>
      <c r="I109" s="3815">
        <f t="shared" si="5"/>
        <v>363354.72599999997</v>
      </c>
      <c r="J109" s="3815">
        <f t="shared" si="4"/>
        <v>65067.09</v>
      </c>
      <c r="K109" s="3815">
        <f>H109*E109*(365-170)</f>
        <v>83194.722000000009</v>
      </c>
      <c r="L109" s="3815">
        <f t="shared" si="6"/>
        <v>511616.538</v>
      </c>
      <c r="M109" s="3831" t="s">
        <v>3683</v>
      </c>
      <c r="N109" s="3817"/>
      <c r="P109" s="3834">
        <f t="shared" si="7"/>
        <v>2.3588723792626962</v>
      </c>
    </row>
    <row r="110" spans="1:16">
      <c r="B110" s="3811" t="s">
        <v>3684</v>
      </c>
      <c r="C110" s="3811" t="s">
        <v>3685</v>
      </c>
      <c r="D110" s="3812">
        <v>202.53</v>
      </c>
      <c r="E110" s="3812">
        <v>131</v>
      </c>
      <c r="F110" s="3813">
        <v>3.85</v>
      </c>
      <c r="G110" s="3813">
        <v>0.5</v>
      </c>
      <c r="H110" s="3813">
        <v>1.65</v>
      </c>
      <c r="I110" s="3815">
        <f t="shared" si="5"/>
        <v>184087.75</v>
      </c>
      <c r="J110" s="3815">
        <f t="shared" si="4"/>
        <v>36961.724999999999</v>
      </c>
      <c r="K110" s="3815">
        <f>H110*E110*(365-120)</f>
        <v>52956.749999999993</v>
      </c>
      <c r="L110" s="3815">
        <f t="shared" si="6"/>
        <v>274006.22499999998</v>
      </c>
      <c r="M110" s="3829" t="s">
        <v>3686</v>
      </c>
      <c r="N110" s="3817"/>
      <c r="P110" s="3834">
        <f t="shared" si="7"/>
        <v>3.7066211736600496</v>
      </c>
    </row>
    <row r="111" spans="1:16">
      <c r="B111" s="3811" t="s">
        <v>3687</v>
      </c>
      <c r="C111" s="3811" t="s">
        <v>3688</v>
      </c>
      <c r="D111" s="3812">
        <v>143.78</v>
      </c>
      <c r="E111" s="3812">
        <v>93</v>
      </c>
      <c r="F111" s="3813">
        <v>4.2</v>
      </c>
      <c r="G111" s="3813">
        <v>0.5</v>
      </c>
      <c r="H111" s="3813">
        <v>1.8</v>
      </c>
      <c r="I111" s="3815">
        <f t="shared" si="5"/>
        <v>142569</v>
      </c>
      <c r="J111" s="3815">
        <f t="shared" si="4"/>
        <v>26239.85</v>
      </c>
      <c r="K111" s="3815">
        <f t="shared" si="4"/>
        <v>61101</v>
      </c>
      <c r="L111" s="3815">
        <f t="shared" si="6"/>
        <v>229909.85</v>
      </c>
      <c r="M111" s="3829"/>
      <c r="N111" s="3817"/>
      <c r="P111" s="3834">
        <f t="shared" si="7"/>
        <v>4.3809291973848943</v>
      </c>
    </row>
    <row r="112" spans="1:16" s="3830" customFormat="1">
      <c r="A112" s="3805"/>
      <c r="B112" s="3811" t="s">
        <v>3689</v>
      </c>
      <c r="C112" s="3811" t="s">
        <v>3690</v>
      </c>
      <c r="D112" s="3812">
        <v>602.30999999999995</v>
      </c>
      <c r="E112" s="3812">
        <v>389.59</v>
      </c>
      <c r="F112" s="3813">
        <v>2.0299999999999998</v>
      </c>
      <c r="G112" s="3813">
        <v>0.4</v>
      </c>
      <c r="H112" s="3813">
        <v>0.87</v>
      </c>
      <c r="I112" s="3815">
        <f t="shared" si="5"/>
        <v>288666.71049999999</v>
      </c>
      <c r="J112" s="3815">
        <f t="shared" si="4"/>
        <v>87937.26</v>
      </c>
      <c r="K112" s="3815">
        <f>H112*E112*(365-120)</f>
        <v>83041.108499999988</v>
      </c>
      <c r="L112" s="3815">
        <f t="shared" si="6"/>
        <v>459645.07899999997</v>
      </c>
      <c r="M112" s="3829" t="s">
        <v>3686</v>
      </c>
      <c r="N112" s="3819">
        <v>94122.080000000016</v>
      </c>
      <c r="P112" s="3834">
        <f t="shared" si="7"/>
        <v>2.0907864493389949</v>
      </c>
    </row>
    <row r="113" spans="2:16">
      <c r="B113" s="3821"/>
      <c r="C113" s="3821"/>
      <c r="D113" s="3812">
        <f>SUM(D4:D112)</f>
        <v>51723.939999999973</v>
      </c>
      <c r="E113" s="3812">
        <f>SUM(E4:E112)</f>
        <v>41765.549999999988</v>
      </c>
      <c r="F113" s="3821"/>
      <c r="G113" s="3816"/>
      <c r="H113" s="3816"/>
      <c r="I113" s="3832">
        <f>SUM(I4:I112)</f>
        <v>50307940.645500004</v>
      </c>
      <c r="J113" s="3832">
        <f t="shared" ref="J113:L113" si="8">SUM(J4:J112)</f>
        <v>8184013.3781999992</v>
      </c>
      <c r="K113" s="3832">
        <f t="shared" si="8"/>
        <v>12588994.027000001</v>
      </c>
      <c r="L113" s="3832">
        <f t="shared" si="8"/>
        <v>71080948.050699994</v>
      </c>
      <c r="M113" s="3816"/>
      <c r="N113" s="3817">
        <f>SUM(N4:N112)</f>
        <v>5442224.2311999993</v>
      </c>
      <c r="P113" s="3834">
        <f>ROUND(L113/D113/365,1)</f>
        <v>3.8</v>
      </c>
    </row>
    <row r="114" spans="2:16">
      <c r="F114" s="3833"/>
    </row>
    <row r="115" spans="2:16">
      <c r="F115" s="3833"/>
    </row>
    <row r="116" spans="2:16">
      <c r="F116" s="3833"/>
    </row>
    <row r="118" spans="2:16">
      <c r="D118" s="3850">
        <f>SUM(D7:D16)+D108+D98+D93+D87+D86+D85+D84+D81+D77+D76+D75+D73+D71+D70+D68+D66+D64+D56+D62+D54+D53+D51+D48+D47+D46</f>
        <v>7713.6700000000019</v>
      </c>
      <c r="E118" s="3805" t="s">
        <v>3693</v>
      </c>
      <c r="F118" s="3804">
        <f>L118/D118/365</f>
        <v>5.6302192238646365</v>
      </c>
      <c r="L118" s="3850">
        <f>SUM(L7:L16)+L108+L98+L93+L87+L86+L85+L84+L81+L77+L76+L75+L73+L71+L70+L68+L66+L64+L56+L62+L54+L53+L51+L48+L47+L46</f>
        <v>15851823.389</v>
      </c>
    </row>
  </sheetData>
  <phoneticPr fontId="135" type="noConversion"/>
  <conditionalFormatting sqref="B1:B1048576">
    <cfRule type="duplicateValues" dxfId="19" priority="1"/>
    <cfRule type="duplicateValues" dxfId="18" priority="2"/>
  </conditionalFormatting>
  <hyperlinks>
    <hyperlink ref="C4" location="永辉!A1" display="永辉!A1"/>
    <hyperlink ref="C5" location="木北!A1" display="木北!A1"/>
    <hyperlink ref="C6" location="惠仁!A1" display="惠仁!A1"/>
    <hyperlink ref="C7" location="工商银行!A1" display="工商银行!A1"/>
    <hyperlink ref="C8" location="麦当劳!A1" display="麦当劳!A1"/>
    <hyperlink ref="C9" location="屈臣氏!A1" display="屈臣氏!A1"/>
    <hyperlink ref="C10" location="吉野家1!A1" display="吉野家1!A1"/>
    <hyperlink ref="C11" location="吉野家2!A1" display="吉野家2!A1"/>
    <hyperlink ref="C12" location="达世文.赛百味!A1" display="达世文.赛百味!A1"/>
    <hyperlink ref="C13" location="老凤祥!A1" display="老凤祥!A1"/>
    <hyperlink ref="C14" location="老凤祥1!A1" display="老凤祥1!A1"/>
    <hyperlink ref="C15" location="达美乐!A1" display="达美乐!A1"/>
    <hyperlink ref="C16" location="亨通达!A1" display="亨通达!A1"/>
    <hyperlink ref="C17" location="冰洁丽人.克丽缇娜!A1" display="冰洁丽人.克丽缇娜!A1"/>
    <hyperlink ref="C18" location="兴洋!A1" display="兴洋!A1"/>
    <hyperlink ref="C19" location="玖溪造型!A1" display="玖溪造型!A1"/>
    <hyperlink ref="C20" location="开心杰米!A1" display="开心杰米!A1"/>
    <hyperlink ref="C21" location="润禾益智.积木宝贝2!A1" display="润禾益智.积木宝贝2!A1"/>
    <hyperlink ref="C22" location="乐友达康2!A1" display="乐友达康2!A1"/>
    <hyperlink ref="C23" location="保利!A1" display="保利!A1"/>
    <hyperlink ref="C24" location="多米乐!A1" display="多米乐!A1"/>
    <hyperlink ref="C25" location="童言童话.世纪金源!A1" display="童言童话.世纪金源!A1"/>
    <hyperlink ref="C26" location="新辣道!A1" display="新辣道!A1"/>
    <hyperlink ref="C27" location="豪尚豪!A1" display="豪尚豪!A1"/>
    <hyperlink ref="C28" location="新宏状元!A1" display="新宏状元!A1"/>
    <hyperlink ref="C29" location="渝都仁和.渝是乎!A1" display="渝都仁和.渝是乎!A1"/>
    <hyperlink ref="C30" location="呷哺!A1" display="呷哺!A1"/>
    <hyperlink ref="C31" location="阿杜餐饮!A1" display="阿杜餐饮!A1"/>
    <hyperlink ref="C32" location="小潇湘府!A1" display="小潇湘府!A1"/>
    <hyperlink ref="C33" location="云尊府!A1" display="云尊府!A1"/>
    <hyperlink ref="C34" location="谢蟹浓餐饮!A1" display="谢蟹浓餐饮!A1"/>
    <hyperlink ref="C35" location="乐活康体!A1" display="乐活康体!A1"/>
    <hyperlink ref="C36" location="麟艺果!A1" display="麟艺果!A1"/>
    <hyperlink ref="C37" location="艺海同声2!A1" display="艺海同声2!A1"/>
    <hyperlink ref="C38" location="宏远常青!A1" display="宏远常青!A1"/>
    <hyperlink ref="C39" location="海底捞!A1" display="海底捞!A1"/>
    <hyperlink ref="C40" location="木屋烧烤!A1" display="木屋烧烤!A1"/>
    <hyperlink ref="C41" location="小主播!A1" display="小主播!A1"/>
    <hyperlink ref="C42" location="江南谣!A1" display="江南谣!A1"/>
    <hyperlink ref="C43" location="羊蝎子!A1" display="羊蝎子!A1"/>
    <hyperlink ref="C44" location="ruichen.vivi!A1" display="ruichen.vivi!A1"/>
    <hyperlink ref="C45" location="卡资莉!A1" display="卡资莉!A1"/>
    <hyperlink ref="C46" location="精工眼镜!A1" display="精工眼镜!A1"/>
    <hyperlink ref="C48" location="中国黄金!A1" display="中国黄金!A1"/>
    <hyperlink ref="C49" location="耐克!A1" display="耐克!A1"/>
    <hyperlink ref="C50" location="阿迪达斯!A1" display="阿迪达斯!A1"/>
    <hyperlink ref="C53" location="九亩花田!A1" display="九亩花田!A1"/>
    <hyperlink ref="C54" location="荣耀!A1" display="荣耀!A1"/>
    <hyperlink ref="C55" location="青山百世!A1" display="青山百世!A1"/>
    <hyperlink ref="C56" location="TOP!A1" display="TOP!A1"/>
    <hyperlink ref="C57" location="海澜之家!A1" display="海澜之家!A1"/>
    <hyperlink ref="C58" location="顺势通达!A1" display="顺势通达!A1"/>
    <hyperlink ref="C59" location="千佰莉!A1" display="千佰莉!A1"/>
    <hyperlink ref="C60" location="乐高!A1" display="乐高!A1"/>
    <hyperlink ref="C61" location="巴布豆!A1" display="巴布豆!A1"/>
    <hyperlink ref="C62" location="热风!A1" display="热风!A1"/>
    <hyperlink ref="C63" location="大嘴猴!A1" display="大嘴猴!A1"/>
    <hyperlink ref="C64" location="美邦!A1" display="美邦!A1"/>
    <hyperlink ref="C65" location="七度!A1" display="七度!A1"/>
    <hyperlink ref="C66" location="便利蜂!A1" display="便利蜂!A1"/>
    <hyperlink ref="C67" location="回力!A1" display="回力!A1"/>
    <hyperlink ref="C68" location="周大福!A1" display="周大福!A1"/>
    <hyperlink ref="C69" location="柏思芊!A1" display="柏思芊!A1"/>
    <hyperlink ref="C70" location="花印!A1" display="花印!A1"/>
    <hyperlink ref="C71" location="小米之家!A1" display="小米之家!A1"/>
    <hyperlink ref="C72" location="惠人口腔015!A1" display="惠人口腔015!A1"/>
    <hyperlink ref="C73" location="名创优品!A1" display="名创优品!A1"/>
    <hyperlink ref="C74" location="美资纯品!A1" display="美资纯品!A1"/>
    <hyperlink ref="C75" location="松山棉店!A1" display="松山棉店!A1"/>
    <hyperlink ref="C76" location="凑合一口串串香!A1" display="凑合一口串串香!A1"/>
    <hyperlink ref="C77" location="多乐之日!A1" display="多乐之日!A1"/>
    <hyperlink ref="C78" location="李宁!A1" display="李宁!A1"/>
    <hyperlink ref="C79" location="HOTMAX!A1" display="HOTMAX!A1"/>
    <hyperlink ref="C80" location="探路者!A1" display="探路者!A1"/>
    <hyperlink ref="C81" location="都主任牛肉!A1" display="都主任牛肉!A1"/>
    <hyperlink ref="C82" location="源氏木语!A1" display="源氏木语!A1"/>
    <hyperlink ref="C83" location="兰丝秀1!A1" display="兰丝秀1!A1"/>
    <hyperlink ref="C84" location="JJ!A1" display="JJ!A1"/>
    <hyperlink ref="C85" location="VM!A1" display="VM!A1"/>
    <hyperlink ref="C86" location="ONLY!A1" display="ONLY!A1"/>
    <hyperlink ref="C87" location="京东之家!A1" display="京东之家!A1"/>
    <hyperlink ref="C88" location="乐客VR!A1" display="乐客VR!A1"/>
    <hyperlink ref="C89" location="半天妖烤鱼!A1" display="半天妖烤鱼!A1"/>
    <hyperlink ref="C90" location="半天妖!A1" display="半天妖!A1"/>
    <hyperlink ref="C91" location="鸿星尔克!A1" display="鸿星尔克!A1"/>
    <hyperlink ref="C92" location="励创体育!A1" display="励创体育!A1"/>
    <hyperlink ref="C93" location="拣加C!A1" display="拣加C!A1"/>
    <hyperlink ref="C94" location="韩喜家!A1" display="韩喜家!A1"/>
    <hyperlink ref="C95" location="遇见小面!A1" display="遇见小面!A1"/>
    <hyperlink ref="C96" location="安踏!A1" display="安踏!A1"/>
    <hyperlink ref="C97" location="COCO奶茶!A1" display="COCO奶茶!A1"/>
    <hyperlink ref="C98" location="瑞幸咖啡!A1" display="瑞幸咖啡!A1"/>
    <hyperlink ref="C99" location="小护士2!A1" display="小护士2!A1"/>
  </hyperlinks>
  <pageMargins left="0.7" right="0.7" top="0.75" bottom="0.75" header="0.3" footer="0.3"/>
  <pageSetup paperSize="9" orientation="portrait" horizontalDpi="200" verticalDpi="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7" t="s">
        <v>2838</v>
      </c>
      <c r="B1" s="3777"/>
      <c r="C1" s="3777"/>
      <c r="D1" s="3777"/>
      <c r="E1" s="3777"/>
      <c r="F1" s="3777"/>
      <c r="G1" s="3778"/>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75" t="s">
        <v>2865</v>
      </c>
      <c r="B3" s="3225"/>
      <c r="C3" s="3226" t="s">
        <v>2808</v>
      </c>
      <c r="D3" s="3226" t="s">
        <v>2866</v>
      </c>
      <c r="E3" s="3226" t="s">
        <v>2810</v>
      </c>
      <c r="F3" s="3226" t="s">
        <v>2867</v>
      </c>
      <c r="G3" s="3226" t="s">
        <v>2628</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76"/>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9" t="s">
        <v>3180</v>
      </c>
      <c r="B1" s="3779"/>
    </row>
    <row r="2" spans="1:7" ht="14.25" thickBot="1">
      <c r="A2" s="3250"/>
      <c r="B2" s="3250"/>
    </row>
    <row r="3" spans="1:7" ht="14.25" thickBot="1">
      <c r="A3" s="3250"/>
      <c r="B3" s="3250"/>
      <c r="C3" s="3251" t="s">
        <v>2808</v>
      </c>
      <c r="D3" s="3251" t="s">
        <v>2866</v>
      </c>
      <c r="E3" s="3251" t="s">
        <v>2810</v>
      </c>
      <c r="F3" s="3251" t="s">
        <v>2867</v>
      </c>
      <c r="G3" s="3251" t="s">
        <v>2628</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80" t="s">
        <v>3231</v>
      </c>
      <c r="B1" s="3780"/>
      <c r="C1" s="3780"/>
      <c r="D1" s="3780"/>
      <c r="E1" s="3780"/>
      <c r="F1" s="3781"/>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L55" sqref="AL55"/>
    </sheetView>
  </sheetViews>
  <sheetFormatPr defaultRowHeight="13.5"/>
  <cols>
    <col min="1" max="1" width="13.875" customWidth="1"/>
    <col min="11" max="17" width="0" hidden="1" customWidth="1"/>
    <col min="25" max="30" width="0" hidden="1" customWidth="1"/>
  </cols>
  <sheetData>
    <row r="1" spans="1:30">
      <c r="A1" s="3216">
        <f>基准地价修正!G23</f>
        <v>45058</v>
      </c>
      <c r="B1" s="3205" t="s">
        <v>2837</v>
      </c>
      <c r="C1" s="3206"/>
      <c r="D1" s="3206"/>
      <c r="E1" s="3206"/>
      <c r="F1" s="3206"/>
      <c r="G1" s="3206"/>
      <c r="H1" s="3206"/>
      <c r="I1" s="3206"/>
      <c r="J1" s="3160"/>
      <c r="K1" s="3206" t="s">
        <v>454</v>
      </c>
      <c r="L1" s="3206"/>
      <c r="M1" s="3206"/>
      <c r="N1" s="3206"/>
      <c r="O1" s="3206"/>
      <c r="P1" s="3206"/>
      <c r="Q1" s="3160"/>
      <c r="R1" s="3782" t="s">
        <v>456</v>
      </c>
      <c r="S1" s="3783"/>
      <c r="T1" s="3783"/>
      <c r="U1" s="3783"/>
      <c r="V1" s="3783"/>
      <c r="W1" s="3783"/>
      <c r="X1" s="3160"/>
      <c r="Y1" s="3782" t="s">
        <v>457</v>
      </c>
      <c r="Z1" s="3783"/>
      <c r="AA1" s="3783"/>
      <c r="AB1" s="3783"/>
      <c r="AC1" s="3783"/>
      <c r="AD1" s="3783"/>
    </row>
    <row r="2" spans="1:30" s="3138" customFormat="1" ht="14.25" thickBot="1">
      <c r="B2" s="3139"/>
      <c r="C2" s="3140"/>
      <c r="D2" s="3141" t="s">
        <v>2807</v>
      </c>
      <c r="E2" s="3142" t="s">
        <v>2808</v>
      </c>
      <c r="F2" s="3142" t="s">
        <v>2809</v>
      </c>
      <c r="G2" s="3142" t="s">
        <v>2810</v>
      </c>
      <c r="H2" s="3142" t="s">
        <v>2811</v>
      </c>
      <c r="I2" s="3142" t="s">
        <v>2628</v>
      </c>
      <c r="J2" s="3143"/>
      <c r="K2" s="3141" t="s">
        <v>2807</v>
      </c>
      <c r="L2" s="3142" t="s">
        <v>2808</v>
      </c>
      <c r="M2" s="3142" t="s">
        <v>2809</v>
      </c>
      <c r="N2" s="3142" t="s">
        <v>2810</v>
      </c>
      <c r="O2" s="3142" t="s">
        <v>2812</v>
      </c>
      <c r="P2" s="3142" t="s">
        <v>2628</v>
      </c>
      <c r="Q2" s="3143"/>
      <c r="R2" s="3141" t="s">
        <v>2807</v>
      </c>
      <c r="S2" s="3142" t="s">
        <v>2808</v>
      </c>
      <c r="T2" s="3142" t="s">
        <v>2809</v>
      </c>
      <c r="U2" s="3142" t="s">
        <v>2813</v>
      </c>
      <c r="V2" s="3142" t="s">
        <v>2814</v>
      </c>
      <c r="W2" s="3142" t="s">
        <v>2628</v>
      </c>
      <c r="X2" s="3143"/>
      <c r="Y2" s="3141" t="s">
        <v>2807</v>
      </c>
      <c r="Z2" s="3142" t="s">
        <v>2808</v>
      </c>
      <c r="AA2" s="3142" t="s">
        <v>2809</v>
      </c>
      <c r="AB2" s="3142" t="s">
        <v>2815</v>
      </c>
      <c r="AC2" s="3142" t="s">
        <v>2814</v>
      </c>
      <c r="AD2" s="3142" t="s">
        <v>2628</v>
      </c>
    </row>
    <row r="3" spans="1:30" s="3156" customFormat="1" ht="12.75">
      <c r="A3" s="3144" t="s">
        <v>2816</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3366</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3367</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3365</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3368</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3369</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3361</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3352</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3363</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782" t="s">
        <v>2825</v>
      </c>
      <c r="S21" s="3783"/>
      <c r="T21" s="3783"/>
      <c r="U21" s="3783"/>
      <c r="V21" s="3783"/>
      <c r="W21" s="3783"/>
      <c r="X21" s="3160"/>
      <c r="Y21" s="3782" t="s">
        <v>2826</v>
      </c>
      <c r="Z21" s="3783"/>
      <c r="AA21" s="3783"/>
      <c r="AB21" s="3783"/>
      <c r="AC21" s="3783"/>
      <c r="AD21" s="3783"/>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3366</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3367</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3365</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3368</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3369</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3362</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3352</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3364</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2307</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0" sqref="D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26483.24</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55934</v>
      </c>
      <c r="C2" s="1998" t="s">
        <v>1934</v>
      </c>
      <c r="D2" s="1999" t="s">
        <v>1935</v>
      </c>
      <c r="E2" s="3417" t="s">
        <v>673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Ⅵ-昌2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14755</v>
      </c>
      <c r="U2" s="1212">
        <f>'数据-基础表'!I13</f>
        <v>11810.92</v>
      </c>
      <c r="V2" s="3356">
        <f>ROUND(T2*U2/10000,0)</f>
        <v>17427</v>
      </c>
      <c r="W2" s="1215"/>
      <c r="X2" s="1215"/>
      <c r="Y2" s="1215"/>
      <c r="Z2" s="1215"/>
      <c r="AA2" s="1215"/>
      <c r="AB2" s="1215"/>
      <c r="AC2" s="1216"/>
      <c r="AD2" s="1217"/>
      <c r="AE2" s="1217"/>
      <c r="AF2" s="1217"/>
      <c r="AG2" s="1217"/>
      <c r="AH2" s="1217"/>
      <c r="AI2" s="1217"/>
      <c r="AJ2" s="1218"/>
    </row>
    <row r="3" spans="1:36" ht="15.75">
      <c r="A3" s="203" t="s">
        <v>1939</v>
      </c>
      <c r="B3" s="204">
        <f>ROUND(B2*10000/D1,0)</f>
        <v>21121</v>
      </c>
      <c r="C3" s="1998" t="s">
        <v>1940</v>
      </c>
      <c r="D3" s="1999" t="s">
        <v>1941</v>
      </c>
      <c r="E3" s="3415" t="s">
        <v>2436</v>
      </c>
      <c r="F3" s="2003" t="s">
        <v>3425</v>
      </c>
      <c r="G3" s="752">
        <f>IF(F3="宗地容积率",'数据-汇总表'!I4,IF(F3="估价对象容积率",'数据-汇总表'!I6,'数据-汇总表'!I7))</f>
        <v>2.29</v>
      </c>
      <c r="H3" s="170" t="s">
        <v>1942</v>
      </c>
      <c r="I3" s="775">
        <v>1</v>
      </c>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1.1838</v>
      </c>
      <c r="T3" s="3356">
        <f t="shared" si="0"/>
        <v>11630</v>
      </c>
      <c r="U3" s="1212">
        <f>'数据-基础表'!I14</f>
        <v>12045.64</v>
      </c>
      <c r="V3" s="3356">
        <f t="shared" ref="V3:V16" si="1">ROUND(T3*U3/10000,0)</f>
        <v>14009</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9829</v>
      </c>
      <c r="U4" s="1212">
        <f>'数据-基础表'!I15</f>
        <v>12019.87</v>
      </c>
      <c r="V4" s="3356">
        <f t="shared" si="1"/>
        <v>11814</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10950</v>
      </c>
      <c r="D5" s="1338">
        <f>ROUND(C6*C17+C20,0)</f>
        <v>10950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8669</v>
      </c>
      <c r="U5" s="1212">
        <f>'数据-基础表'!I16</f>
        <v>2751.25</v>
      </c>
      <c r="V5" s="3356">
        <f t="shared" si="1"/>
        <v>2385</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10970</v>
      </c>
      <c r="D6" s="2016"/>
      <c r="E6" s="2017"/>
      <c r="F6" s="2017"/>
      <c r="G6" s="2018"/>
      <c r="H6" s="2018"/>
      <c r="I6" s="2018"/>
      <c r="J6" s="2019"/>
      <c r="K6" s="1383"/>
      <c r="L6" s="2002" t="s">
        <v>1950</v>
      </c>
      <c r="M6" s="864">
        <f>SUMPRODUCT((区片价!B127:B189=I2)*(区片价!C3:G3=E2)*(区片价!C127:G189))</f>
        <v>10970</v>
      </c>
      <c r="N6" s="866">
        <f>SUMPRODUCT((因素修正幅度!B127:B189=I2)*(因素修正幅度!C3:G3=E2)*(因素修正幅度!C127:G189))</f>
        <v>0.13</v>
      </c>
      <c r="O6" s="1119"/>
      <c r="P6" s="1119"/>
      <c r="Q6" s="1119"/>
      <c r="R6" s="1211">
        <v>5</v>
      </c>
      <c r="S6" s="3356">
        <f>ROUND(SUMPRODUCT((B106:B110=R6)*(C105:N105=G2)*(C106:N110)),4)</f>
        <v>0.84799999999999998</v>
      </c>
      <c r="T6" s="3356">
        <f t="shared" si="0"/>
        <v>8331</v>
      </c>
      <c r="U6" s="1212"/>
      <c r="V6" s="3356">
        <f t="shared" si="1"/>
        <v>0</v>
      </c>
      <c r="W6" s="1215"/>
      <c r="X6" s="1215"/>
      <c r="Y6" s="1215"/>
      <c r="Z6" s="1215"/>
      <c r="AA6" s="1215"/>
      <c r="AB6" s="1215"/>
      <c r="AC6" s="2010"/>
      <c r="AD6" s="2011"/>
      <c r="AE6" s="2011"/>
      <c r="AF6" s="2011"/>
      <c r="AG6" s="2011"/>
      <c r="AH6" s="2011"/>
      <c r="AI6" s="2011"/>
      <c r="AJ6" s="2012"/>
    </row>
    <row r="7" spans="1:36" ht="24.75" thickBot="1">
      <c r="A7" s="3299" t="s">
        <v>3236</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1954</v>
      </c>
      <c r="X7" s="1213" t="str">
        <f>G2</f>
        <v>六级</v>
      </c>
      <c r="Y7" s="1213" t="s">
        <v>1955</v>
      </c>
      <c r="Z7" s="1214">
        <f>G3</f>
        <v>2.29</v>
      </c>
      <c r="AA7" s="1215"/>
      <c r="AB7" s="1215"/>
      <c r="AC7" s="1216"/>
      <c r="AD7" s="1217"/>
      <c r="AE7" s="1217"/>
      <c r="AF7" s="1217"/>
      <c r="AG7" s="1217"/>
      <c r="AH7" s="1217"/>
      <c r="AI7" s="1217"/>
      <c r="AJ7" s="1218"/>
    </row>
    <row r="8" spans="1:36" ht="25.5">
      <c r="A8" s="3294"/>
      <c r="B8" s="170" t="s">
        <v>1956</v>
      </c>
      <c r="C8" s="2025" t="s">
        <v>3422</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48" t="s">
        <v>1959</v>
      </c>
      <c r="X8" s="3749"/>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4"/>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50"/>
      <c r="X9" s="3357" t="s">
        <v>3266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5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3237</v>
      </c>
      <c r="B12" s="3300" t="s">
        <v>3238</v>
      </c>
      <c r="C12" s="3301"/>
      <c r="D12" s="3302" t="s">
        <v>3239</v>
      </c>
      <c r="E12" s="3303" t="s">
        <v>3240</v>
      </c>
      <c r="F12" s="3304"/>
      <c r="G12" s="3305"/>
      <c r="H12" s="3305"/>
      <c r="I12" s="3305"/>
      <c r="J12" s="3306"/>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3241</v>
      </c>
      <c r="B13" s="2033" t="s">
        <v>1981</v>
      </c>
      <c r="C13" s="755">
        <f>ROUND(C16*D16*E16*F16*G16*H16*I16*J16,4)</f>
        <v>0</v>
      </c>
      <c r="D13" s="2034" t="s">
        <v>1982</v>
      </c>
      <c r="E13" s="2035"/>
      <c r="F13" s="2035"/>
      <c r="G13" s="2036"/>
      <c r="H13" s="2036"/>
      <c r="I13" s="2036"/>
      <c r="J13" s="2037"/>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9" t="s">
        <v>1984</v>
      </c>
      <c r="C14" s="2040" t="s">
        <v>1985</v>
      </c>
      <c r="D14" s="1349" t="s">
        <v>1986</v>
      </c>
      <c r="E14" s="27" t="s">
        <v>1987</v>
      </c>
      <c r="F14" s="3307" t="s">
        <v>3242</v>
      </c>
      <c r="G14" s="3307" t="s">
        <v>3242</v>
      </c>
      <c r="H14" s="3307" t="s">
        <v>3242</v>
      </c>
      <c r="I14" s="3307" t="s">
        <v>3242</v>
      </c>
      <c r="J14" s="3307" t="s">
        <v>3242</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41"/>
      <c r="C15" s="2042"/>
      <c r="D15" s="2043"/>
      <c r="E15" s="2044"/>
      <c r="F15" s="3308" t="s">
        <v>3243</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6"/>
      <c r="M16" s="1996"/>
      <c r="N16" s="1996"/>
      <c r="O16" s="1996"/>
      <c r="P16" s="1996"/>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5"/>
      <c r="C18" s="3323"/>
      <c r="D18" s="3318" t="s">
        <v>3247</v>
      </c>
      <c r="E18" s="3324"/>
      <c r="F18" s="3319" t="s">
        <v>3250</v>
      </c>
      <c r="G18" s="3323">
        <f>ROUND(1-(1/(POWER(1+G24,E18))),4)</f>
        <v>0</v>
      </c>
      <c r="H18" s="3319" t="s">
        <v>3252</v>
      </c>
      <c r="I18" s="3323">
        <f>ROUND(1-(1/(POWER(1+G24,J24))),4)</f>
        <v>0.88249999999999995</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3"/>
    </row>
    <row r="19" spans="1:37" s="2013" customFormat="1" ht="15" thickBot="1">
      <c r="A19" s="3330"/>
      <c r="B19" s="3331"/>
      <c r="C19" s="3332"/>
      <c r="D19" s="3332" t="s">
        <v>3248</v>
      </c>
      <c r="E19" s="3333"/>
      <c r="F19" s="3334" t="s">
        <v>3251</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6"/>
      <c r="AH19" s="2140"/>
      <c r="AI19" s="2787"/>
      <c r="AJ19" s="2787"/>
      <c r="AK19" s="2056"/>
    </row>
    <row r="20" spans="1:37" s="2013" customFormat="1" ht="14.25">
      <c r="A20" s="3755" t="s">
        <v>3253</v>
      </c>
      <c r="B20" s="167" t="s">
        <v>1993</v>
      </c>
      <c r="C20" s="3320">
        <f>ROUND(IF(F21="与级别开发程度一致",0,(G21-E21)/C21),0)</f>
        <v>-20</v>
      </c>
      <c r="D20" s="3336" t="s">
        <v>1997</v>
      </c>
      <c r="E20" s="3337"/>
      <c r="F20" s="3761" t="s">
        <v>1994</v>
      </c>
      <c r="G20" s="3762"/>
      <c r="H20" s="3321" t="s">
        <v>3385</v>
      </c>
      <c r="I20" s="3321" t="s">
        <v>3386</v>
      </c>
      <c r="J20" s="3322" t="s">
        <v>3387</v>
      </c>
      <c r="K20" s="2046" t="s">
        <v>3388</v>
      </c>
      <c r="L20" s="2046" t="s">
        <v>3389</v>
      </c>
      <c r="M20" s="2046" t="s">
        <v>3390</v>
      </c>
      <c r="N20" s="2046" t="s">
        <v>3391</v>
      </c>
      <c r="O20" s="2047" t="s">
        <v>43</v>
      </c>
      <c r="P20" s="1996"/>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3" customFormat="1" ht="26.25" thickBot="1">
      <c r="A21" s="3756"/>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3423</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3" customFormat="1" ht="15.75" thickBot="1">
      <c r="A22" s="2157" t="s">
        <v>363</v>
      </c>
      <c r="B22" s="2158" t="s">
        <v>1999</v>
      </c>
      <c r="C22" s="2159">
        <f>SUMIF(修正!C20:C51,E3,修正!E20:E51)</f>
        <v>1</v>
      </c>
      <c r="D22" s="2160"/>
      <c r="E22" s="2161"/>
      <c r="F22" s="2161"/>
      <c r="G22" s="2161"/>
      <c r="H22" s="2161"/>
      <c r="I22" s="2161"/>
      <c r="J22" s="2162"/>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3" t="s">
        <v>2001</v>
      </c>
      <c r="E23" s="761">
        <v>44197</v>
      </c>
      <c r="F23" s="2053" t="s">
        <v>2002</v>
      </c>
      <c r="G23" s="762">
        <f>'数据-取费表'!B2</f>
        <v>45058</v>
      </c>
      <c r="H23" s="3338" t="s">
        <v>3254</v>
      </c>
      <c r="I23" s="3339" t="str">
        <f>IF(H23="季度增幅（自定义）",SUMIF(N25:N28,E2,O25:O28),"")</f>
        <v/>
      </c>
      <c r="J23" s="3441" t="s">
        <v>3424</v>
      </c>
      <c r="K23" s="1125"/>
      <c r="L23" s="2054" t="s">
        <v>2003</v>
      </c>
      <c r="M23" s="1327">
        <f>ROUND(SUMIF(地价!B2:G2,E2,地价!B16:G16),0)</f>
        <v>350</v>
      </c>
      <c r="N23" s="2055" t="s">
        <v>2004</v>
      </c>
      <c r="O23" s="763">
        <f>ROUNDDOWN(DATEDIF(E23,G23,"M")/3,0)</f>
        <v>9</v>
      </c>
      <c r="P23" s="1122"/>
      <c r="Q23" s="278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0.84130000000000005</v>
      </c>
      <c r="D24" s="2059" t="s">
        <v>2006</v>
      </c>
      <c r="E24" s="1334">
        <f>存贷款利率!E22/100</f>
        <v>4.3499999999999997E-2</v>
      </c>
      <c r="F24" s="2059" t="s">
        <v>1998</v>
      </c>
      <c r="G24" s="768">
        <f>SUMIF(M30:Q30,E2,M33:Q33)</f>
        <v>5.5E-2</v>
      </c>
      <c r="H24" s="2059" t="s">
        <v>2007</v>
      </c>
      <c r="I24" s="769">
        <f>SUMIF('数据-取费表'!C6:C15,E2,'数据-取费表'!F6:F15)/COUNTIF('数据-取费表'!C6:C15,E2)</f>
        <v>25.34</v>
      </c>
      <c r="J24" s="770">
        <f>IF(E2="住宅",70,IF(E2="商业",40,50))</f>
        <v>40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4" t="s">
        <v>366</v>
      </c>
      <c r="B25" s="2065" t="s">
        <v>3435</v>
      </c>
      <c r="C25" s="771">
        <f>IF(B25="容积率修正",IF(G3&lt;10,D26,J26),C27)</f>
        <v>1.5019</v>
      </c>
      <c r="D25" s="2066"/>
      <c r="E25" s="2066"/>
      <c r="F25" s="2066"/>
      <c r="G25" s="2066"/>
      <c r="H25" s="2066"/>
      <c r="I25" s="2066"/>
      <c r="J25" s="2067"/>
      <c r="K25" s="1125"/>
      <c r="L25" s="2783"/>
      <c r="M25" s="2783"/>
      <c r="N25" s="2068"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0" t="s">
        <v>3255</v>
      </c>
      <c r="D26" s="1351">
        <f>IF(E26=G26,F26,IF(G3&lt;10,ROUND(F26+(H26-F26)*(G3-E26)/(G26-E26),4),"——"))</f>
        <v>1.0161</v>
      </c>
      <c r="E26" s="752">
        <f>ROUNDDOWN(G3,1)</f>
        <v>2.2000000000000002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752">
        <f>ROUNDUP(G3,1)</f>
        <v>2.3000000000000003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3340" t="s">
        <v>3256</v>
      </c>
      <c r="J26" s="772" t="str">
        <f>IF(G3&gt;=10,D115,"——")</f>
        <v>——</v>
      </c>
      <c r="K26" s="1125"/>
      <c r="L26" s="2783"/>
      <c r="M26" s="2783"/>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1.5019</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1.0309999999999999</v>
      </c>
      <c r="D28" s="2051"/>
      <c r="E28" s="2076"/>
      <c r="F28" s="2076"/>
      <c r="G28" s="2076"/>
      <c r="H28" s="2076"/>
      <c r="I28" s="2076"/>
      <c r="J28" s="2077"/>
      <c r="K28" s="1125"/>
      <c r="L28" s="2783"/>
      <c r="M28" s="2783"/>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55934</v>
      </c>
      <c r="D30" s="2082"/>
      <c r="E30" s="2045"/>
      <c r="F30" s="2083"/>
      <c r="G30" s="2045"/>
      <c r="H30" s="2045"/>
      <c r="I30" s="2045"/>
      <c r="J30" s="2084"/>
      <c r="K30" s="1119"/>
      <c r="L30" s="3346" t="s">
        <v>1935</v>
      </c>
      <c r="M30" s="3347" t="s">
        <v>1989</v>
      </c>
      <c r="N30" s="3347" t="s">
        <v>1990</v>
      </c>
      <c r="O30" s="3347" t="s">
        <v>1991</v>
      </c>
      <c r="P30" s="3347" t="s">
        <v>1992</v>
      </c>
      <c r="Q30" s="3350" t="s">
        <v>3260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2575</v>
      </c>
      <c r="D31" s="2086"/>
      <c r="E31" s="2087"/>
      <c r="F31" s="2088"/>
      <c r="G31" s="2087"/>
      <c r="H31" s="2087"/>
      <c r="I31" s="2087"/>
      <c r="J31" s="2089"/>
      <c r="K31" s="1119"/>
      <c r="L31" s="3348" t="s">
        <v>1995</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14755</v>
      </c>
      <c r="D33" s="2097"/>
      <c r="E33" s="773">
        <f>ROUND(C33*D33/10000,0)</f>
        <v>0</v>
      </c>
      <c r="F33" s="3341" t="s">
        <v>3258</v>
      </c>
      <c r="G33" s="2098"/>
      <c r="H33" s="2098"/>
      <c r="I33" s="2098"/>
      <c r="J33" s="2099"/>
      <c r="K33" s="1119"/>
      <c r="L33" s="3344" t="s">
        <v>3261</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3262</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3259</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3263</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9"/>
      <c r="B37" s="2112" t="s">
        <v>2035</v>
      </c>
      <c r="C37" s="175">
        <f>ROUND(D5*C22*C23*C24*C28*F37,0)</f>
        <v>5895</v>
      </c>
      <c r="D37" s="2097">
        <f>'数据-基础表'!K17+'数据-基础表'!K18</f>
        <v>14121.230000000001</v>
      </c>
      <c r="E37" s="171">
        <f>ROUND(C37*D37/10000,0)</f>
        <v>8324</v>
      </c>
      <c r="F37" s="171">
        <f>SUMIF(修正!A57:A68,G2,修正!B57:B68)</f>
        <v>0.6</v>
      </c>
      <c r="G37" s="171">
        <f>ROUND(IF(E2="工业",C37*$M$42,C37*$M$41),0)</f>
        <v>1474</v>
      </c>
      <c r="H37" s="171">
        <f>D37</f>
        <v>14121.230000000001</v>
      </c>
      <c r="I37" s="171">
        <f>ROUND(G37*H37/10000,0)</f>
        <v>2081</v>
      </c>
      <c r="J37" s="3007"/>
      <c r="K37" s="3354" t="s">
        <v>3264</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0"/>
      <c r="B38" s="2040" t="s">
        <v>2036</v>
      </c>
      <c r="C38" s="175">
        <f>ROUND(D5*C22*C23*C24*C28*F38,0)</f>
        <v>2947</v>
      </c>
      <c r="D38" s="2097"/>
      <c r="E38" s="171">
        <f t="shared" ref="E38:E42" si="4">ROUND(C38*D38/10000,0)</f>
        <v>0</v>
      </c>
      <c r="F38" s="171">
        <f>SUMIF(修正!A57:A68,G2,修正!C57:C68)</f>
        <v>0.3</v>
      </c>
      <c r="G38" s="171">
        <f>ROUND(IF(E2="工业",C38*$M$42,C38*$M$41),0)</f>
        <v>737</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0"/>
      <c r="B39" s="2040" t="s">
        <v>3257</v>
      </c>
      <c r="C39" s="175">
        <f>ROUND(D5*C22*C23*C24*C28*F39,0)</f>
        <v>2456</v>
      </c>
      <c r="D39" s="2097"/>
      <c r="E39" s="171">
        <f t="shared" si="4"/>
        <v>0</v>
      </c>
      <c r="F39" s="171">
        <f>SUMIF(修正!A57:A68,G2,修正!D57:D68)</f>
        <v>0.25</v>
      </c>
      <c r="G39" s="171">
        <f>ROUND(IF(E2="工业",C39*$M$42,C39*$M$41),0)</f>
        <v>614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2456</v>
      </c>
      <c r="D40" s="2097"/>
      <c r="E40" s="171">
        <f t="shared" si="4"/>
        <v>0</v>
      </c>
      <c r="F40" s="175">
        <f>SUMIF(修正!A57:A68,G2,修正!E57:E68)</f>
        <v>0.25</v>
      </c>
      <c r="G40" s="171">
        <f>ROUND(IF(E2="工业",C40*$M$42,C40*$M$41),0)</f>
        <v>614</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2663</v>
      </c>
      <c r="D41" s="2097"/>
      <c r="E41" s="171">
        <f t="shared" si="4"/>
        <v>0</v>
      </c>
      <c r="F41" s="175">
        <f>SUMIF(修正!A57:A68,G2,修正!F57:F68)</f>
        <v>0.25</v>
      </c>
      <c r="G41" s="171">
        <f>ROUND(IF(E2="工业",C41*$M$42,C41*$M$41),0)</f>
        <v>666</v>
      </c>
      <c r="H41" s="171">
        <f t="shared" si="5"/>
        <v>0</v>
      </c>
      <c r="I41" s="171">
        <f t="shared" si="6"/>
        <v>0</v>
      </c>
      <c r="J41" s="2113"/>
      <c r="L41" s="3355" t="s">
        <v>3265</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1598</v>
      </c>
      <c r="D42" s="2102">
        <f>'数据-基础表'!M19</f>
        <v>12362.01</v>
      </c>
      <c r="E42" s="187">
        <f t="shared" si="4"/>
        <v>1975</v>
      </c>
      <c r="F42" s="767">
        <f>SUMIF(修正!A57:A68,G2,修正!G57:G68)</f>
        <v>0.15</v>
      </c>
      <c r="G42" s="187">
        <f>ROUND(IF(E2="工业",C42*$M$42,C42*$M$41),0)</f>
        <v>400</v>
      </c>
      <c r="H42" s="187">
        <f t="shared" si="5"/>
        <v>12362.01</v>
      </c>
      <c r="I42" s="187">
        <f t="shared" si="6"/>
        <v>494</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0.91200000000000003</v>
      </c>
      <c r="D44" s="171" t="s">
        <v>1998</v>
      </c>
      <c r="E44" s="2152">
        <f>G24</f>
        <v>5.5E-2</v>
      </c>
      <c r="F44" s="171" t="s">
        <v>2007</v>
      </c>
      <c r="G44" s="183">
        <f>'数据-取费表'!F7</f>
        <v>35.35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1.0309999999999999</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3" t="s">
        <v>3428</v>
      </c>
      <c r="D50" s="1065">
        <f t="shared" ref="D50:D58" si="7">SUMIF($J$49:$N$49,C50,J50:N50)</f>
        <v>0</v>
      </c>
      <c r="E50" s="744">
        <f>ROUND(SUM(D50:D58),4)</f>
        <v>3.1E-2</v>
      </c>
      <c r="F50" s="1813">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3" t="s">
        <v>3428</v>
      </c>
      <c r="D51" s="1065">
        <f t="shared" si="7"/>
        <v>0</v>
      </c>
      <c r="E51" s="745"/>
      <c r="F51" s="1813"/>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3267</v>
      </c>
      <c r="B52" s="2133">
        <f>估价对象房地状况!C19</f>
        <v>0</v>
      </c>
      <c r="C52" s="2043" t="s">
        <v>3426</v>
      </c>
      <c r="D52" s="1065">
        <f t="shared" si="7"/>
        <v>7.7999999999999996E-3</v>
      </c>
      <c r="E52" s="745"/>
      <c r="F52" s="1813"/>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3426</v>
      </c>
      <c r="D53" s="1065">
        <f t="shared" si="7"/>
        <v>3.2000000000000002E-3</v>
      </c>
      <c r="E53" s="745"/>
      <c r="F53" s="1813"/>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3428</v>
      </c>
      <c r="D54" s="1065">
        <f t="shared" si="7"/>
        <v>0</v>
      </c>
      <c r="E54" s="745"/>
      <c r="F54" s="1813"/>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3" t="s">
        <v>3426</v>
      </c>
      <c r="D55" s="1065">
        <f t="shared" si="7"/>
        <v>3.2000000000000002E-3</v>
      </c>
      <c r="E55" s="745"/>
      <c r="F55" s="1813"/>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5" t="str">
        <f>估价对象房地状况!C21</f>
        <v>较好</v>
      </c>
      <c r="C56" s="2043" t="s">
        <v>3426</v>
      </c>
      <c r="D56" s="1065">
        <f t="shared" si="7"/>
        <v>3.2000000000000002E-3</v>
      </c>
      <c r="E56" s="745"/>
      <c r="F56" s="1813"/>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3" t="s">
        <v>3434</v>
      </c>
      <c r="D57" s="1065">
        <f t="shared" si="7"/>
        <v>1.04E-2</v>
      </c>
      <c r="E57" s="745"/>
      <c r="F57" s="1813"/>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3" t="s">
        <v>3426</v>
      </c>
      <c r="D58" s="1065">
        <f t="shared" si="7"/>
        <v>3.2000000000000002E-3</v>
      </c>
      <c r="E58" s="746"/>
      <c r="F58" s="1813"/>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一般</v>
      </c>
      <c r="C61" s="2043"/>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一般</v>
      </c>
      <c r="C62" s="2043"/>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3267</v>
      </c>
      <c r="B63" s="2133">
        <f>估价对象房地状况!C19</f>
        <v>0</v>
      </c>
      <c r="C63" s="2043"/>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较好</v>
      </c>
      <c r="C67" s="2043"/>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七通</v>
      </c>
      <c r="C68" s="2043"/>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较好</v>
      </c>
      <c r="C69" s="2043"/>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一般</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3267</v>
      </c>
      <c r="B74" s="2133">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较好</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七通</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较好</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2"/>
      <c r="AG84" s="1121"/>
      <c r="AK84" s="2052"/>
    </row>
    <row r="85" spans="1:37" ht="36">
      <c r="A85" s="3364" t="s">
        <v>3268</v>
      </c>
      <c r="B85" s="2133">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2"/>
      <c r="AG85" s="1121"/>
      <c r="AK85" s="2052"/>
    </row>
    <row r="86" spans="1:37" ht="14.25">
      <c r="A86" s="2129" t="s">
        <v>2066</v>
      </c>
      <c r="B86" s="2133">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2"/>
      <c r="AG86" s="1121"/>
      <c r="AK86" s="2052"/>
    </row>
    <row r="87" spans="1:37" ht="25.5">
      <c r="A87" s="2129" t="s">
        <v>2058</v>
      </c>
      <c r="B87" s="1325"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5"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2609</v>
      </c>
      <c r="B91" s="3373">
        <f>1+E93</f>
        <v>1</v>
      </c>
      <c r="C91" s="3366"/>
      <c r="D91" s="3367"/>
      <c r="E91" s="1813"/>
      <c r="F91" s="1813"/>
      <c r="G91" s="3368"/>
      <c r="H91" s="3369"/>
      <c r="I91" s="3370"/>
      <c r="J91" s="3371"/>
      <c r="K91" s="3371"/>
      <c r="L91" s="3371"/>
      <c r="M91" s="3371"/>
      <c r="N91" s="3371"/>
    </row>
    <row r="92" spans="1:37" ht="24.75">
      <c r="A92" s="3374" t="s">
        <v>3269</v>
      </c>
      <c r="B92" s="3361"/>
      <c r="C92" s="3361" t="s">
        <v>3278</v>
      </c>
      <c r="D92" s="3361" t="s">
        <v>3279</v>
      </c>
      <c r="E92" s="3343" t="s">
        <v>3280</v>
      </c>
      <c r="F92" s="3376" t="s">
        <v>3281</v>
      </c>
      <c r="G92" s="3361" t="s">
        <v>3282</v>
      </c>
      <c r="H92" s="3383" t="s">
        <v>3285</v>
      </c>
      <c r="I92" s="3361" t="s">
        <v>3286</v>
      </c>
      <c r="J92" s="3384" t="s">
        <v>3287</v>
      </c>
      <c r="K92" s="3384" t="s">
        <v>3288</v>
      </c>
      <c r="L92" s="3384" t="s">
        <v>3289</v>
      </c>
      <c r="M92" s="3384" t="s">
        <v>3290</v>
      </c>
      <c r="N92" s="3384" t="s">
        <v>3291</v>
      </c>
    </row>
    <row r="93" spans="1:37" ht="24">
      <c r="A93" s="3364" t="s">
        <v>3270</v>
      </c>
      <c r="B93" s="1305"/>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3271</v>
      </c>
      <c r="B94" s="3365" t="str">
        <f>估价对象房地状况!C18</f>
        <v>一般</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3267</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3272</v>
      </c>
      <c r="B96" s="3380" t="s">
        <v>3283</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3273</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3274</v>
      </c>
      <c r="B98" s="3381" t="s">
        <v>3284</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3275</v>
      </c>
      <c r="B99" s="3365" t="str">
        <f>估价对象房地状况!C21</f>
        <v>较好</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3276</v>
      </c>
      <c r="B100" s="3365" t="str">
        <f>估价对象房地状况!C22</f>
        <v>七通</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3277</v>
      </c>
      <c r="B101" s="3382" t="str">
        <f>估价对象房地状况!C20</f>
        <v>较好</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7" t="s">
        <v>3292</v>
      </c>
      <c r="B103" s="3757"/>
      <c r="C103" s="3757"/>
      <c r="D103" s="3757"/>
      <c r="E103" s="3757"/>
      <c r="F103" s="3757"/>
      <c r="G103" s="3757"/>
      <c r="H103" s="3757"/>
      <c r="I103" s="3757"/>
      <c r="J103" s="3757"/>
      <c r="K103" s="3385"/>
      <c r="L103" s="3385"/>
      <c r="M103" s="3385"/>
      <c r="N103" s="3385"/>
    </row>
    <row r="104" spans="1:14">
      <c r="A104" s="3758" t="s">
        <v>3293</v>
      </c>
      <c r="B104" s="3758" t="s">
        <v>3294</v>
      </c>
      <c r="C104" s="3386" t="s">
        <v>3295</v>
      </c>
      <c r="D104" s="3387"/>
      <c r="E104" s="3387"/>
      <c r="F104" s="3387"/>
      <c r="G104" s="3387"/>
      <c r="H104" s="3387"/>
      <c r="I104" s="3387"/>
      <c r="J104" s="3388"/>
      <c r="K104" s="3389"/>
      <c r="L104" s="3389"/>
      <c r="M104" s="3389"/>
      <c r="N104" s="3389"/>
    </row>
    <row r="105" spans="1:14">
      <c r="A105" s="3758"/>
      <c r="B105" s="3758"/>
      <c r="C105" s="3390" t="s">
        <v>3296</v>
      </c>
      <c r="D105" s="3390" t="s">
        <v>3297</v>
      </c>
      <c r="E105" s="3390" t="s">
        <v>3298</v>
      </c>
      <c r="F105" s="3390" t="s">
        <v>3299</v>
      </c>
      <c r="G105" s="3390" t="s">
        <v>3300</v>
      </c>
      <c r="H105" s="3390" t="s">
        <v>3301</v>
      </c>
      <c r="I105" s="3390" t="s">
        <v>3302</v>
      </c>
      <c r="J105" s="3390" t="s">
        <v>3303</v>
      </c>
      <c r="K105" s="3390" t="s">
        <v>3304</v>
      </c>
      <c r="L105" s="3390" t="s">
        <v>3305</v>
      </c>
      <c r="M105" s="3390" t="s">
        <v>3306</v>
      </c>
      <c r="N105" s="3390" t="s">
        <v>3307</v>
      </c>
    </row>
    <row r="106" spans="1:14">
      <c r="A106" s="3744" t="s">
        <v>3308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5"/>
      <c r="B111" s="3390" t="s">
        <v>3266</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46"/>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47" t="s">
        <v>3309</v>
      </c>
      <c r="B113" s="3747"/>
      <c r="C113" s="3747"/>
      <c r="D113" s="3747"/>
      <c r="E113" s="3747"/>
      <c r="F113" s="3747"/>
      <c r="G113" s="3747"/>
      <c r="H113" s="3747"/>
      <c r="I113" s="3747"/>
      <c r="J113" s="374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3310</v>
      </c>
      <c r="B116" s="3411">
        <f>G3</f>
        <v>2.29</v>
      </c>
      <c r="C116" s="3395" t="s">
        <v>3311</v>
      </c>
      <c r="D116" s="3396">
        <f>SUMPRODUCT((A118:A122=F116)*(B117:M117=H116)*B118:M122)</f>
        <v>0.91690000000000005</v>
      </c>
      <c r="E116" s="1999" t="s">
        <v>3312</v>
      </c>
      <c r="F116" s="3397" t="str">
        <f>E2</f>
        <v>商业</v>
      </c>
      <c r="G116" s="1999" t="s">
        <v>3313</v>
      </c>
      <c r="H116" s="3397" t="str">
        <f>G2</f>
        <v>六级</v>
      </c>
      <c r="I116" s="1999"/>
      <c r="J116" s="3398"/>
      <c r="K116" s="3398"/>
      <c r="L116" s="3398"/>
      <c r="M116" s="3398"/>
      <c r="N116" s="3393"/>
    </row>
    <row r="117" spans="1:14">
      <c r="A117" s="3399"/>
      <c r="B117" s="3400" t="s">
        <v>3314</v>
      </c>
      <c r="C117" s="3400" t="s">
        <v>3315</v>
      </c>
      <c r="D117" s="3400" t="s">
        <v>3316</v>
      </c>
      <c r="E117" s="3401" t="s">
        <v>3317</v>
      </c>
      <c r="F117" s="3401" t="s">
        <v>3318</v>
      </c>
      <c r="G117" s="3401" t="s">
        <v>3319</v>
      </c>
      <c r="H117" s="3402" t="s">
        <v>3320</v>
      </c>
      <c r="I117" s="3402" t="s">
        <v>3321</v>
      </c>
      <c r="J117" s="3403" t="s">
        <v>3322</v>
      </c>
      <c r="K117" s="3403" t="s">
        <v>3323</v>
      </c>
      <c r="L117" s="3403" t="s">
        <v>3324</v>
      </c>
      <c r="M117" s="3404" t="s">
        <v>3325</v>
      </c>
      <c r="N117" s="3393"/>
    </row>
    <row r="118" spans="1:14">
      <c r="A118" s="3405" t="s">
        <v>3326</v>
      </c>
      <c r="B118" s="3383">
        <f>ROUND(0.9968-0.011*B116,4)</f>
        <v>0.97160000000000002</v>
      </c>
      <c r="C118" s="3383">
        <f>B118</f>
        <v>0.97160000000000002</v>
      </c>
      <c r="D118" s="3383">
        <f>ROUND(0.949-0.014*B116,4)</f>
        <v>0.91690000000000005</v>
      </c>
      <c r="E118" s="3383">
        <f>D118</f>
        <v>0.91690000000000005</v>
      </c>
      <c r="F118" s="3383">
        <f>E118</f>
        <v>0.91690000000000005</v>
      </c>
      <c r="G118" s="3383">
        <f>F118</f>
        <v>0.91690000000000005</v>
      </c>
      <c r="H118" s="3383">
        <f>G118</f>
        <v>0.91690000000000005</v>
      </c>
      <c r="I118" s="3383">
        <f>ROUND(0.8486-0.018*B116,4)</f>
        <v>0.80740000000000001</v>
      </c>
      <c r="J118" s="3383">
        <f t="shared" ref="J118:M122" si="35">I118</f>
        <v>0.80740000000000001</v>
      </c>
      <c r="K118" s="3383">
        <f t="shared" si="35"/>
        <v>0.80740000000000001</v>
      </c>
      <c r="L118" s="3383">
        <f t="shared" si="35"/>
        <v>0.80740000000000001</v>
      </c>
      <c r="M118" s="3406">
        <f t="shared" si="35"/>
        <v>0.80740000000000001</v>
      </c>
      <c r="N118" s="3393"/>
    </row>
    <row r="119" spans="1:14">
      <c r="A119" s="3405" t="s">
        <v>3327</v>
      </c>
      <c r="B119" s="3383">
        <f>ROUND(0.993-0.0112*B116,4)</f>
        <v>0.96740000000000004</v>
      </c>
      <c r="C119" s="3383">
        <f>B119</f>
        <v>0.96740000000000004</v>
      </c>
      <c r="D119" s="3383">
        <f>ROUND(0.9415-0.0142*B116,4)</f>
        <v>0.90900000000000003</v>
      </c>
      <c r="E119" s="3383">
        <f t="shared" ref="E119:H120" si="36">D119</f>
        <v>0.90900000000000003</v>
      </c>
      <c r="F119" s="3383">
        <f t="shared" si="36"/>
        <v>0.90900000000000003</v>
      </c>
      <c r="G119" s="3383">
        <f t="shared" si="36"/>
        <v>0.90900000000000003</v>
      </c>
      <c r="H119" s="3383">
        <f t="shared" si="36"/>
        <v>0.90900000000000003</v>
      </c>
      <c r="I119" s="3383">
        <f>ROUND(0.838-0.0182*B116,4)</f>
        <v>0.79630000000000001</v>
      </c>
      <c r="J119" s="3383">
        <f t="shared" si="35"/>
        <v>0.79630000000000001</v>
      </c>
      <c r="K119" s="3383">
        <f t="shared" si="35"/>
        <v>0.79630000000000001</v>
      </c>
      <c r="L119" s="3383">
        <f t="shared" si="35"/>
        <v>0.79630000000000001</v>
      </c>
      <c r="M119" s="3406">
        <f t="shared" si="35"/>
        <v>0.79630000000000001</v>
      </c>
      <c r="N119" s="3393"/>
    </row>
    <row r="120" spans="1:14">
      <c r="A120" s="3405" t="s">
        <v>3328</v>
      </c>
      <c r="B120" s="3383">
        <f>ROUND(0.9448-0.0115*B116,4)</f>
        <v>0.91849999999999998</v>
      </c>
      <c r="C120" s="3383">
        <f>B120</f>
        <v>0.91849999999999998</v>
      </c>
      <c r="D120" s="3383">
        <f>ROUND(0.937-0.0145*B116,4)</f>
        <v>0.90380000000000005</v>
      </c>
      <c r="E120" s="3383">
        <f t="shared" si="36"/>
        <v>0.90380000000000005</v>
      </c>
      <c r="F120" s="3383">
        <f t="shared" si="36"/>
        <v>0.90380000000000005</v>
      </c>
      <c r="G120" s="3383">
        <f t="shared" si="36"/>
        <v>0.90380000000000005</v>
      </c>
      <c r="H120" s="3383">
        <f t="shared" si="36"/>
        <v>0.90380000000000005</v>
      </c>
      <c r="I120" s="3383">
        <f>ROUND(0.7965-0.0185*B116,4)</f>
        <v>0.75409999999999999</v>
      </c>
      <c r="J120" s="3383">
        <f t="shared" si="35"/>
        <v>0.75409999999999999</v>
      </c>
      <c r="K120" s="3383">
        <f t="shared" si="35"/>
        <v>0.75409999999999999</v>
      </c>
      <c r="L120" s="3383">
        <f t="shared" si="35"/>
        <v>0.75409999999999999</v>
      </c>
      <c r="M120" s="3406">
        <f t="shared" si="35"/>
        <v>0.75409999999999999</v>
      </c>
      <c r="N120" s="3393"/>
    </row>
    <row r="121" spans="1:14" ht="13.5" thickBot="1">
      <c r="A121" s="3407" t="s">
        <v>3329</v>
      </c>
      <c r="B121" s="3408">
        <f>ROUND(0.7836-0.012*B116,4)</f>
        <v>0.75609999999999999</v>
      </c>
      <c r="C121" s="3408">
        <f>B121</f>
        <v>0.75609999999999999</v>
      </c>
      <c r="D121" s="3408">
        <f>ROUND(0.753-0.015*B116,4)</f>
        <v>0.71870000000000001</v>
      </c>
      <c r="E121" s="3408">
        <f>D121</f>
        <v>0.71870000000000001</v>
      </c>
      <c r="F121" s="3408">
        <f>E121</f>
        <v>0.71870000000000001</v>
      </c>
      <c r="G121" s="3408">
        <f>ROUND(0.6612-0.018*B116,4)</f>
        <v>0.62</v>
      </c>
      <c r="H121" s="3408">
        <f>G121</f>
        <v>0.62</v>
      </c>
      <c r="I121" s="3408">
        <f>ROUND(0.5905-0.019*B116,4)</f>
        <v>0.54700000000000004</v>
      </c>
      <c r="J121" s="3408">
        <f t="shared" si="35"/>
        <v>0.54700000000000004</v>
      </c>
      <c r="K121" s="3408">
        <f t="shared" si="35"/>
        <v>0.54700000000000004</v>
      </c>
      <c r="L121" s="3408">
        <f t="shared" si="35"/>
        <v>0.54700000000000004</v>
      </c>
      <c r="M121" s="3409">
        <f t="shared" si="35"/>
        <v>0.54700000000000004</v>
      </c>
      <c r="N121" s="3393"/>
    </row>
    <row r="122" spans="1:14">
      <c r="A122" s="3410" t="s">
        <v>2609</v>
      </c>
      <c r="B122" s="3383">
        <f>ROUND(0.9404-0.0106*B116,4)</f>
        <v>0.91610000000000003</v>
      </c>
      <c r="C122" s="3383">
        <f>B122</f>
        <v>0.91610000000000003</v>
      </c>
      <c r="D122" s="3383">
        <f>ROUND(0.8955-0.0135*B116,4)</f>
        <v>0.86460000000000004</v>
      </c>
      <c r="E122" s="3383">
        <f t="shared" ref="E122:H122" si="37">D122</f>
        <v>0.86460000000000004</v>
      </c>
      <c r="F122" s="3383">
        <f t="shared" si="37"/>
        <v>0.86460000000000004</v>
      </c>
      <c r="G122" s="3383">
        <f t="shared" si="37"/>
        <v>0.86460000000000004</v>
      </c>
      <c r="H122" s="3383">
        <f t="shared" si="37"/>
        <v>0.86460000000000004</v>
      </c>
      <c r="I122" s="3383">
        <f>ROUND(0.7632-0.0166*B116,4)</f>
        <v>0.72519999999999996</v>
      </c>
      <c r="J122" s="3383">
        <f t="shared" si="35"/>
        <v>0.72519999999999996</v>
      </c>
      <c r="K122" s="3383">
        <f t="shared" si="35"/>
        <v>0.72519999999999996</v>
      </c>
      <c r="L122" s="3383">
        <f t="shared" si="35"/>
        <v>0.72519999999999996</v>
      </c>
      <c r="M122" s="3406">
        <f t="shared" si="35"/>
        <v>0.72519999999999996</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
  <sheetViews>
    <sheetView workbookViewId="0">
      <selection activeCell="I17" sqref="I17"/>
    </sheetView>
  </sheetViews>
  <sheetFormatPr defaultRowHeight="13.5"/>
  <cols>
    <col min="10" max="10" width="12.25" customWidth="1"/>
  </cols>
  <sheetData>
    <row r="1" spans="1:20" s="3851" customFormat="1">
      <c r="A1" s="3851" t="s">
        <v>3695</v>
      </c>
      <c r="B1" s="3851" t="s">
        <v>3696</v>
      </c>
      <c r="C1" s="3851" t="s">
        <v>3697</v>
      </c>
      <c r="D1" s="3851" t="s">
        <v>3698</v>
      </c>
      <c r="E1" s="3851" t="s">
        <v>3699</v>
      </c>
      <c r="F1" s="3851" t="s">
        <v>3700</v>
      </c>
      <c r="G1" s="3851" t="s">
        <v>3701</v>
      </c>
      <c r="H1" s="3851" t="s">
        <v>3702</v>
      </c>
      <c r="I1" s="3851" t="s">
        <v>3703</v>
      </c>
      <c r="J1" s="3851" t="s">
        <v>3704</v>
      </c>
      <c r="K1" s="3851" t="s">
        <v>3705</v>
      </c>
      <c r="L1" s="3851" t="s">
        <v>3706</v>
      </c>
      <c r="M1" s="3851" t="s">
        <v>3707</v>
      </c>
      <c r="N1" s="3851" t="s">
        <v>3708</v>
      </c>
      <c r="O1" s="3851" t="s">
        <v>3709</v>
      </c>
      <c r="P1" s="3851" t="s">
        <v>3710</v>
      </c>
      <c r="Q1" s="3851" t="s">
        <v>3711</v>
      </c>
      <c r="R1" s="3851" t="s">
        <v>3712</v>
      </c>
      <c r="S1" s="3851" t="s">
        <v>3713</v>
      </c>
      <c r="T1" s="3851" t="s">
        <v>3714</v>
      </c>
    </row>
    <row r="2" spans="1:20" s="3851" customFormat="1">
      <c r="A2" s="3851" t="s">
        <v>3715</v>
      </c>
      <c r="B2" s="3851" t="s">
        <v>3716</v>
      </c>
      <c r="C2" s="3851" t="s">
        <v>3717</v>
      </c>
      <c r="D2" s="3851" t="s">
        <v>3718</v>
      </c>
      <c r="E2" s="3851" t="s">
        <v>3719</v>
      </c>
      <c r="F2" s="3851">
        <v>32733.22</v>
      </c>
      <c r="G2" s="3851">
        <v>72013.08</v>
      </c>
      <c r="H2" s="3851">
        <v>2.2000000000000002</v>
      </c>
      <c r="I2" s="3851" t="s">
        <v>3720</v>
      </c>
      <c r="J2" s="3852">
        <v>44865.000497685185</v>
      </c>
      <c r="K2" s="3851" t="s">
        <v>3722</v>
      </c>
      <c r="L2" s="3851" t="s">
        <v>3723</v>
      </c>
      <c r="M2" s="3851" t="s">
        <v>3724</v>
      </c>
      <c r="N2" s="3851" t="s">
        <v>3725</v>
      </c>
      <c r="O2" s="3851" t="s">
        <v>3726</v>
      </c>
      <c r="P2" s="3851">
        <v>149000</v>
      </c>
      <c r="Q2" s="3851">
        <v>3034.63</v>
      </c>
      <c r="R2" s="3851">
        <v>20691</v>
      </c>
      <c r="S2" s="3851">
        <v>0</v>
      </c>
      <c r="T2" s="3851" t="s">
        <v>3727</v>
      </c>
    </row>
    <row r="3" spans="1:20" s="3851" customFormat="1">
      <c r="A3" s="3851" t="s">
        <v>3728</v>
      </c>
      <c r="B3" s="3851" t="s">
        <v>3716</v>
      </c>
      <c r="C3" s="3851" t="s">
        <v>3717</v>
      </c>
      <c r="D3" s="3851" t="s">
        <v>3718</v>
      </c>
      <c r="E3" s="3851" t="s">
        <v>3719</v>
      </c>
      <c r="F3" s="3851">
        <v>29506.55</v>
      </c>
      <c r="G3" s="3851">
        <v>64914.41</v>
      </c>
      <c r="H3" s="3851">
        <v>2.2000000000000002</v>
      </c>
      <c r="I3" s="3851" t="s">
        <v>3720</v>
      </c>
      <c r="J3" s="3852">
        <v>44865.000497685185</v>
      </c>
      <c r="K3" s="3851" t="s">
        <v>3729</v>
      </c>
      <c r="L3" s="3851" t="s">
        <v>3723</v>
      </c>
      <c r="M3" s="3851" t="s">
        <v>3730</v>
      </c>
      <c r="N3" s="3851" t="s">
        <v>3725</v>
      </c>
      <c r="O3" s="3851" t="s">
        <v>3726</v>
      </c>
      <c r="P3" s="3851">
        <v>135000</v>
      </c>
      <c r="Q3" s="3851">
        <v>3050.17</v>
      </c>
      <c r="R3" s="3851">
        <v>20797</v>
      </c>
      <c r="S3" s="3851">
        <v>0</v>
      </c>
      <c r="T3" s="3851" t="s">
        <v>3727</v>
      </c>
    </row>
    <row r="4" spans="1:20" s="3851" customFormat="1">
      <c r="A4" s="3851" t="s">
        <v>3731</v>
      </c>
      <c r="B4" s="3851" t="s">
        <v>3716</v>
      </c>
      <c r="C4" s="3851" t="s">
        <v>3717</v>
      </c>
      <c r="D4" s="3851" t="s">
        <v>3732</v>
      </c>
      <c r="E4" s="3851" t="s">
        <v>3719</v>
      </c>
      <c r="F4" s="3851">
        <v>38252.550000000003</v>
      </c>
      <c r="G4" s="3851">
        <v>84155.61</v>
      </c>
      <c r="H4" s="3851">
        <v>2.2000000000000002</v>
      </c>
      <c r="I4" s="3851" t="s">
        <v>3720</v>
      </c>
      <c r="J4" s="3852">
        <v>44495.000497685185</v>
      </c>
      <c r="K4" s="3851" t="s">
        <v>3733</v>
      </c>
      <c r="L4" s="3851" t="s">
        <v>3723</v>
      </c>
      <c r="M4" s="3851" t="s">
        <v>3734</v>
      </c>
      <c r="N4" s="3851" t="s">
        <v>3721</v>
      </c>
      <c r="O4" s="3851" t="s">
        <v>3721</v>
      </c>
      <c r="P4" s="3851">
        <v>175000</v>
      </c>
      <c r="Q4" s="3851">
        <v>3049.91</v>
      </c>
      <c r="R4" s="3851">
        <v>20795</v>
      </c>
      <c r="S4" s="3851">
        <v>0</v>
      </c>
      <c r="T4" s="3851" t="s">
        <v>3735</v>
      </c>
    </row>
    <row r="7" spans="1:20" s="3851" customFormat="1">
      <c r="A7" s="3851" t="s">
        <v>3695</v>
      </c>
      <c r="B7" s="3851" t="s">
        <v>3696</v>
      </c>
      <c r="C7" s="3851" t="s">
        <v>3697</v>
      </c>
      <c r="D7" s="3851" t="s">
        <v>3698</v>
      </c>
      <c r="E7" s="3851" t="s">
        <v>3699</v>
      </c>
      <c r="F7" s="3851" t="s">
        <v>3700</v>
      </c>
      <c r="G7" s="3851" t="s">
        <v>3701</v>
      </c>
      <c r="H7" s="3851" t="s">
        <v>3702</v>
      </c>
      <c r="I7" s="3851" t="s">
        <v>3703</v>
      </c>
      <c r="J7" s="3851" t="s">
        <v>3704</v>
      </c>
      <c r="K7" s="3851" t="s">
        <v>3705</v>
      </c>
      <c r="L7" s="3851" t="s">
        <v>3706</v>
      </c>
      <c r="M7" s="3851" t="s">
        <v>3707</v>
      </c>
      <c r="N7" s="3851" t="s">
        <v>3708</v>
      </c>
      <c r="O7" s="3851" t="s">
        <v>3709</v>
      </c>
      <c r="P7" s="3851" t="s">
        <v>3710</v>
      </c>
      <c r="Q7" s="3851" t="s">
        <v>3711</v>
      </c>
      <c r="R7" s="3851" t="s">
        <v>3712</v>
      </c>
      <c r="S7" s="3851" t="s">
        <v>3713</v>
      </c>
      <c r="T7" s="3851" t="s">
        <v>3714</v>
      </c>
    </row>
    <row r="8" spans="1:20" s="3851" customFormat="1">
      <c r="A8" s="3851" t="s">
        <v>3715</v>
      </c>
      <c r="B8" s="3851" t="s">
        <v>3716</v>
      </c>
      <c r="C8" s="3851" t="s">
        <v>3717</v>
      </c>
      <c r="D8" s="3851" t="s">
        <v>3718</v>
      </c>
      <c r="E8" s="3851" t="s">
        <v>3719</v>
      </c>
      <c r="F8" s="3851">
        <v>32733.22</v>
      </c>
      <c r="G8" s="3851">
        <v>72013.08</v>
      </c>
      <c r="H8" s="3851">
        <v>2.2000000000000002</v>
      </c>
      <c r="I8" s="3851" t="s">
        <v>3720</v>
      </c>
      <c r="J8" s="3852">
        <v>44865.000497685185</v>
      </c>
      <c r="K8" s="3851" t="s">
        <v>3722</v>
      </c>
      <c r="L8" s="3851" t="s">
        <v>3723</v>
      </c>
      <c r="M8" s="3851" t="s">
        <v>3724</v>
      </c>
      <c r="N8" s="3851" t="s">
        <v>3725</v>
      </c>
      <c r="O8" s="3851" t="s">
        <v>3726</v>
      </c>
      <c r="P8" s="3851">
        <v>149000</v>
      </c>
      <c r="Q8" s="3851">
        <v>3034.63</v>
      </c>
      <c r="R8" s="3851">
        <v>20691</v>
      </c>
      <c r="S8" s="3851">
        <v>0</v>
      </c>
      <c r="T8" s="3851" t="s">
        <v>3727</v>
      </c>
    </row>
    <row r="9" spans="1:20" s="3851" customFormat="1">
      <c r="A9" s="3851" t="s">
        <v>3728</v>
      </c>
      <c r="B9" s="3851" t="s">
        <v>3716</v>
      </c>
      <c r="C9" s="3851" t="s">
        <v>3717</v>
      </c>
      <c r="D9" s="3851" t="s">
        <v>3718</v>
      </c>
      <c r="E9" s="3851" t="s">
        <v>3719</v>
      </c>
      <c r="F9" s="3851">
        <v>29506.55</v>
      </c>
      <c r="G9" s="3851">
        <v>64914.41</v>
      </c>
      <c r="H9" s="3851">
        <v>2.2000000000000002</v>
      </c>
      <c r="I9" s="3851" t="s">
        <v>3720</v>
      </c>
      <c r="J9" s="3852">
        <v>44865.000497685185</v>
      </c>
      <c r="K9" s="3851" t="s">
        <v>3729</v>
      </c>
      <c r="L9" s="3851" t="s">
        <v>3723</v>
      </c>
      <c r="M9" s="3851" t="s">
        <v>3730</v>
      </c>
      <c r="N9" s="3851" t="s">
        <v>3725</v>
      </c>
      <c r="O9" s="3851" t="s">
        <v>3726</v>
      </c>
      <c r="P9" s="3851">
        <v>135000</v>
      </c>
      <c r="Q9" s="3851">
        <v>3050.17</v>
      </c>
      <c r="R9" s="3851">
        <v>20797</v>
      </c>
      <c r="S9" s="3851">
        <v>0</v>
      </c>
      <c r="T9" s="3851" t="s">
        <v>3727</v>
      </c>
    </row>
    <row r="10" spans="1:20" s="3851" customFormat="1">
      <c r="A10" s="3851" t="s">
        <v>3731</v>
      </c>
      <c r="B10" s="3851" t="s">
        <v>3716</v>
      </c>
      <c r="C10" s="3851" t="s">
        <v>3717</v>
      </c>
      <c r="D10" s="3851" t="s">
        <v>3732</v>
      </c>
      <c r="E10" s="3851" t="s">
        <v>3719</v>
      </c>
      <c r="F10" s="3851">
        <v>38252.550000000003</v>
      </c>
      <c r="G10" s="3851">
        <v>84155.61</v>
      </c>
      <c r="H10" s="3851">
        <v>2.2000000000000002</v>
      </c>
      <c r="I10" s="3851" t="s">
        <v>3720</v>
      </c>
      <c r="J10" s="3852">
        <v>44495.000497685185</v>
      </c>
      <c r="K10" s="3851" t="s">
        <v>3733</v>
      </c>
      <c r="L10" s="3851" t="s">
        <v>3723</v>
      </c>
      <c r="M10" s="3851" t="s">
        <v>3734</v>
      </c>
      <c r="N10" s="3851" t="s">
        <v>3721</v>
      </c>
      <c r="O10" s="3851" t="s">
        <v>3721</v>
      </c>
      <c r="P10" s="3851">
        <v>175000</v>
      </c>
      <c r="Q10" s="3851">
        <v>3049.91</v>
      </c>
      <c r="R10" s="3851">
        <v>20795</v>
      </c>
      <c r="S10" s="3851">
        <v>0</v>
      </c>
      <c r="T10" s="3851" t="s">
        <v>3735</v>
      </c>
    </row>
    <row r="11" spans="1:20" s="3851" customFormat="1">
      <c r="A11" s="3851" t="s">
        <v>3736</v>
      </c>
      <c r="B11" s="3851" t="s">
        <v>3716</v>
      </c>
      <c r="C11" s="3851" t="s">
        <v>3717</v>
      </c>
      <c r="D11" s="3851" t="s">
        <v>3732</v>
      </c>
      <c r="E11" s="3851" t="s">
        <v>3719</v>
      </c>
      <c r="F11" s="3851">
        <v>30025.18</v>
      </c>
      <c r="G11" s="3851">
        <v>66055.39</v>
      </c>
      <c r="H11" s="3851">
        <v>2.2000000000000002</v>
      </c>
      <c r="I11" s="3851" t="s">
        <v>3720</v>
      </c>
      <c r="J11" s="3852">
        <v>44495.000497685185</v>
      </c>
      <c r="K11" s="3851" t="s">
        <v>3737</v>
      </c>
      <c r="L11" s="3851" t="s">
        <v>3723</v>
      </c>
      <c r="M11" s="3851" t="s">
        <v>3738</v>
      </c>
      <c r="N11" s="3851" t="s">
        <v>3721</v>
      </c>
      <c r="O11" s="3851" t="s">
        <v>3721</v>
      </c>
      <c r="P11" s="3851">
        <v>137000</v>
      </c>
      <c r="Q11" s="3851">
        <v>3041.89</v>
      </c>
      <c r="R11" s="3851">
        <v>20740</v>
      </c>
      <c r="S11" s="3851">
        <v>0</v>
      </c>
      <c r="T11" s="3851" t="s">
        <v>3735</v>
      </c>
    </row>
    <row r="12" spans="1:20" s="3851" customFormat="1">
      <c r="A12" s="3851" t="s">
        <v>3739</v>
      </c>
      <c r="B12" s="3851" t="s">
        <v>3716</v>
      </c>
      <c r="C12" s="3851" t="s">
        <v>3717</v>
      </c>
      <c r="D12" s="3851" t="s">
        <v>3732</v>
      </c>
      <c r="E12" s="3851" t="s">
        <v>3719</v>
      </c>
      <c r="F12" s="3851">
        <v>25121.77</v>
      </c>
      <c r="G12" s="3851">
        <v>55267.89</v>
      </c>
      <c r="H12" s="3851">
        <v>2.2000000000000002</v>
      </c>
      <c r="I12" s="3851" t="s">
        <v>3720</v>
      </c>
      <c r="J12" s="3852">
        <v>44495.000497685185</v>
      </c>
      <c r="K12" s="3851" t="s">
        <v>3740</v>
      </c>
      <c r="L12" s="3851" t="s">
        <v>3723</v>
      </c>
      <c r="M12" s="3851" t="s">
        <v>3741</v>
      </c>
      <c r="N12" s="3851" t="s">
        <v>3721</v>
      </c>
      <c r="O12" s="3851" t="s">
        <v>3721</v>
      </c>
      <c r="P12" s="3851">
        <v>115000</v>
      </c>
      <c r="Q12" s="3851">
        <v>3051.8</v>
      </c>
      <c r="R12" s="3851">
        <v>20808</v>
      </c>
      <c r="S12" s="3851">
        <v>0</v>
      </c>
      <c r="T12" s="3851" t="s">
        <v>3735</v>
      </c>
    </row>
    <row r="13" spans="1:20" s="3851" customFormat="1">
      <c r="A13" s="3851" t="s">
        <v>3742</v>
      </c>
      <c r="B13" s="3851" t="s">
        <v>3716</v>
      </c>
      <c r="C13" s="3851" t="s">
        <v>3743</v>
      </c>
      <c r="D13" s="3851" t="s">
        <v>3744</v>
      </c>
      <c r="E13" s="3851" t="s">
        <v>3719</v>
      </c>
      <c r="F13" s="3851">
        <v>51788.13</v>
      </c>
      <c r="G13" s="3851">
        <v>184800</v>
      </c>
      <c r="H13" s="3851" t="s">
        <v>3745</v>
      </c>
      <c r="I13" s="3851" t="s">
        <v>3746</v>
      </c>
      <c r="J13" s="3852">
        <v>44167.000497685185</v>
      </c>
      <c r="K13" s="3851" t="s">
        <v>3747</v>
      </c>
      <c r="L13" s="3851" t="s">
        <v>3723</v>
      </c>
      <c r="M13" s="3851" t="s">
        <v>3748</v>
      </c>
      <c r="N13" s="3851" t="s">
        <v>3749</v>
      </c>
      <c r="O13" s="3851" t="s">
        <v>3750</v>
      </c>
      <c r="P13" s="3851">
        <v>579500</v>
      </c>
      <c r="Q13" s="3851">
        <v>7459.88</v>
      </c>
      <c r="R13" s="3851">
        <v>31358</v>
      </c>
      <c r="S13" s="3851">
        <v>1.58</v>
      </c>
      <c r="T13" s="3851" t="s">
        <v>3751</v>
      </c>
    </row>
    <row r="14" spans="1:20" s="3851" customFormat="1">
      <c r="A14" s="3851" t="s">
        <v>3752</v>
      </c>
      <c r="B14" s="3851" t="s">
        <v>3753</v>
      </c>
      <c r="C14" s="3851" t="s">
        <v>3754</v>
      </c>
      <c r="D14" s="3851" t="s">
        <v>3755</v>
      </c>
      <c r="E14" s="3851" t="s">
        <v>3719</v>
      </c>
      <c r="F14" s="3851">
        <v>12501.51</v>
      </c>
      <c r="G14" s="3851">
        <v>37505</v>
      </c>
      <c r="H14" s="3851" t="s">
        <v>3756</v>
      </c>
      <c r="I14" s="3851" t="s">
        <v>3720</v>
      </c>
      <c r="J14" s="3852">
        <v>43923.000497685185</v>
      </c>
      <c r="K14" s="3851" t="s">
        <v>3757</v>
      </c>
      <c r="L14" s="3851" t="s">
        <v>3723</v>
      </c>
      <c r="M14" s="3851" t="s">
        <v>3758</v>
      </c>
      <c r="N14" s="3851" t="s">
        <v>3759</v>
      </c>
      <c r="O14" s="3851" t="s">
        <v>3760</v>
      </c>
      <c r="P14" s="3851">
        <v>56000</v>
      </c>
      <c r="Q14" s="3851">
        <v>2986.31</v>
      </c>
      <c r="R14" s="3851">
        <v>14931</v>
      </c>
      <c r="S14" s="3851">
        <v>0</v>
      </c>
      <c r="T14" s="3851" t="s">
        <v>3751</v>
      </c>
    </row>
    <row r="15" spans="1:20" s="3851" customFormat="1">
      <c r="A15" s="3851" t="s">
        <v>3761</v>
      </c>
      <c r="B15" s="3851" t="s">
        <v>3716</v>
      </c>
      <c r="C15" s="3851" t="s">
        <v>3762</v>
      </c>
      <c r="D15" s="3851" t="s">
        <v>3763</v>
      </c>
      <c r="E15" s="3851" t="s">
        <v>3719</v>
      </c>
      <c r="F15" s="3851">
        <v>70601.070000000007</v>
      </c>
      <c r="G15" s="3851">
        <v>285523</v>
      </c>
      <c r="H15" s="3851" t="s">
        <v>3764</v>
      </c>
      <c r="I15" s="3851" t="s">
        <v>3765</v>
      </c>
      <c r="J15" s="3852">
        <v>43801.000497685185</v>
      </c>
      <c r="K15" s="3851" t="s">
        <v>3766</v>
      </c>
      <c r="L15" s="3851" t="s">
        <v>3723</v>
      </c>
      <c r="M15" s="3851" t="s">
        <v>3767</v>
      </c>
      <c r="N15" s="3851" t="s">
        <v>3768</v>
      </c>
      <c r="O15" s="3851" t="s">
        <v>3750</v>
      </c>
      <c r="P15" s="3851">
        <v>660900</v>
      </c>
      <c r="Q15" s="3851">
        <v>6240.7</v>
      </c>
      <c r="R15" s="3851">
        <v>23147</v>
      </c>
      <c r="S15" s="3851">
        <v>0</v>
      </c>
      <c r="T15" s="3851" t="s">
        <v>3751</v>
      </c>
    </row>
    <row r="16" spans="1:20" s="3851" customFormat="1">
      <c r="A16" s="3851" t="s">
        <v>3769</v>
      </c>
      <c r="B16" s="3851" t="s">
        <v>3716</v>
      </c>
      <c r="C16" s="3851" t="s">
        <v>3770</v>
      </c>
      <c r="D16" s="3851" t="s">
        <v>3771</v>
      </c>
      <c r="E16" s="3851" t="s">
        <v>3719</v>
      </c>
      <c r="F16" s="3851">
        <v>22035.93</v>
      </c>
      <c r="G16" s="3851">
        <v>61700.6</v>
      </c>
      <c r="H16" s="3851" t="s">
        <v>3772</v>
      </c>
      <c r="I16" s="3851" t="s">
        <v>3746</v>
      </c>
      <c r="J16" s="3852">
        <v>43650.000497685185</v>
      </c>
      <c r="K16" s="3851" t="s">
        <v>3773</v>
      </c>
      <c r="L16" s="3851" t="s">
        <v>3723</v>
      </c>
      <c r="M16" s="3851" t="s">
        <v>3774</v>
      </c>
      <c r="N16" s="3851" t="s">
        <v>3775</v>
      </c>
      <c r="O16" s="3851" t="s">
        <v>3750</v>
      </c>
      <c r="P16" s="3851">
        <v>103700</v>
      </c>
      <c r="Q16" s="3851">
        <v>3137.3</v>
      </c>
      <c r="R16" s="3851">
        <v>16807</v>
      </c>
      <c r="S16" s="3851">
        <v>0</v>
      </c>
      <c r="T16" s="3851" t="s">
        <v>3751</v>
      </c>
    </row>
    <row r="17" spans="1:20" s="3851" customFormat="1">
      <c r="A17" s="3851" t="s">
        <v>3776</v>
      </c>
      <c r="B17" s="3851" t="s">
        <v>3716</v>
      </c>
      <c r="C17" s="3851" t="s">
        <v>3717</v>
      </c>
      <c r="D17" s="3851" t="s">
        <v>3777</v>
      </c>
      <c r="E17" s="3851" t="s">
        <v>3719</v>
      </c>
      <c r="F17" s="3851">
        <v>32158.94</v>
      </c>
      <c r="G17" s="3851">
        <v>96476.82</v>
      </c>
      <c r="H17" s="3851" t="s">
        <v>3756</v>
      </c>
      <c r="I17" s="3853" t="s">
        <v>3808</v>
      </c>
      <c r="J17" s="3852">
        <v>43613.000497685185</v>
      </c>
      <c r="K17" s="3851" t="s">
        <v>3778</v>
      </c>
      <c r="L17" s="3851" t="s">
        <v>3723</v>
      </c>
      <c r="M17" s="3851" t="s">
        <v>3779</v>
      </c>
      <c r="N17" s="3851" t="s">
        <v>3725</v>
      </c>
      <c r="O17" s="3851" t="s">
        <v>3726</v>
      </c>
      <c r="P17" s="3851">
        <v>263800</v>
      </c>
      <c r="Q17" s="3851">
        <v>5468.67</v>
      </c>
      <c r="R17" s="3851">
        <v>27343</v>
      </c>
      <c r="S17" s="3851">
        <v>0</v>
      </c>
      <c r="T17" s="3851" t="s">
        <v>3751</v>
      </c>
    </row>
    <row r="18" spans="1:20" s="3851" customFormat="1">
      <c r="A18" s="3851" t="s">
        <v>3780</v>
      </c>
      <c r="B18" s="3851" t="s">
        <v>3753</v>
      </c>
      <c r="C18" s="3851" t="s">
        <v>3754</v>
      </c>
      <c r="D18" s="3851" t="s">
        <v>3781</v>
      </c>
      <c r="E18" s="3851" t="s">
        <v>3719</v>
      </c>
      <c r="F18" s="3851">
        <v>28622.32</v>
      </c>
      <c r="G18" s="3851">
        <v>71556</v>
      </c>
      <c r="H18" s="3851">
        <v>2.5</v>
      </c>
      <c r="I18" s="3851" t="s">
        <v>3746</v>
      </c>
      <c r="J18" s="3852">
        <v>43430.000497685185</v>
      </c>
      <c r="K18" s="3851" t="s">
        <v>3782</v>
      </c>
      <c r="L18" s="3851" t="s">
        <v>3723</v>
      </c>
      <c r="M18" s="3851" t="s">
        <v>3783</v>
      </c>
      <c r="N18" s="3851" t="s">
        <v>3784</v>
      </c>
      <c r="O18" s="3851" t="s">
        <v>3760</v>
      </c>
      <c r="P18" s="3851">
        <v>132000</v>
      </c>
      <c r="Q18" s="3851">
        <v>3074.52</v>
      </c>
      <c r="R18" s="3851">
        <v>18447</v>
      </c>
      <c r="S18" s="3851">
        <v>0</v>
      </c>
      <c r="T18" s="3851" t="s">
        <v>3751</v>
      </c>
    </row>
    <row r="19" spans="1:20" s="3851" customFormat="1">
      <c r="A19" s="3851" t="s">
        <v>3785</v>
      </c>
      <c r="B19" s="3851" t="s">
        <v>3716</v>
      </c>
      <c r="C19" s="3851" t="s">
        <v>3743</v>
      </c>
      <c r="D19" s="3851" t="s">
        <v>3744</v>
      </c>
      <c r="E19" s="3851" t="s">
        <v>3719</v>
      </c>
      <c r="F19" s="3851">
        <v>15240.2</v>
      </c>
      <c r="G19" s="3851">
        <v>86800</v>
      </c>
      <c r="H19" s="3851">
        <v>5.7</v>
      </c>
      <c r="I19" s="3851" t="s">
        <v>3746</v>
      </c>
      <c r="J19" s="3852">
        <v>43055.000497685185</v>
      </c>
      <c r="K19" s="3851" t="s">
        <v>3786</v>
      </c>
      <c r="L19" s="3851" t="s">
        <v>3723</v>
      </c>
      <c r="M19" s="3851" t="s">
        <v>3787</v>
      </c>
      <c r="N19" s="3851" t="s">
        <v>3721</v>
      </c>
      <c r="O19" s="3851" t="s">
        <v>3721</v>
      </c>
      <c r="P19" s="3851">
        <v>242500</v>
      </c>
      <c r="Q19" s="3851">
        <v>10607.91</v>
      </c>
      <c r="R19" s="3851">
        <v>27938</v>
      </c>
      <c r="S19" s="3851">
        <v>2.11</v>
      </c>
      <c r="T19" s="3851" t="s">
        <v>3751</v>
      </c>
    </row>
    <row r="20" spans="1:20" s="3851" customFormat="1">
      <c r="A20" s="3851" t="s">
        <v>3788</v>
      </c>
      <c r="B20" s="3851" t="s">
        <v>3716</v>
      </c>
      <c r="C20" s="3851" t="s">
        <v>3717</v>
      </c>
      <c r="D20" s="3851" t="s">
        <v>3789</v>
      </c>
      <c r="E20" s="3851" t="s">
        <v>3719</v>
      </c>
      <c r="F20" s="3851">
        <v>13326.99</v>
      </c>
      <c r="G20" s="3851">
        <v>46644</v>
      </c>
      <c r="H20" s="3851">
        <v>3.5</v>
      </c>
      <c r="I20" s="3851" t="s">
        <v>3790</v>
      </c>
      <c r="J20" s="3852">
        <v>42523.000497685185</v>
      </c>
      <c r="K20" s="3851" t="s">
        <v>3791</v>
      </c>
      <c r="L20" s="3851" t="s">
        <v>3723</v>
      </c>
      <c r="M20" s="3851" t="s">
        <v>3792</v>
      </c>
      <c r="N20" s="3851" t="s">
        <v>3793</v>
      </c>
      <c r="O20" s="3851" t="s">
        <v>3760</v>
      </c>
      <c r="P20" s="3851">
        <v>141000</v>
      </c>
      <c r="Q20" s="3851">
        <v>7053.36</v>
      </c>
      <c r="R20" s="3851">
        <v>30229</v>
      </c>
      <c r="S20" s="3851">
        <v>107.35</v>
      </c>
      <c r="T20" s="3851" t="s">
        <v>3751</v>
      </c>
    </row>
    <row r="21" spans="1:20" s="3851" customFormat="1">
      <c r="A21" s="3851" t="s">
        <v>3794</v>
      </c>
      <c r="B21" s="3851" t="s">
        <v>3753</v>
      </c>
      <c r="C21" s="3851" t="s">
        <v>3795</v>
      </c>
      <c r="D21" s="3851" t="s">
        <v>3796</v>
      </c>
      <c r="E21" s="3851" t="s">
        <v>3719</v>
      </c>
      <c r="F21" s="3851">
        <v>74500</v>
      </c>
      <c r="G21" s="3851">
        <v>475640</v>
      </c>
      <c r="H21" s="3851">
        <v>6.38</v>
      </c>
      <c r="I21" s="3851" t="s">
        <v>3746</v>
      </c>
      <c r="J21" s="3852">
        <v>42327.000497685185</v>
      </c>
      <c r="K21" s="3851" t="s">
        <v>3797</v>
      </c>
      <c r="L21" s="3851" t="s">
        <v>3723</v>
      </c>
      <c r="M21" s="3851" t="s">
        <v>3798</v>
      </c>
      <c r="N21" s="3851" t="s">
        <v>3799</v>
      </c>
      <c r="O21" s="3851" t="s">
        <v>3750</v>
      </c>
      <c r="P21" s="3851">
        <v>420000</v>
      </c>
      <c r="Q21" s="3851">
        <v>3758.39</v>
      </c>
      <c r="R21" s="3851">
        <v>8830</v>
      </c>
      <c r="S21" s="3851">
        <v>0</v>
      </c>
      <c r="T21" s="3851" t="s">
        <v>3751</v>
      </c>
    </row>
    <row r="22" spans="1:20" s="3851" customFormat="1">
      <c r="A22" s="3851" t="s">
        <v>3800</v>
      </c>
      <c r="B22" s="3851" t="s">
        <v>3716</v>
      </c>
      <c r="C22" s="3851" t="s">
        <v>3717</v>
      </c>
      <c r="D22" s="3851" t="s">
        <v>3801</v>
      </c>
      <c r="E22" s="3851" t="s">
        <v>3719</v>
      </c>
      <c r="F22" s="3851">
        <v>17629.740000000002</v>
      </c>
      <c r="G22" s="3851">
        <v>52889</v>
      </c>
      <c r="H22" s="3851">
        <v>3</v>
      </c>
      <c r="I22" s="3851" t="s">
        <v>3790</v>
      </c>
      <c r="J22" s="3852">
        <v>42305.000497685185</v>
      </c>
      <c r="K22" s="3851" t="s">
        <v>3802</v>
      </c>
      <c r="L22" s="3851" t="s">
        <v>3723</v>
      </c>
      <c r="M22" s="3851" t="s">
        <v>3803</v>
      </c>
      <c r="N22" s="3851" t="s">
        <v>3804</v>
      </c>
      <c r="O22" s="3851" t="s">
        <v>3805</v>
      </c>
      <c r="P22" s="3851">
        <v>64200</v>
      </c>
      <c r="Q22" s="3851">
        <v>2427.7199999999998</v>
      </c>
      <c r="R22" s="3851">
        <v>12139</v>
      </c>
      <c r="S22" s="3851">
        <v>1.1000000000000001</v>
      </c>
      <c r="T22" s="3851" t="s">
        <v>3751</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4" t="str">
        <f>项目基本情况!S2</f>
        <v>北京市昌平区黄平路19号院3号楼商业及地下车库用房房地产</v>
      </c>
      <c r="B4" s="854">
        <f>项目基本情况!C17</f>
        <v>65662.34</v>
      </c>
      <c r="C4" s="854">
        <f>项目基本情况!C18</f>
        <v>17111.18</v>
      </c>
      <c r="D4" s="854">
        <f ca="1">结果表!D118</f>
        <v>99624</v>
      </c>
      <c r="E4" s="854">
        <f ca="1">结果表!E118</f>
        <v>15173</v>
      </c>
      <c r="F4" s="854">
        <f ca="1">结果表!F118</f>
        <v>33385</v>
      </c>
      <c r="G4" s="854">
        <f ca="1">结果表!G118</f>
        <v>5084</v>
      </c>
      <c r="H4" s="854">
        <f ca="1">结果表!H118</f>
        <v>133009</v>
      </c>
      <c r="I4" s="854">
        <f ca="1">结果表!I118</f>
        <v>20257</v>
      </c>
    </row>
    <row r="5" spans="1:9" ht="30" customHeight="1">
      <c r="A5" s="3469" t="s">
        <v>927</v>
      </c>
      <c r="B5" s="3469"/>
      <c r="C5" s="3469"/>
      <c r="D5" s="3469" t="str">
        <f ca="1">结果表!D119</f>
        <v>玖亿玖仟陆佰贰拾肆万元整</v>
      </c>
      <c r="E5" s="3469"/>
      <c r="F5" s="3469" t="str">
        <f ca="1">结果表!F119</f>
        <v>叁亿叁仟叁佰捌拾伍万元整</v>
      </c>
      <c r="G5" s="3469"/>
      <c r="H5" s="3469" t="str">
        <f ca="1">结果表!H119</f>
        <v>壹拾叁亿叁仟零玖万元整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133009</v>
      </c>
      <c r="E8" s="3470"/>
      <c r="F8" s="3470"/>
      <c r="G8" s="3470"/>
      <c r="H8" s="3470"/>
      <c r="I8" s="3470"/>
    </row>
    <row r="9" spans="1:9" ht="15">
      <c r="A9" s="3469" t="s">
        <v>927</v>
      </c>
      <c r="B9" s="3469"/>
      <c r="C9" s="3469"/>
      <c r="D9" s="3469" t="str">
        <f ca="1">结果表!D123</f>
        <v>壹拾叁亿叁仟零玖万元整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t="str">
        <f>项目基本情况!B4</f>
        <v>欧红伟</v>
      </c>
      <c r="B4" s="1510">
        <f ca="1">项目基本情况!C4</f>
        <v>1120000080</v>
      </c>
      <c r="C4" s="1511"/>
      <c r="D4" s="1512" t="s">
        <v>938</v>
      </c>
    </row>
    <row r="5" spans="1:4" ht="56.25" customHeight="1">
      <c r="A5" s="1509" t="str">
        <f>项目基本情况!D4</f>
        <v>崔锴</v>
      </c>
      <c r="B5" s="1510">
        <f ca="1">项目基本情况!E4</f>
        <v>1120100036</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45058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2"/>
      <c r="E18" s="3495" t="s">
        <v>2161</v>
      </c>
      <c r="F18" s="3494"/>
      <c r="G18" s="349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8" priority="53">
      <formula>AND($C4-TODAY()&lt;30,TODAY()&lt;$C4)</formula>
    </cfRule>
  </conditionalFormatting>
  <conditionalFormatting sqref="C20:D20">
    <cfRule type="expression" dxfId="237" priority="52">
      <formula>AND($C20-TODAY()&lt;30,TODAY()&lt;$C20)</formula>
    </cfRule>
  </conditionalFormatting>
  <conditionalFormatting sqref="C20:D20 G4 C4:D5 C13:D13">
    <cfRule type="cellIs" dxfId="236" priority="54" stopIfTrue="1" operator="lessThan">
      <formula>$B$2</formula>
    </cfRule>
  </conditionalFormatting>
  <conditionalFormatting sqref="G5 G7 G9">
    <cfRule type="cellIs" dxfId="235" priority="51" stopIfTrue="1" operator="lessThan">
      <formula>$B$2</formula>
    </cfRule>
  </conditionalFormatting>
  <conditionalFormatting sqref="C6:D6 D14 D16">
    <cfRule type="expression" dxfId="234" priority="49">
      <formula>AND($C6-TODAY()&lt;30,TODAY()&lt;$C6)</formula>
    </cfRule>
  </conditionalFormatting>
  <conditionalFormatting sqref="G6 G8 G10 C6:D6 D7:D12 D14 D16">
    <cfRule type="cellIs" dxfId="233" priority="50" stopIfTrue="1" operator="lessThan">
      <formula>$B$2</formula>
    </cfRule>
  </conditionalFormatting>
  <conditionalFormatting sqref="D12">
    <cfRule type="expression" dxfId="232" priority="47">
      <formula>AND($C12-TODAY()&lt;30,TODAY()&lt;$C12)</formula>
    </cfRule>
  </conditionalFormatting>
  <conditionalFormatting sqref="D12">
    <cfRule type="cellIs" dxfId="231" priority="48" stopIfTrue="1" operator="lessThan">
      <formula>$B$2</formula>
    </cfRule>
  </conditionalFormatting>
  <conditionalFormatting sqref="C13:D13">
    <cfRule type="expression" dxfId="230" priority="45">
      <formula>AND($C13-TODAY()&lt;30,TODAY()&lt;$C13)</formula>
    </cfRule>
  </conditionalFormatting>
  <conditionalFormatting sqref="C13:D13">
    <cfRule type="cellIs" dxfId="229" priority="46" stopIfTrue="1" operator="lessThan">
      <formula>$B$2</formula>
    </cfRule>
  </conditionalFormatting>
  <conditionalFormatting sqref="D14">
    <cfRule type="expression" dxfId="228" priority="43">
      <formula>AND($C14-TODAY()&lt;30,TODAY()&lt;$C14)</formula>
    </cfRule>
  </conditionalFormatting>
  <conditionalFormatting sqref="D14">
    <cfRule type="cellIs" dxfId="227" priority="44" stopIfTrue="1" operator="lessThan">
      <formula>$B$2</formula>
    </cfRule>
  </conditionalFormatting>
  <conditionalFormatting sqref="G13">
    <cfRule type="cellIs" dxfId="226" priority="42" stopIfTrue="1" operator="lessThan">
      <formula>$B$2</formula>
    </cfRule>
  </conditionalFormatting>
  <conditionalFormatting sqref="B4:B11 F4:F11 B13 F13:F14">
    <cfRule type="cellIs" dxfId="225" priority="41" stopIfTrue="1" operator="equal">
      <formula>"已过期"</formula>
    </cfRule>
  </conditionalFormatting>
  <conditionalFormatting sqref="C7">
    <cfRule type="cellIs" dxfId="224" priority="38" stopIfTrue="1" operator="lessThan">
      <formula>$B$2</formula>
    </cfRule>
  </conditionalFormatting>
  <conditionalFormatting sqref="C7">
    <cfRule type="expression" dxfId="223" priority="37">
      <formula>AND($C7-TODAY()&lt;30,TODAY()&lt;$C7)</formula>
    </cfRule>
  </conditionalFormatting>
  <conditionalFormatting sqref="C8">
    <cfRule type="expression" dxfId="222" priority="35">
      <formula>AND($C8-TODAY()&lt;30,TODAY()&lt;$C8)</formula>
    </cfRule>
  </conditionalFormatting>
  <conditionalFormatting sqref="C8">
    <cfRule type="cellIs" dxfId="221" priority="36" stopIfTrue="1" operator="lessThan">
      <formula>$B$2</formula>
    </cfRule>
  </conditionalFormatting>
  <conditionalFormatting sqref="C11">
    <cfRule type="expression" dxfId="220" priority="33">
      <formula>AND($C11-TODAY()&lt;30,TODAY()&lt;$C11)</formula>
    </cfRule>
  </conditionalFormatting>
  <conditionalFormatting sqref="C11">
    <cfRule type="cellIs" dxfId="219" priority="34" stopIfTrue="1" operator="lessThan">
      <formula>$B$2</formula>
    </cfRule>
  </conditionalFormatting>
  <conditionalFormatting sqref="A16:C16">
    <cfRule type="cellIs" dxfId="218" priority="32" stopIfTrue="1" operator="equal">
      <formula>"已过期"</formula>
    </cfRule>
  </conditionalFormatting>
  <conditionalFormatting sqref="E16:G16">
    <cfRule type="cellIs" dxfId="217" priority="31" stopIfTrue="1" operator="equal">
      <formula>"已过期"</formula>
    </cfRule>
  </conditionalFormatting>
  <conditionalFormatting sqref="G11">
    <cfRule type="cellIs" dxfId="216" priority="30" stopIfTrue="1" operator="lessThan">
      <formula>$B$2</formula>
    </cfRule>
  </conditionalFormatting>
  <conditionalFormatting sqref="F12">
    <cfRule type="cellIs" dxfId="215" priority="29" stopIfTrue="1" operator="equal">
      <formula>"已过期"</formula>
    </cfRule>
  </conditionalFormatting>
  <conditionalFormatting sqref="G12">
    <cfRule type="cellIs" dxfId="214" priority="28" stopIfTrue="1" operator="lessThan">
      <formula>$B$2</formula>
    </cfRule>
  </conditionalFormatting>
  <conditionalFormatting sqref="C12">
    <cfRule type="cellIs" dxfId="213" priority="27" stopIfTrue="1" operator="lessThan">
      <formula>$B$2</formula>
    </cfRule>
  </conditionalFormatting>
  <conditionalFormatting sqref="C12">
    <cfRule type="expression" dxfId="212" priority="25">
      <formula>AND($C12-TODAY()&lt;30,TODAY()&lt;$C12)</formula>
    </cfRule>
  </conditionalFormatting>
  <conditionalFormatting sqref="C12">
    <cfRule type="cellIs" dxfId="211" priority="26" stopIfTrue="1" operator="lessThan">
      <formula>$B$2</formula>
    </cfRule>
  </conditionalFormatting>
  <conditionalFormatting sqref="B12">
    <cfRule type="cellIs" dxfId="210" priority="24" stopIfTrue="1" operator="equal">
      <formula>"已过期"</formula>
    </cfRule>
  </conditionalFormatting>
  <conditionalFormatting sqref="C9:C10">
    <cfRule type="expression" dxfId="209" priority="22">
      <formula>AND($C9-TODAY()&lt;30,TODAY()&lt;$C9)</formula>
    </cfRule>
  </conditionalFormatting>
  <conditionalFormatting sqref="C9:C10">
    <cfRule type="cellIs" dxfId="208" priority="23" stopIfTrue="1" operator="lessThan">
      <formula>$B$2</formula>
    </cfRule>
  </conditionalFormatting>
  <conditionalFormatting sqref="G21">
    <cfRule type="expression" dxfId="207" priority="20" stopIfTrue="1">
      <formula>AND(#REF!-TODAY()&lt;30,TODAY()&lt;#REF!)</formula>
    </cfRule>
  </conditionalFormatting>
  <conditionalFormatting sqref="G21">
    <cfRule type="cellIs" dxfId="206" priority="21" stopIfTrue="1" operator="lessThan">
      <formula>$B$2</formula>
    </cfRule>
  </conditionalFormatting>
  <conditionalFormatting sqref="C14">
    <cfRule type="expression" dxfId="205" priority="18">
      <formula>AND($C14-TODAY()&lt;30,TODAY()&lt;$C14)</formula>
    </cfRule>
  </conditionalFormatting>
  <conditionalFormatting sqref="C14">
    <cfRule type="cellIs" dxfId="204" priority="19"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B14">
    <cfRule type="cellIs" dxfId="201" priority="15" stopIfTrue="1" operator="equal">
      <formula>"已过期"</formula>
    </cfRule>
  </conditionalFormatting>
  <conditionalFormatting sqref="G14">
    <cfRule type="cellIs" dxfId="200" priority="14" stopIfTrue="1" operator="lessThan">
      <formula>$B$2</formula>
    </cfRule>
  </conditionalFormatting>
  <conditionalFormatting sqref="D15">
    <cfRule type="expression" dxfId="199" priority="12">
      <formula>AND($C15-TODAY()&lt;30,TODAY()&lt;$C15)</formula>
    </cfRule>
  </conditionalFormatting>
  <conditionalFormatting sqref="D15">
    <cfRule type="cellIs" dxfId="198" priority="13"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C15">
    <cfRule type="expression" dxfId="194" priority="7">
      <formula>AND($C15-TODAY()&lt;30,TODAY()&lt;$C15)</formula>
    </cfRule>
  </conditionalFormatting>
  <conditionalFormatting sqref="C15">
    <cfRule type="cellIs" dxfId="193" priority="8" stopIfTrue="1" operator="lessThan">
      <formula>$B$2</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B15">
    <cfRule type="cellIs" dxfId="190" priority="4" stopIfTrue="1" operator="equal">
      <formula>"已过期"</formula>
    </cfRule>
  </conditionalFormatting>
  <conditionalFormatting sqref="G15">
    <cfRule type="cellIs" dxfId="189" priority="3" stopIfTrue="1" operator="lessThan">
      <formula>$B$2</formula>
    </cfRule>
  </conditionalFormatting>
  <conditionalFormatting sqref="G20">
    <cfRule type="expression" dxfId="188" priority="1" stopIfTrue="1">
      <formula>AND(#REF!-TODAY()&lt;30,TODAY()&lt;#REF!)</formula>
    </cfRule>
  </conditionalFormatting>
  <conditionalFormatting sqref="G20">
    <cfRule type="cellIs" dxfId="18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土地比较法-住宅、综合</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收益法-商业</vt:lpstr>
      <vt:lpstr>收益法-车库</vt:lpstr>
      <vt:lpstr>租赁明细</vt:lpstr>
      <vt:lpstr>区片价</vt:lpstr>
      <vt:lpstr>因素修正幅度</vt:lpstr>
      <vt:lpstr>区片价（范围）</vt:lpstr>
      <vt:lpstr>地价-分区</vt:lpstr>
      <vt:lpstr>地价</vt:lpstr>
      <vt:lpstr>存贷款利率</vt:lpstr>
      <vt:lpstr>基准地价修正</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2023-05-12T06:15:23Z</dcterms:modified>
</cp:coreProperties>
</file>