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比较法-租金商业" sheetId="100" r:id="rId22"/>
    <sheet name="收益法 (元)" sheetId="67" r:id="rId23"/>
    <sheet name="比较法-办公租金" sheetId="86" state="hidden" r:id="rId24"/>
    <sheet name="成本法 (元)" sheetId="69" state="hidden" r:id="rId25"/>
    <sheet name="假设开发法" sheetId="12" state="hidden" r:id="rId26"/>
    <sheet name="收益法" sheetId="15" state="hidden" r:id="rId27"/>
    <sheet name="基准地价修正" sheetId="43"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98" r:id="rId48"/>
    <sheet name="Sheet2" sheetId="99" r:id="rId49"/>
  </sheets>
  <externalReferences>
    <externalReference r:id="rId50"/>
  </externalReferences>
  <definedNames>
    <definedName name="_xlnm._FilterDatabase" localSheetId="19" hidden="1">'比较法-办公'!$A$1:$L$50</definedName>
    <definedName name="_xlnm._FilterDatabase" localSheetId="23"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0" hidden="1">'比较法-商业'!$A$1:$L$49</definedName>
    <definedName name="_xlnm._FilterDatabase" localSheetId="30" hidden="1">'比较法-住宅'!$A$1:$L$49</definedName>
    <definedName name="_xlnm._FilterDatabase" localSheetId="21" hidden="1">'比较法-租金商业'!$A$1:$L$49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3">'比较法-办公租金'!$A$1:$K$55,'比较法-办公租金'!$A$58:$M$132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21">'比较法-租金商业'!$A$1:$K$54,'比较法-租金商业'!$A$57:$M$131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7">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'比较法-租金商业'!$B$116:$M$116</definedName>
    <definedName name="商业层高">'比较法-商业'!$B$116:$M$116</definedName>
    <definedName name="商业成新度" localSheetId="21">'比较法-租金商业'!$B$109:$M$109</definedName>
    <definedName name="商业成新度">'比较法-商业'!$B$109:$M$109</definedName>
    <definedName name="商业繁华度">定义!$L$1:$L$6</definedName>
    <definedName name="商业公共部分装修" localSheetId="21">'比较法-租金商业'!$B$107:$M$107</definedName>
    <definedName name="商业公共部分装修">'比较法-商业'!$B$107:$M$107</definedName>
    <definedName name="商业基础设施水平" localSheetId="21">'比较法-租金商业'!$B$112:$M$112</definedName>
    <definedName name="商业基础设施水平">'比较法-商业'!$B$112:$M$112</definedName>
    <definedName name="商业建筑结构" localSheetId="21">'比较法-租金商业'!$B$105:$M$105</definedName>
    <definedName name="商业建筑结构">'比较法-商业'!$B$105:$M$105</definedName>
    <definedName name="商业交易情况" localSheetId="21">'比较法-租金商业'!$A$61:$M$61</definedName>
    <definedName name="商业交易情况">'比较法-商业'!$A$61:$M$61</definedName>
    <definedName name="商业街名称">修正!$C$71:$C$138</definedName>
    <definedName name="商业进深比" localSheetId="21">'比较法-租金商业'!$B$120:$M$120</definedName>
    <definedName name="商业进深比">'比较法-商业'!$B$120:$M$120</definedName>
    <definedName name="商业类型" localSheetId="21">'比较法-租金商业'!$B$100:$M$100</definedName>
    <definedName name="商业类型">'比较法-商业'!$B$100:$M$100</definedName>
    <definedName name="商业临街状况" localSheetId="21">'比较法-租金商业'!$B$86:$M$86</definedName>
    <definedName name="商业临街状况">'比较法-商业'!$B$86:$M$86</definedName>
    <definedName name="商业楼层" localSheetId="21">'比较法-租金商业'!$B$92:$M$92</definedName>
    <definedName name="商业楼层">'比较法-商业'!$B$92:$M$92</definedName>
    <definedName name="商业内部装修" localSheetId="21">'比较法-租金商业'!$B$122:$M$122</definedName>
    <definedName name="商业内部装修">'比较法-商业'!$B$122:$M$122</definedName>
    <definedName name="商业人流量" localSheetId="21">'比较法-租金商业'!$B$90:$M$90</definedName>
    <definedName name="商业人流量">'比较法-商业'!$B$90:$M$90</definedName>
    <definedName name="商业业态" localSheetId="21">'比较法-租金商业'!$B$114:$M$114</definedName>
    <definedName name="商业业态">'比较法-商业'!$B$114:$M$114</definedName>
    <definedName name="商业用途" localSheetId="21">'比较法-租金商业'!$B$63:$M$63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E89" i="100"/>
  <c r="F89" i="100"/>
  <c r="G89" i="100"/>
  <c r="D89" i="100"/>
  <c r="E89" i="33"/>
  <c r="F89" i="33"/>
  <c r="G89" i="33"/>
  <c r="D89" i="33"/>
  <c r="E10" i="33"/>
  <c r="E47" i="33"/>
  <c r="G10" i="33"/>
  <c r="C93" i="100"/>
  <c r="V26" i="1"/>
  <c r="D10" i="98" l="1"/>
  <c r="I47" i="33"/>
  <c r="G47" i="33"/>
  <c r="C93" i="33"/>
  <c r="D95" i="33"/>
  <c r="C95" i="33"/>
  <c r="C10" i="33"/>
  <c r="B130" i="100"/>
  <c r="B128" i="100"/>
  <c r="B126" i="100"/>
  <c r="D125" i="100"/>
  <c r="E125" i="100" s="1"/>
  <c r="F125" i="100" s="1"/>
  <c r="G125" i="100" s="1"/>
  <c r="D123" i="100"/>
  <c r="E123" i="100" s="1"/>
  <c r="H42" i="100" s="1"/>
  <c r="AB42" i="100" s="1"/>
  <c r="D121" i="100"/>
  <c r="E121" i="100" s="1"/>
  <c r="F121" i="100" s="1"/>
  <c r="G121" i="100" s="1"/>
  <c r="H121" i="100" s="1"/>
  <c r="I121" i="100" s="1"/>
  <c r="J121" i="100" s="1"/>
  <c r="K121" i="100" s="1"/>
  <c r="L121" i="100" s="1"/>
  <c r="M121" i="100" s="1"/>
  <c r="D117" i="100"/>
  <c r="E117" i="100" s="1"/>
  <c r="F117" i="100" s="1"/>
  <c r="G117" i="100" s="1"/>
  <c r="D115" i="100"/>
  <c r="E115" i="100" s="1"/>
  <c r="F115" i="100" s="1"/>
  <c r="G115" i="100" s="1"/>
  <c r="H115" i="100" s="1"/>
  <c r="I115" i="100" s="1"/>
  <c r="J115" i="100" s="1"/>
  <c r="K115" i="100" s="1"/>
  <c r="L115" i="100" s="1"/>
  <c r="M115" i="100" s="1"/>
  <c r="H113" i="100"/>
  <c r="I113" i="100" s="1"/>
  <c r="J113" i="100" s="1"/>
  <c r="K113" i="100" s="1"/>
  <c r="L113" i="100" s="1"/>
  <c r="M113" i="100" s="1"/>
  <c r="D113" i="100"/>
  <c r="E113" i="100" s="1"/>
  <c r="F113" i="100" s="1"/>
  <c r="G113" i="100" s="1"/>
  <c r="D111" i="100"/>
  <c r="E111" i="100" s="1"/>
  <c r="F111" i="100" s="1"/>
  <c r="G109" i="100"/>
  <c r="F109" i="100"/>
  <c r="E109" i="100"/>
  <c r="D109" i="100"/>
  <c r="C109" i="100"/>
  <c r="D108" i="100"/>
  <c r="E108" i="100" s="1"/>
  <c r="F108" i="100" s="1"/>
  <c r="G108" i="100" s="1"/>
  <c r="H108" i="100" s="1"/>
  <c r="I108" i="100" s="1"/>
  <c r="J108" i="100" s="1"/>
  <c r="K108" i="100" s="1"/>
  <c r="L108" i="100" s="1"/>
  <c r="M108" i="100" s="1"/>
  <c r="D106" i="100"/>
  <c r="E106" i="100" s="1"/>
  <c r="F106" i="100" s="1"/>
  <c r="G106" i="100" s="1"/>
  <c r="H106" i="100" s="1"/>
  <c r="I106" i="100" s="1"/>
  <c r="J106" i="100" s="1"/>
  <c r="K106" i="100" s="1"/>
  <c r="L106" i="100" s="1"/>
  <c r="M106" i="100" s="1"/>
  <c r="M102" i="100"/>
  <c r="L102" i="100"/>
  <c r="K102" i="100"/>
  <c r="J102" i="100"/>
  <c r="I102" i="100"/>
  <c r="H102" i="100"/>
  <c r="G102" i="100"/>
  <c r="F102" i="100"/>
  <c r="E102" i="100"/>
  <c r="D102" i="100"/>
  <c r="C102" i="100"/>
  <c r="D101" i="100"/>
  <c r="E101" i="100" s="1"/>
  <c r="F101" i="100" s="1"/>
  <c r="G101" i="100" s="1"/>
  <c r="H101" i="100" s="1"/>
  <c r="I101" i="100" s="1"/>
  <c r="J101" i="100" s="1"/>
  <c r="K101" i="100" s="1"/>
  <c r="L101" i="100" s="1"/>
  <c r="M101" i="100" s="1"/>
  <c r="B98" i="100"/>
  <c r="B96" i="100"/>
  <c r="B94" i="100"/>
  <c r="B92" i="100"/>
  <c r="H91" i="100"/>
  <c r="I91" i="100" s="1"/>
  <c r="J91" i="100" s="1"/>
  <c r="K91" i="100" s="1"/>
  <c r="L91" i="100" s="1"/>
  <c r="M91" i="100" s="1"/>
  <c r="D91" i="100"/>
  <c r="E91" i="100" s="1"/>
  <c r="F91" i="100" s="1"/>
  <c r="G91" i="100" s="1"/>
  <c r="B90" i="100"/>
  <c r="B88" i="100"/>
  <c r="D87" i="100"/>
  <c r="E87" i="100" s="1"/>
  <c r="F87" i="100" s="1"/>
  <c r="G87" i="100" s="1"/>
  <c r="H87" i="100" s="1"/>
  <c r="I87" i="100" s="1"/>
  <c r="J87" i="100" s="1"/>
  <c r="K87" i="100" s="1"/>
  <c r="L87" i="100" s="1"/>
  <c r="M87" i="100" s="1"/>
  <c r="D85" i="100"/>
  <c r="E85" i="100" s="1"/>
  <c r="F85" i="100" s="1"/>
  <c r="G85" i="100" s="1"/>
  <c r="D83" i="100"/>
  <c r="E83" i="100" s="1"/>
  <c r="F83" i="100" s="1"/>
  <c r="G83" i="100" s="1"/>
  <c r="D81" i="100"/>
  <c r="E81" i="100" s="1"/>
  <c r="F81" i="100" s="1"/>
  <c r="G81" i="100" s="1"/>
  <c r="D79" i="100"/>
  <c r="E79" i="100" s="1"/>
  <c r="F79" i="100" s="1"/>
  <c r="G79" i="100" s="1"/>
  <c r="D77" i="100"/>
  <c r="E77" i="100" s="1"/>
  <c r="F77" i="100" s="1"/>
  <c r="G77" i="100" s="1"/>
  <c r="B74" i="100"/>
  <c r="B72" i="100"/>
  <c r="B70" i="100"/>
  <c r="I69" i="100"/>
  <c r="J69" i="100" s="1"/>
  <c r="K69" i="100" s="1"/>
  <c r="L69" i="100" s="1"/>
  <c r="M69" i="100" s="1"/>
  <c r="E69" i="100"/>
  <c r="F69" i="100" s="1"/>
  <c r="G69" i="100" s="1"/>
  <c r="H69" i="100" s="1"/>
  <c r="D69" i="100"/>
  <c r="M67" i="100"/>
  <c r="L67" i="100"/>
  <c r="K67" i="100"/>
  <c r="J67" i="100"/>
  <c r="I67" i="100"/>
  <c r="H67" i="100"/>
  <c r="G67" i="100"/>
  <c r="F67" i="100"/>
  <c r="E67" i="100"/>
  <c r="D67" i="100"/>
  <c r="C67" i="100"/>
  <c r="D66" i="100"/>
  <c r="E66" i="100" s="1"/>
  <c r="F66" i="100" s="1"/>
  <c r="C63" i="100"/>
  <c r="I54" i="100"/>
  <c r="J54" i="100" s="1"/>
  <c r="G54" i="100"/>
  <c r="H54" i="100" s="1"/>
  <c r="E54" i="100"/>
  <c r="F54" i="100" s="1"/>
  <c r="P49" i="100"/>
  <c r="P48" i="100"/>
  <c r="K48" i="100"/>
  <c r="V47" i="100"/>
  <c r="T47" i="100"/>
  <c r="R47" i="100"/>
  <c r="P47" i="100"/>
  <c r="AC46" i="100"/>
  <c r="W46" i="100"/>
  <c r="Q46" i="100"/>
  <c r="Z46" i="100" s="1"/>
  <c r="J46" i="100"/>
  <c r="H46" i="100"/>
  <c r="AB46" i="100" s="1"/>
  <c r="F46" i="100"/>
  <c r="AA46" i="100" s="1"/>
  <c r="Q45" i="100"/>
  <c r="Z45" i="100" s="1"/>
  <c r="J45" i="100"/>
  <c r="AC45" i="100" s="1"/>
  <c r="H45" i="100"/>
  <c r="AB45" i="100" s="1"/>
  <c r="F45" i="100"/>
  <c r="AA45" i="100" s="1"/>
  <c r="Q44" i="100"/>
  <c r="Z44" i="100" s="1"/>
  <c r="F44" i="100"/>
  <c r="S44" i="100" s="1"/>
  <c r="C44" i="100"/>
  <c r="J44" i="100" s="1"/>
  <c r="Q43" i="100"/>
  <c r="Z43" i="100" s="1"/>
  <c r="J43" i="100"/>
  <c r="AC43" i="100" s="1"/>
  <c r="H43" i="100"/>
  <c r="AB43" i="100" s="1"/>
  <c r="F43" i="100"/>
  <c r="AA43" i="100" s="1"/>
  <c r="Q42" i="100"/>
  <c r="Z42" i="100" s="1"/>
  <c r="J42" i="100"/>
  <c r="AC42" i="100" s="1"/>
  <c r="Q41" i="100"/>
  <c r="Z41" i="100" s="1"/>
  <c r="J41" i="100"/>
  <c r="W41" i="100" s="1"/>
  <c r="H41" i="100"/>
  <c r="AB41" i="100" s="1"/>
  <c r="F41" i="100"/>
  <c r="AA41" i="100" s="1"/>
  <c r="Q40" i="100"/>
  <c r="Z40" i="100" s="1"/>
  <c r="J40" i="100"/>
  <c r="AC40" i="100" s="1"/>
  <c r="H40" i="100"/>
  <c r="AB40" i="100" s="1"/>
  <c r="F40" i="100"/>
  <c r="AA40" i="100" s="1"/>
  <c r="Q39" i="100"/>
  <c r="Z39" i="100" s="1"/>
  <c r="J39" i="100"/>
  <c r="AC39" i="100" s="1"/>
  <c r="H39" i="100"/>
  <c r="AB39" i="100" s="1"/>
  <c r="F39" i="100"/>
  <c r="S39" i="100" s="1"/>
  <c r="Z38" i="100"/>
  <c r="Q38" i="100"/>
  <c r="J38" i="100"/>
  <c r="AC38" i="100" s="1"/>
  <c r="H38" i="100"/>
  <c r="AB38" i="100" s="1"/>
  <c r="F38" i="100"/>
  <c r="AA38" i="100" s="1"/>
  <c r="Q37" i="100"/>
  <c r="Z37" i="100" s="1"/>
  <c r="J37" i="100"/>
  <c r="AC37" i="100" s="1"/>
  <c r="H37" i="100"/>
  <c r="AB37" i="100" s="1"/>
  <c r="F37" i="100"/>
  <c r="AA37" i="100" s="1"/>
  <c r="Q36" i="100"/>
  <c r="Z36" i="100" s="1"/>
  <c r="Q35" i="100"/>
  <c r="Z35" i="100" s="1"/>
  <c r="J35" i="100"/>
  <c r="AC35" i="100" s="1"/>
  <c r="H35" i="100"/>
  <c r="AB35" i="100" s="1"/>
  <c r="F35" i="100"/>
  <c r="AA35" i="100" s="1"/>
  <c r="Q34" i="100"/>
  <c r="Z34" i="100" s="1"/>
  <c r="J34" i="100"/>
  <c r="AC34" i="100" s="1"/>
  <c r="H34" i="100"/>
  <c r="AB34" i="100" s="1"/>
  <c r="F34" i="100"/>
  <c r="S34" i="100" s="1"/>
  <c r="Z33" i="100"/>
  <c r="Q33" i="100"/>
  <c r="C33" i="100"/>
  <c r="Q32" i="100"/>
  <c r="Z32" i="100" s="1"/>
  <c r="J32" i="100"/>
  <c r="AC32" i="100" s="1"/>
  <c r="H32" i="100"/>
  <c r="AB32" i="100" s="1"/>
  <c r="F32" i="100"/>
  <c r="AA32" i="100" s="1"/>
  <c r="AC31" i="100"/>
  <c r="Q31" i="100"/>
  <c r="Z31" i="100" s="1"/>
  <c r="J31" i="100"/>
  <c r="W31" i="100" s="1"/>
  <c r="H31" i="100"/>
  <c r="AB31" i="100" s="1"/>
  <c r="F31" i="100"/>
  <c r="AA31" i="100" s="1"/>
  <c r="Q30" i="100"/>
  <c r="Z30" i="100" s="1"/>
  <c r="J30" i="100"/>
  <c r="AC30" i="100" s="1"/>
  <c r="H30" i="100"/>
  <c r="U30" i="100" s="1"/>
  <c r="F30" i="100"/>
  <c r="AA30" i="100" s="1"/>
  <c r="Q29" i="100"/>
  <c r="Z29" i="100" s="1"/>
  <c r="J29" i="100"/>
  <c r="AC29" i="100" s="1"/>
  <c r="H29" i="100"/>
  <c r="AB29" i="100" s="1"/>
  <c r="F29" i="100"/>
  <c r="S29" i="100" s="1"/>
  <c r="Q28" i="100"/>
  <c r="Z28" i="100" s="1"/>
  <c r="J28" i="100"/>
  <c r="AC28" i="100" s="1"/>
  <c r="H28" i="100"/>
  <c r="AB28" i="100" s="1"/>
  <c r="F28" i="100"/>
  <c r="AA28" i="100" s="1"/>
  <c r="Q27" i="100"/>
  <c r="Z27" i="100" s="1"/>
  <c r="J27" i="100"/>
  <c r="W27" i="100" s="1"/>
  <c r="H27" i="100"/>
  <c r="U27" i="100" s="1"/>
  <c r="F27" i="100"/>
  <c r="AA27" i="100" s="1"/>
  <c r="Q26" i="100"/>
  <c r="Z26" i="100" s="1"/>
  <c r="H26" i="100"/>
  <c r="AB26" i="100" s="1"/>
  <c r="F26" i="100"/>
  <c r="S26" i="100" s="1"/>
  <c r="Q25" i="100"/>
  <c r="Z25" i="100" s="1"/>
  <c r="J25" i="100"/>
  <c r="AC25" i="100" s="1"/>
  <c r="H25" i="100"/>
  <c r="AB25" i="100" s="1"/>
  <c r="F25" i="100"/>
  <c r="AA25" i="100" s="1"/>
  <c r="Q23" i="100"/>
  <c r="Z23" i="100" s="1"/>
  <c r="J23" i="100"/>
  <c r="AC23" i="100" s="1"/>
  <c r="H23" i="100"/>
  <c r="AB23" i="100" s="1"/>
  <c r="F23" i="100"/>
  <c r="AA23" i="100" s="1"/>
  <c r="C23" i="100"/>
  <c r="Q21" i="100"/>
  <c r="Z21" i="100" s="1"/>
  <c r="J21" i="100"/>
  <c r="AC21" i="100" s="1"/>
  <c r="H21" i="100"/>
  <c r="AB21" i="100" s="1"/>
  <c r="F21" i="100"/>
  <c r="AA21" i="100" s="1"/>
  <c r="C21" i="100"/>
  <c r="Q19" i="100"/>
  <c r="Z19" i="100" s="1"/>
  <c r="J19" i="100"/>
  <c r="AC19" i="100" s="1"/>
  <c r="H19" i="100"/>
  <c r="AB19" i="100" s="1"/>
  <c r="F19" i="100"/>
  <c r="AA19" i="100" s="1"/>
  <c r="C19" i="100"/>
  <c r="Q17" i="100"/>
  <c r="Z17" i="100" s="1"/>
  <c r="J17" i="100"/>
  <c r="AC17" i="100" s="1"/>
  <c r="H17" i="100"/>
  <c r="AB17" i="100" s="1"/>
  <c r="F17" i="100"/>
  <c r="AA17" i="100" s="1"/>
  <c r="C17" i="100"/>
  <c r="Q15" i="100"/>
  <c r="Z15" i="100" s="1"/>
  <c r="J15" i="100"/>
  <c r="AC15" i="100" s="1"/>
  <c r="H15" i="100"/>
  <c r="AB15" i="100" s="1"/>
  <c r="F15" i="100"/>
  <c r="AA15" i="100" s="1"/>
  <c r="C15" i="100"/>
  <c r="Q14" i="100"/>
  <c r="Z14" i="100" s="1"/>
  <c r="J14" i="100"/>
  <c r="AC14" i="100" s="1"/>
  <c r="H14" i="100"/>
  <c r="AB14" i="100" s="1"/>
  <c r="F14" i="100"/>
  <c r="AA14" i="100" s="1"/>
  <c r="AA13" i="100"/>
  <c r="Q13" i="100"/>
  <c r="Z13" i="100" s="1"/>
  <c r="J13" i="100"/>
  <c r="AC13" i="100" s="1"/>
  <c r="H13" i="100"/>
  <c r="AB13" i="100" s="1"/>
  <c r="F13" i="100"/>
  <c r="S13" i="100" s="1"/>
  <c r="Q12" i="100"/>
  <c r="Z12" i="100" s="1"/>
  <c r="J12" i="100"/>
  <c r="AC12" i="100" s="1"/>
  <c r="H12" i="100"/>
  <c r="AB12" i="100" s="1"/>
  <c r="F12" i="100"/>
  <c r="AA12" i="100" s="1"/>
  <c r="Q11" i="100"/>
  <c r="Z11" i="100" s="1"/>
  <c r="J11" i="100"/>
  <c r="AC11" i="100" s="1"/>
  <c r="H11" i="100"/>
  <c r="AB11" i="100" s="1"/>
  <c r="F11" i="100"/>
  <c r="AA11" i="100" s="1"/>
  <c r="Q10" i="100"/>
  <c r="Z10" i="100" s="1"/>
  <c r="J10" i="100"/>
  <c r="H10" i="100"/>
  <c r="F10" i="100"/>
  <c r="Q9" i="100"/>
  <c r="Z9" i="100" s="1"/>
  <c r="J9" i="100"/>
  <c r="AC9" i="100" s="1"/>
  <c r="H9" i="100"/>
  <c r="AB9" i="100" s="1"/>
  <c r="F9" i="100"/>
  <c r="S9" i="100" s="1"/>
  <c r="J8" i="100"/>
  <c r="AC8" i="100" s="1"/>
  <c r="H8" i="100"/>
  <c r="U8" i="100" s="1"/>
  <c r="F8" i="100"/>
  <c r="AA8" i="100" s="1"/>
  <c r="C7" i="100"/>
  <c r="C58" i="100" s="1"/>
  <c r="D58" i="100" s="1"/>
  <c r="E58" i="100" s="1"/>
  <c r="F58" i="100" s="1"/>
  <c r="G58" i="100" s="1"/>
  <c r="H58" i="100" s="1"/>
  <c r="I58" i="100" s="1"/>
  <c r="J58" i="100" s="1"/>
  <c r="K58" i="100" s="1"/>
  <c r="L58" i="100" s="1"/>
  <c r="M58" i="100" s="1"/>
  <c r="N58" i="100" s="1"/>
  <c r="O58" i="100" s="1"/>
  <c r="D3" i="100"/>
  <c r="D2" i="100"/>
  <c r="W8" i="100" l="1"/>
  <c r="S8" i="100"/>
  <c r="F42" i="100"/>
  <c r="AA42" i="100" s="1"/>
  <c r="F123" i="100"/>
  <c r="G123" i="100" s="1"/>
  <c r="H123" i="100" s="1"/>
  <c r="I123" i="100" s="1"/>
  <c r="J123" i="100" s="1"/>
  <c r="K123" i="100" s="1"/>
  <c r="L123" i="100" s="1"/>
  <c r="M123" i="100" s="1"/>
  <c r="AC41" i="100"/>
  <c r="AA39" i="100"/>
  <c r="W37" i="100"/>
  <c r="AA34" i="100"/>
  <c r="AA44" i="100"/>
  <c r="AA29" i="100"/>
  <c r="AB27" i="100"/>
  <c r="U26" i="100"/>
  <c r="U28" i="100"/>
  <c r="AC10" i="100"/>
  <c r="W10" i="100"/>
  <c r="G111" i="100"/>
  <c r="H111" i="100" s="1"/>
  <c r="I111" i="100" s="1"/>
  <c r="J111" i="100" s="1"/>
  <c r="K111" i="100" s="1"/>
  <c r="L111" i="100" s="1"/>
  <c r="M111" i="100" s="1"/>
  <c r="AA10" i="100"/>
  <c r="S10" i="100"/>
  <c r="U10" i="100"/>
  <c r="AB10" i="100"/>
  <c r="AA9" i="100"/>
  <c r="U15" i="100"/>
  <c r="U17" i="100"/>
  <c r="U21" i="100"/>
  <c r="S27" i="100"/>
  <c r="AB30" i="100"/>
  <c r="H33" i="100"/>
  <c r="F33" i="100"/>
  <c r="J33" i="100"/>
  <c r="AC44" i="100"/>
  <c r="W44" i="100"/>
  <c r="G7" i="100"/>
  <c r="H7" i="100" s="1"/>
  <c r="U9" i="100"/>
  <c r="S12" i="100"/>
  <c r="U13" i="100"/>
  <c r="W14" i="100"/>
  <c r="W15" i="100"/>
  <c r="W17" i="100"/>
  <c r="W19" i="100"/>
  <c r="W21" i="100"/>
  <c r="W23" i="100"/>
  <c r="AC27" i="100"/>
  <c r="U35" i="100"/>
  <c r="U40" i="100"/>
  <c r="U45" i="100"/>
  <c r="W11" i="100"/>
  <c r="W25" i="100"/>
  <c r="AB8" i="100"/>
  <c r="W9" i="100"/>
  <c r="S25" i="100"/>
  <c r="AA26" i="100"/>
  <c r="S43" i="100"/>
  <c r="U14" i="100"/>
  <c r="U19" i="100"/>
  <c r="U23" i="100"/>
  <c r="S11" i="100"/>
  <c r="U12" i="100"/>
  <c r="W13" i="100"/>
  <c r="E7" i="100"/>
  <c r="F7" i="100" s="1"/>
  <c r="I7" i="100"/>
  <c r="J7" i="100" s="1"/>
  <c r="U11" i="100"/>
  <c r="W12" i="100"/>
  <c r="S14" i="100"/>
  <c r="S15" i="100"/>
  <c r="S17" i="100"/>
  <c r="S19" i="100"/>
  <c r="S21" i="100"/>
  <c r="S23" i="100"/>
  <c r="U25" i="100"/>
  <c r="J26" i="100"/>
  <c r="W28" i="100"/>
  <c r="S30" i="100"/>
  <c r="U31" i="100"/>
  <c r="W32" i="100"/>
  <c r="S35" i="100"/>
  <c r="U37" i="100"/>
  <c r="W38" i="100"/>
  <c r="S40" i="100"/>
  <c r="U41" i="100"/>
  <c r="W42" i="100"/>
  <c r="S45" i="100"/>
  <c r="U46" i="100"/>
  <c r="S28" i="100"/>
  <c r="U29" i="100"/>
  <c r="W30" i="100"/>
  <c r="S32" i="100"/>
  <c r="U34" i="100"/>
  <c r="W35" i="100"/>
  <c r="S38" i="100"/>
  <c r="U39" i="100"/>
  <c r="W40" i="100"/>
  <c r="U43" i="100"/>
  <c r="H44" i="100"/>
  <c r="W45" i="100"/>
  <c r="W29" i="100"/>
  <c r="S31" i="100"/>
  <c r="U32" i="100"/>
  <c r="W34" i="100"/>
  <c r="S37" i="100"/>
  <c r="U38" i="100"/>
  <c r="W39" i="100"/>
  <c r="S41" i="100"/>
  <c r="U42" i="100"/>
  <c r="W43" i="100"/>
  <c r="S46" i="100"/>
  <c r="S42" i="100" l="1"/>
  <c r="AB33" i="100"/>
  <c r="U33" i="100"/>
  <c r="AC26" i="100"/>
  <c r="W26" i="100"/>
  <c r="U7" i="100"/>
  <c r="AB7" i="100"/>
  <c r="AC33" i="100"/>
  <c r="W33" i="100"/>
  <c r="AA7" i="100"/>
  <c r="S7" i="100"/>
  <c r="AA33" i="100"/>
  <c r="S33" i="100"/>
  <c r="AB44" i="100"/>
  <c r="U44" i="100"/>
  <c r="W7" i="100"/>
  <c r="AC7" i="100"/>
  <c r="B24" i="31" l="1"/>
  <c r="D67" i="34" l="1"/>
  <c r="E67" i="34"/>
  <c r="F67" i="34" s="1"/>
  <c r="G67" i="34" s="1"/>
  <c r="I10" i="34"/>
  <c r="G10" i="34"/>
  <c r="E10" i="34" l="1"/>
  <c r="C10" i="34"/>
  <c r="C45" i="86" l="1"/>
  <c r="E45" i="86" s="1"/>
  <c r="C45" i="34" l="1"/>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E80" i="86" s="1"/>
  <c r="F80" i="86" s="1"/>
  <c r="G80" i="86" s="1"/>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W25" i="86"/>
  <c r="AC29" i="86"/>
  <c r="AC32" i="86"/>
  <c r="U15" i="86"/>
  <c r="AA8" i="86"/>
  <c r="W10" i="86"/>
  <c r="S12" i="86"/>
  <c r="U13" i="86"/>
  <c r="W14" i="86"/>
  <c r="W17" i="86"/>
  <c r="W21"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N6" i="1" s="1"/>
  <c r="C36" i="100" s="1"/>
  <c r="H36" i="100" l="1"/>
  <c r="J36" i="100"/>
  <c r="F36" i="100"/>
  <c r="W23" i="86"/>
  <c r="U23" i="86"/>
  <c r="F43" i="86"/>
  <c r="S43" i="86" s="1"/>
  <c r="H43" i="86"/>
  <c r="U43" i="86" s="1"/>
  <c r="N21" i="1"/>
  <c r="S45" i="86"/>
  <c r="S44" i="86"/>
  <c r="W9" i="86"/>
  <c r="AB30" i="86"/>
  <c r="AB27" i="86"/>
  <c r="W40" i="86"/>
  <c r="U40" i="86"/>
  <c r="S40" i="86"/>
  <c r="AA27" i="86"/>
  <c r="AC27" i="86"/>
  <c r="AC43" i="86"/>
  <c r="W43" i="86"/>
  <c r="C18" i="31"/>
  <c r="D17" i="31"/>
  <c r="C17" i="31"/>
  <c r="D4" i="31"/>
  <c r="E4" i="31"/>
  <c r="F4" i="31"/>
  <c r="C4" i="31"/>
  <c r="D3" i="31"/>
  <c r="E3" i="31"/>
  <c r="F3" i="31"/>
  <c r="C3" i="31"/>
  <c r="I10" i="33"/>
  <c r="C44" i="33"/>
  <c r="C33" i="33"/>
  <c r="D18" i="31"/>
  <c r="D66" i="33"/>
  <c r="E66" i="33" s="1"/>
  <c r="F66" i="33" s="1"/>
  <c r="AA36" i="100" l="1"/>
  <c r="R48" i="100" s="1"/>
  <c r="S36" i="100"/>
  <c r="AC36" i="100"/>
  <c r="V48" i="100" s="1"/>
  <c r="I48" i="100" s="1"/>
  <c r="I52" i="100" s="1"/>
  <c r="J52" i="100" s="1"/>
  <c r="W36" i="100"/>
  <c r="AB36" i="100"/>
  <c r="T48" i="100" s="1"/>
  <c r="G48" i="100" s="1"/>
  <c r="U36" i="100"/>
  <c r="AB43" i="86"/>
  <c r="AA43" i="86"/>
  <c r="J49" i="67"/>
  <c r="D3" i="4"/>
  <c r="G53" i="100" l="1"/>
  <c r="H53" i="100" s="1"/>
  <c r="G52" i="100"/>
  <c r="H52" i="100" s="1"/>
  <c r="E48" i="100"/>
  <c r="R49" i="100"/>
  <c r="C37" i="86"/>
  <c r="I37" i="86" s="1"/>
  <c r="C37" i="34"/>
  <c r="C36" i="33"/>
  <c r="Y6" i="1"/>
  <c r="C60" i="78"/>
  <c r="D60" i="78" s="1"/>
  <c r="D53" i="78"/>
  <c r="D52" i="78"/>
  <c r="D51" i="78" s="1"/>
  <c r="B51" i="78"/>
  <c r="B56" i="78" s="1"/>
  <c r="C49" i="100" l="1"/>
  <c r="C48" i="100"/>
  <c r="I53" i="100"/>
  <c r="J53" i="100" s="1"/>
  <c r="E53" i="100"/>
  <c r="F53" i="100" s="1"/>
  <c r="E52" i="100"/>
  <c r="F52" i="100" s="1"/>
  <c r="E37" i="34"/>
  <c r="E37" i="86"/>
  <c r="F37" i="86" s="1"/>
  <c r="B55" i="78"/>
  <c r="D55" i="78" s="1"/>
  <c r="J37" i="86"/>
  <c r="C51" i="78"/>
  <c r="C56" i="78" s="1"/>
  <c r="C58" i="78" s="1"/>
  <c r="B62" i="78"/>
  <c r="B54" i="78"/>
  <c r="D54" i="78" s="1"/>
  <c r="D56" i="78" s="1"/>
  <c r="U25" i="1" l="1"/>
  <c r="B2" i="100"/>
  <c r="B3" i="100"/>
  <c r="S37" i="86"/>
  <c r="AA37" i="86"/>
  <c r="AC37" i="86"/>
  <c r="W37" i="86"/>
  <c r="D58" i="78"/>
  <c r="D62" i="78" s="1"/>
  <c r="C62" i="78" s="1"/>
  <c r="U26" i="1" l="1"/>
  <c r="W25" i="1"/>
  <c r="G14" i="73"/>
  <c r="F14" i="73"/>
  <c r="E14" i="73"/>
  <c r="U6" i="1" l="1"/>
  <c r="W26" i="1"/>
  <c r="V21"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N38" i="71"/>
  <c r="Q37" i="71"/>
  <c r="P37" i="71"/>
  <c r="O37" i="71"/>
  <c r="N37" i="71"/>
  <c r="B38"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C34" i="71"/>
  <c r="D34" i="71" s="1"/>
  <c r="C38" i="71"/>
  <c r="D38" i="71" s="1"/>
  <c r="P28" i="71"/>
  <c r="E28" i="71" s="1"/>
  <c r="U68" i="71"/>
  <c r="E67" i="71"/>
  <c r="P67" i="71" s="1"/>
  <c r="Q28" i="71"/>
  <c r="F28" i="71" s="1"/>
  <c r="D58" i="71"/>
  <c r="C63" i="71"/>
  <c r="C64" i="71" s="1"/>
  <c r="T68" i="71"/>
  <c r="E71" i="71"/>
  <c r="E70" i="71" s="1"/>
  <c r="D76" i="71"/>
  <c r="D6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W18" i="36"/>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57" i="31"/>
  <c r="S453" i="31"/>
  <c r="S44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c r="J39" i="33"/>
  <c r="AC39" i="33" s="1"/>
  <c r="Q38" i="33"/>
  <c r="Z38" i="33" s="1"/>
  <c r="Q37" i="33"/>
  <c r="Z37" i="33" s="1"/>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F36" i="34"/>
  <c r="S36" i="34" s="1"/>
  <c r="J35" i="34"/>
  <c r="W35" i="34" s="1"/>
  <c r="H39" i="33"/>
  <c r="AB39"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s="1"/>
  <c r="H44" i="21"/>
  <c r="U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BA552" i="3"/>
  <c r="BA548" i="3"/>
  <c r="BA546" i="3"/>
  <c r="BA544" i="3"/>
  <c r="BA542" i="3"/>
  <c r="AZ542" i="3" s="1"/>
  <c r="BA540" i="3"/>
  <c r="BA538" i="3"/>
  <c r="BA536" i="3"/>
  <c r="BA534" i="3"/>
  <c r="BA532" i="3"/>
  <c r="AZ532" i="3" s="1"/>
  <c r="BA530" i="3"/>
  <c r="BA528" i="3"/>
  <c r="BA526" i="3"/>
  <c r="BA524" i="3"/>
  <c r="AZ524" i="3" s="1"/>
  <c r="BA522" i="3"/>
  <c r="BA520" i="3"/>
  <c r="BA518" i="3"/>
  <c r="BA516" i="3"/>
  <c r="BA514" i="3"/>
  <c r="BA512" i="3"/>
  <c r="BA510" i="3"/>
  <c r="BA508" i="3"/>
  <c r="BA506" i="3"/>
  <c r="BA504" i="3"/>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s="1"/>
  <c r="BQ563" i="3"/>
  <c r="BL563" i="3"/>
  <c r="BQ561" i="3"/>
  <c r="BL561" i="3" s="1"/>
  <c r="BQ559" i="3"/>
  <c r="BL559" i="3" s="1"/>
  <c r="AZ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AZ369" i="3" s="1"/>
  <c r="BL370" i="3"/>
  <c r="G371" i="3"/>
  <c r="BA373" i="3"/>
  <c r="BL374" i="3"/>
  <c r="G375" i="3"/>
  <c r="BA377" i="3"/>
  <c r="BA379" i="3"/>
  <c r="AZ379" i="3" s="1"/>
  <c r="BL380" i="3"/>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AA32" i="36"/>
  <c r="S32" i="36"/>
  <c r="BL14" i="3"/>
  <c r="AC13" i="34"/>
  <c r="AA47" i="34"/>
  <c r="S19" i="39"/>
  <c r="F12" i="33"/>
  <c r="H12" i="39"/>
  <c r="AB12" i="39" s="1"/>
  <c r="F39" i="40"/>
  <c r="BA14" i="3"/>
  <c r="B12" i="1"/>
  <c r="E12" i="1" s="1"/>
  <c r="B10" i="1"/>
  <c r="E10" i="1" s="1"/>
  <c r="K12" i="1"/>
  <c r="M12" i="1" s="1"/>
  <c r="S13" i="1"/>
  <c r="AR13" i="1" s="1"/>
  <c r="R13" i="1"/>
  <c r="J51" i="67"/>
  <c r="C42" i="1"/>
  <c r="C24" i="12" s="1"/>
  <c r="B41" i="1"/>
  <c r="F48" i="9" s="1"/>
  <c r="O52" i="9" s="1"/>
  <c r="AB37" i="40"/>
  <c r="S35"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9" i="39"/>
  <c r="U14" i="39"/>
  <c r="AC13" i="39"/>
  <c r="U13" i="36"/>
  <c r="U26" i="36"/>
  <c r="S33" i="36"/>
  <c r="AA26" i="36"/>
  <c r="AA34" i="36"/>
  <c r="AC26" i="36"/>
  <c r="AA22" i="36"/>
  <c r="W14" i="36"/>
  <c r="AB14" i="36"/>
  <c r="U22" i="36"/>
  <c r="S16" i="36"/>
  <c r="S24" i="36"/>
  <c r="U23"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G79" i="37" s="1"/>
  <c r="F23" i="37"/>
  <c r="S23" i="37" s="1"/>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H41" i="33"/>
  <c r="U41" i="33" s="1"/>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S46" i="34"/>
  <c r="AA46" i="34"/>
  <c r="U32" i="34"/>
  <c r="AB32" i="34"/>
  <c r="U14" i="34"/>
  <c r="AB14" i="34"/>
  <c r="AC35" i="34"/>
  <c r="U12" i="34"/>
  <c r="AB12" i="34"/>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J10" i="37"/>
  <c r="W10" i="37" s="1"/>
  <c r="H11" i="37"/>
  <c r="AB11" i="37" s="1"/>
  <c r="G70" i="34"/>
  <c r="H70" i="34" s="1"/>
  <c r="I70" i="34" s="1"/>
  <c r="J70" i="34" s="1"/>
  <c r="K70" i="34" s="1"/>
  <c r="L70" i="34" s="1"/>
  <c r="M70" i="34" s="1"/>
  <c r="H11" i="34"/>
  <c r="U11" i="34" s="1"/>
  <c r="J10" i="34"/>
  <c r="AC10" i="34" s="1"/>
  <c r="J36" i="33"/>
  <c r="W36" i="33" s="1"/>
  <c r="H36" i="33"/>
  <c r="U36" i="33" s="1"/>
  <c r="G87" i="33"/>
  <c r="H87" i="33" s="1"/>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AP7" i="1"/>
  <c r="AB45" i="21"/>
  <c r="AA32" i="21"/>
  <c r="S32" i="21"/>
  <c r="AB32" i="21"/>
  <c r="U32" i="21"/>
  <c r="J11" i="37"/>
  <c r="AC11" i="37"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1" i="76"/>
  <c r="E10" i="76"/>
  <c r="E8" i="76"/>
  <c r="B13" i="76"/>
  <c r="E12" i="76"/>
  <c r="E2" i="68"/>
  <c r="D6" i="73"/>
  <c r="M8" i="15"/>
  <c r="F37" i="67"/>
  <c r="E2" i="69"/>
  <c r="M23" i="15"/>
  <c r="E13" i="76"/>
  <c r="E11" i="76"/>
  <c r="F5" i="73"/>
  <c r="E9" i="76"/>
  <c r="B7" i="76"/>
  <c r="F20" i="31"/>
  <c r="B12" i="76"/>
  <c r="F26" i="15"/>
  <c r="F7" i="73"/>
  <c r="AO13" i="1"/>
  <c r="M26" i="15"/>
  <c r="E7" i="76"/>
  <c r="F6" i="15"/>
  <c r="B10" i="76"/>
  <c r="J15" i="15"/>
  <c r="L47" i="15"/>
  <c r="F6" i="73"/>
  <c r="B8" i="76"/>
  <c r="B9" i="76"/>
  <c r="F4" i="73"/>
  <c r="F3" i="73"/>
  <c r="J42" i="33" l="1"/>
  <c r="S43" i="33"/>
  <c r="AB41" i="33"/>
  <c r="W41" i="33"/>
  <c r="U42" i="33"/>
  <c r="W40" i="33"/>
  <c r="W35" i="33"/>
  <c r="AA35" i="33"/>
  <c r="U30" i="33"/>
  <c r="W32" i="33"/>
  <c r="AB28" i="33"/>
  <c r="S32" i="33"/>
  <c r="W12" i="33"/>
  <c r="AC12" i="33"/>
  <c r="G7" i="34"/>
  <c r="E7" i="34"/>
  <c r="I7" i="34"/>
  <c r="F26" i="33"/>
  <c r="AA26" i="33" s="1"/>
  <c r="U34" i="35"/>
  <c r="G586" i="3"/>
  <c r="BA487" i="3"/>
  <c r="BL316" i="3"/>
  <c r="G155" i="3"/>
  <c r="G50" i="3"/>
  <c r="G59" i="3"/>
  <c r="G71" i="3"/>
  <c r="D72" i="71"/>
  <c r="O68" i="71"/>
  <c r="B40" i="71"/>
  <c r="S40" i="71" s="1"/>
  <c r="C23" i="71"/>
  <c r="AZ380" i="3"/>
  <c r="AA14" i="33"/>
  <c r="AC11" i="35"/>
  <c r="G585" i="3"/>
  <c r="BA585" i="3"/>
  <c r="J38" i="40"/>
  <c r="G566" i="3"/>
  <c r="G558" i="3"/>
  <c r="G552" i="3"/>
  <c r="BL427" i="3"/>
  <c r="G31" i="3"/>
  <c r="BL34" i="3"/>
  <c r="G35" i="3"/>
  <c r="G48" i="3"/>
  <c r="G57" i="3"/>
  <c r="G61" i="3"/>
  <c r="BA70" i="3"/>
  <c r="G74" i="3"/>
  <c r="G79" i="3"/>
  <c r="U29" i="39"/>
  <c r="U23" i="21"/>
  <c r="S31" i="40"/>
  <c r="S42" i="33"/>
  <c r="U23" i="37"/>
  <c r="AB20" i="36"/>
  <c r="AZ373" i="3"/>
  <c r="AZ362" i="3"/>
  <c r="AZ504" i="3"/>
  <c r="AZ528" i="3"/>
  <c r="AZ536" i="3"/>
  <c r="AZ544" i="3"/>
  <c r="AZ554" i="3"/>
  <c r="G410" i="3"/>
  <c r="BL412" i="3"/>
  <c r="BA414" i="3"/>
  <c r="BA415" i="3"/>
  <c r="BA416" i="3"/>
  <c r="AZ416" i="3" s="1"/>
  <c r="G418" i="3"/>
  <c r="BL433" i="3"/>
  <c r="G456" i="3"/>
  <c r="G460" i="3"/>
  <c r="BA473" i="3"/>
  <c r="G484" i="3"/>
  <c r="G492" i="3"/>
  <c r="G318" i="3"/>
  <c r="G116" i="3"/>
  <c r="G128" i="3"/>
  <c r="G136" i="3"/>
  <c r="G144" i="3"/>
  <c r="BA149" i="3"/>
  <c r="G156" i="3"/>
  <c r="BA189" i="3"/>
  <c r="G18" i="3"/>
  <c r="G22" i="3"/>
  <c r="G26" i="3"/>
  <c r="G68" i="3"/>
  <c r="C87" i="71"/>
  <c r="C67" i="71"/>
  <c r="D67" i="71" s="1"/>
  <c r="D6" i="52"/>
  <c r="S15" i="39"/>
  <c r="AC36" i="40"/>
  <c r="W28" i="37"/>
  <c r="AC21" i="21"/>
  <c r="AC18" i="35"/>
  <c r="X34" i="71"/>
  <c r="AB35" i="71"/>
  <c r="B51" i="71"/>
  <c r="B52" i="71" s="1"/>
  <c r="S52" i="71" s="1"/>
  <c r="B79" i="71"/>
  <c r="B78" i="71" s="1"/>
  <c r="AA8" i="34"/>
  <c r="AA19" i="34"/>
  <c r="AA44" i="2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W8" i="34"/>
  <c r="K54" i="43"/>
  <c r="J54" i="43" s="1"/>
  <c r="E7" i="33"/>
  <c r="I7" i="33"/>
  <c r="G7" i="33"/>
  <c r="S36" i="33"/>
  <c r="F7" i="1"/>
  <c r="F6" i="1"/>
  <c r="G6" i="1" s="1"/>
  <c r="W44" i="33"/>
  <c r="AA44" i="33"/>
  <c r="H34" i="33"/>
  <c r="U34" i="33" s="1"/>
  <c r="J34" i="33"/>
  <c r="W34" i="33" s="1"/>
  <c r="F34" i="33"/>
  <c r="S34" i="33" s="1"/>
  <c r="W39"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C28" i="67" s="1"/>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AZ439" i="3" s="1"/>
  <c r="BA441" i="3"/>
  <c r="AZ441" i="3" s="1"/>
  <c r="BL445" i="3"/>
  <c r="BL446" i="3"/>
  <c r="BL449" i="3"/>
  <c r="BL450" i="3"/>
  <c r="BL452" i="3"/>
  <c r="G455" i="3"/>
  <c r="BL456" i="3"/>
  <c r="AZ456" i="3" s="1"/>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AZ442" i="3" s="1"/>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BA57" i="3"/>
  <c r="BL58" i="3"/>
  <c r="G60" i="3"/>
  <c r="BA60" i="3"/>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AZ193" i="3" s="1"/>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AZ54" i="3" s="1"/>
  <c r="BL57" i="3"/>
  <c r="G62" i="3"/>
  <c r="BL62" i="3"/>
  <c r="AZ62" i="3" s="1"/>
  <c r="BL63" i="3"/>
  <c r="G65" i="3"/>
  <c r="BL65" i="3"/>
  <c r="AZ65" i="3" s="1"/>
  <c r="BL66" i="3"/>
  <c r="BL67" i="3"/>
  <c r="AZ67" i="3" s="1"/>
  <c r="G69" i="3"/>
  <c r="BA72" i="3"/>
  <c r="BA73" i="3"/>
  <c r="BA79" i="3"/>
  <c r="AZ79" i="3" s="1"/>
  <c r="G82" i="3"/>
  <c r="G83" i="3"/>
  <c r="BA84" i="3"/>
  <c r="AZ84" i="3" s="1"/>
  <c r="BL88" i="3"/>
  <c r="AZ88" i="3" s="1"/>
  <c r="BL90" i="3"/>
  <c r="BA94" i="3"/>
  <c r="BL99" i="3"/>
  <c r="BA105" i="3"/>
  <c r="F40" i="68"/>
  <c r="C21" i="68"/>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AZ106" i="3" s="1"/>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9" i="3"/>
  <c r="AZ452"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40" i="3"/>
  <c r="AZ48" i="3"/>
  <c r="AZ68" i="3"/>
  <c r="G200" i="3"/>
  <c r="G207" i="3"/>
  <c r="BA23" i="3"/>
  <c r="AZ23" i="3" s="1"/>
  <c r="BA24" i="3"/>
  <c r="AZ24" i="3" s="1"/>
  <c r="BL26" i="3"/>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F65" i="67"/>
  <c r="L59" i="15"/>
  <c r="N59" i="15"/>
  <c r="M59" i="15"/>
  <c r="C27" i="15"/>
  <c r="B13" i="70"/>
  <c r="C36" i="68"/>
  <c r="D9" i="69"/>
  <c r="D9" i="68"/>
  <c r="C76" i="67"/>
  <c r="F9" i="67"/>
  <c r="F38" i="15"/>
  <c r="M26" i="67"/>
  <c r="L48" i="15"/>
  <c r="L48" i="67"/>
  <c r="M22" i="15"/>
  <c r="F13" i="15"/>
  <c r="M28" i="15"/>
  <c r="M24" i="15"/>
  <c r="M6" i="15"/>
  <c r="F16" i="67"/>
  <c r="M9" i="67"/>
  <c r="J15" i="67"/>
  <c r="D7" i="73"/>
  <c r="F37" i="15"/>
  <c r="M29" i="15"/>
  <c r="F8" i="67"/>
  <c r="F8" i="15"/>
  <c r="F38" i="67"/>
  <c r="D3" i="73"/>
  <c r="L47" i="67"/>
  <c r="M9" i="15"/>
  <c r="F36" i="15"/>
  <c r="F16" i="15"/>
  <c r="F36" i="67"/>
  <c r="F42" i="67"/>
  <c r="M22" i="67"/>
  <c r="C76" i="15"/>
  <c r="D5" i="73"/>
  <c r="M28" i="67"/>
  <c r="M23" i="67"/>
  <c r="F9" i="15"/>
  <c r="M6" i="67"/>
  <c r="M24" i="67"/>
  <c r="F42" i="15"/>
  <c r="F43" i="15"/>
  <c r="D4" i="73"/>
  <c r="F26" i="67"/>
  <c r="F40" i="67"/>
  <c r="F40" i="15"/>
  <c r="F13" i="67"/>
  <c r="M8" i="67"/>
  <c r="F7" i="15"/>
  <c r="AC42" i="33" l="1"/>
  <c r="W42" i="33"/>
  <c r="S38" i="33"/>
  <c r="Q71" i="15"/>
  <c r="F65" i="15"/>
  <c r="F68" i="15"/>
  <c r="F71" i="15"/>
  <c r="F64" i="15"/>
  <c r="F66" i="15"/>
  <c r="F51" i="15"/>
  <c r="AZ111" i="3"/>
  <c r="AZ75" i="3"/>
  <c r="AZ73" i="3"/>
  <c r="AZ60" i="3"/>
  <c r="AZ56" i="3"/>
  <c r="AZ51" i="3"/>
  <c r="AB34" i="33"/>
  <c r="AZ162" i="3"/>
  <c r="AZ55" i="3"/>
  <c r="C86" i="71"/>
  <c r="D86" i="71" s="1"/>
  <c r="D87" i="71"/>
  <c r="W38" i="40"/>
  <c r="AC38" i="40"/>
  <c r="AZ26" i="3"/>
  <c r="AZ118" i="3"/>
  <c r="AZ241" i="3"/>
  <c r="AZ249" i="3"/>
  <c r="AZ218" i="3"/>
  <c r="AZ332" i="3"/>
  <c r="AZ36" i="3"/>
  <c r="D23" i="71"/>
  <c r="C22" i="71"/>
  <c r="AZ130" i="3"/>
  <c r="U27" i="34"/>
  <c r="AZ429" i="3"/>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C16" i="15"/>
  <c r="G1" i="73"/>
  <c r="D22" i="71" l="1"/>
  <c r="C21" i="71"/>
  <c r="J65" i="43"/>
  <c r="D65" i="43"/>
  <c r="AC7" i="37"/>
  <c r="E30" i="6"/>
  <c r="E51" i="40"/>
  <c r="J69" i="43"/>
  <c r="D69" i="43"/>
  <c r="J67" i="43"/>
  <c r="D67" i="43"/>
  <c r="J66" i="43"/>
  <c r="D66" i="43"/>
  <c r="J63" i="43"/>
  <c r="D63" i="43"/>
  <c r="J61" i="43"/>
  <c r="D61" i="43"/>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D3" i="34"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67"/>
  <c r="M27" i="67"/>
  <c r="M27" i="15"/>
  <c r="F41" i="15"/>
  <c r="D21" i="71" l="1"/>
  <c r="C20" i="71"/>
  <c r="E61" i="43"/>
  <c r="B59" i="43" s="1"/>
  <c r="AY307" i="3"/>
  <c r="AY551" i="3"/>
  <c r="AY474" i="3"/>
  <c r="AY548" i="3"/>
  <c r="BC6" i="3"/>
  <c r="AY55" i="3"/>
  <c r="AY483" i="3"/>
  <c r="AY311" i="3"/>
  <c r="AY180" i="3"/>
  <c r="K6" i="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P37" i="43"/>
  <c r="M37" i="43"/>
  <c r="Q37" i="43"/>
  <c r="O37" i="43"/>
  <c r="N37" i="43"/>
  <c r="F69" i="15"/>
  <c r="S11" i="1"/>
  <c r="E11" i="70" s="1"/>
  <c r="S9" i="1"/>
  <c r="S7" i="1"/>
  <c r="E7" i="70" s="1"/>
  <c r="S10" i="1"/>
  <c r="E10" i="70" s="1"/>
  <c r="S12" i="1"/>
  <c r="D26" i="6"/>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7" i="67"/>
  <c r="F43" i="67"/>
  <c r="M29" i="67"/>
  <c r="C17" i="15"/>
  <c r="C19" i="71" l="1"/>
  <c r="T20" i="71"/>
  <c r="D20" i="71"/>
  <c r="U20" i="71" s="1"/>
  <c r="Q16" i="1"/>
  <c r="Q18" i="1" s="1"/>
  <c r="E61" i="40"/>
  <c r="D12" i="6"/>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11"/>
  <c r="O6" i="1"/>
  <c r="O16" i="1" s="1"/>
  <c r="M16" i="1"/>
  <c r="C34" i="68" s="1"/>
  <c r="E27" i="6"/>
  <c r="E6" i="3"/>
  <c r="C25" i="11"/>
  <c r="C44" i="68"/>
  <c r="D41" i="68" s="1"/>
  <c r="C23" i="11"/>
  <c r="F41" i="68"/>
  <c r="C26" i="68"/>
  <c r="D22" i="68" s="1"/>
  <c r="C44" i="69"/>
  <c r="D41" i="69" s="1"/>
  <c r="C26" i="69"/>
  <c r="D22" i="69" s="1"/>
  <c r="C24" i="11"/>
  <c r="C26" i="11"/>
  <c r="D22" i="11" s="1"/>
  <c r="C44" i="11"/>
  <c r="D41" i="11" s="1"/>
  <c r="C38" i="69"/>
  <c r="C35" i="69"/>
  <c r="E12" i="70"/>
  <c r="F34" i="11"/>
  <c r="F11" i="12"/>
  <c r="E9" i="70"/>
  <c r="AR9" i="1"/>
  <c r="AQ9" i="1"/>
  <c r="T9" i="1"/>
  <c r="AQ11" i="1"/>
  <c r="AR11" i="1"/>
  <c r="T11" i="1"/>
  <c r="AR12" i="1"/>
  <c r="T12" i="1"/>
  <c r="AQ12" i="1"/>
  <c r="AQ10" i="1"/>
  <c r="T10" i="1"/>
  <c r="AR10" i="1"/>
  <c r="AR7" i="1"/>
  <c r="AQ7" i="1"/>
  <c r="T7" i="1"/>
  <c r="C15" i="12"/>
  <c r="C12" i="12"/>
  <c r="H69" i="39"/>
  <c r="I67" i="39"/>
  <c r="G65" i="40"/>
  <c r="H63" i="40"/>
  <c r="C43" i="37"/>
  <c r="C42" i="37"/>
  <c r="I48" i="35"/>
  <c r="C48" i="33"/>
  <c r="C49" i="33"/>
  <c r="V20" i="1" s="1"/>
  <c r="W21" i="1" s="1"/>
  <c r="H58" i="21"/>
  <c r="E47" i="37"/>
  <c r="F47" i="37" s="1"/>
  <c r="E46" i="37"/>
  <c r="F46" i="37" s="1"/>
  <c r="I47" i="37"/>
  <c r="J47" i="37" s="1"/>
  <c r="E53" i="33"/>
  <c r="F53" i="33" s="1"/>
  <c r="E52" i="33"/>
  <c r="F52" i="33" s="1"/>
  <c r="C33" i="15"/>
  <c r="C14" i="15"/>
  <c r="C16" i="67"/>
  <c r="F27" i="68" l="1"/>
  <c r="F45" i="68" s="1"/>
  <c r="F28" i="12"/>
  <c r="C29" i="12" s="1"/>
  <c r="D28" i="12" s="1"/>
  <c r="F27" i="69"/>
  <c r="C29" i="69" s="1"/>
  <c r="D27" i="69" s="1"/>
  <c r="Q26" i="31"/>
  <c r="C10" i="68"/>
  <c r="C18" i="71"/>
  <c r="D19" i="71"/>
  <c r="C6" i="69"/>
  <c r="D30" i="6"/>
  <c r="A7" i="51"/>
  <c r="B7" i="72" s="1"/>
  <c r="D19" i="69"/>
  <c r="D37" i="69" s="1"/>
  <c r="C37" i="69" s="1"/>
  <c r="C33" i="69" s="1"/>
  <c r="F10" i="39"/>
  <c r="S10" i="39" s="1"/>
  <c r="D27" i="6"/>
  <c r="D31" i="6" s="1"/>
  <c r="I6" i="6" s="1"/>
  <c r="D16" i="6"/>
  <c r="J10" i="40"/>
  <c r="W10" i="40" s="1"/>
  <c r="D7" i="74"/>
  <c r="H10" i="40"/>
  <c r="AB10" i="40" s="1"/>
  <c r="F10" i="40"/>
  <c r="S10" i="40" s="1"/>
  <c r="H10" i="39"/>
  <c r="U10" i="39" s="1"/>
  <c r="C66" i="67"/>
  <c r="J18" i="67"/>
  <c r="J19" i="67"/>
  <c r="C10" i="69"/>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N16" i="1"/>
  <c r="L16" i="1"/>
  <c r="C28" i="11"/>
  <c r="C27" i="11" s="1"/>
  <c r="C22" i="1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C47" i="69" l="1"/>
  <c r="D45" i="69" s="1"/>
  <c r="C29" i="68"/>
  <c r="D27" i="68" s="1"/>
  <c r="F45" i="69"/>
  <c r="C47" i="68"/>
  <c r="D45" i="68" s="1"/>
  <c r="D18" i="71"/>
  <c r="C17" i="71"/>
  <c r="U10" i="40"/>
  <c r="AA10" i="39"/>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7" i="67"/>
  <c r="E6" i="76"/>
  <c r="C14" i="67"/>
  <c r="D17" i="71" l="1"/>
  <c r="C16" i="71"/>
  <c r="C8" i="68"/>
  <c r="C5" i="68" s="1"/>
  <c r="C18" i="12"/>
  <c r="C21" i="12" s="1"/>
  <c r="E54" i="34"/>
  <c r="F54" i="34" s="1"/>
  <c r="E53" i="34"/>
  <c r="F53" i="34" s="1"/>
  <c r="C50" i="34"/>
  <c r="C49" i="34"/>
  <c r="E53" i="86"/>
  <c r="F53" i="86" s="1"/>
  <c r="E2" i="76"/>
  <c r="C7" i="69"/>
  <c r="C5" i="69" s="1"/>
  <c r="B2" i="43"/>
  <c r="C18" i="67"/>
  <c r="C15" i="67"/>
  <c r="E6" i="70"/>
  <c r="AQ6" i="1"/>
  <c r="AR6" i="1"/>
  <c r="T6" i="1"/>
  <c r="S16" i="1"/>
  <c r="S21" i="6"/>
  <c r="H21" i="6"/>
  <c r="R21" i="6" s="1"/>
  <c r="R8" i="1" s="1"/>
  <c r="M27" i="6"/>
  <c r="I19" i="6"/>
  <c r="E8" i="70"/>
  <c r="AQ8" i="1"/>
  <c r="T8" i="1"/>
  <c r="AR8" i="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B6" i="76"/>
  <c r="M21" i="15"/>
  <c r="F35" i="15"/>
  <c r="C15" i="71" l="1"/>
  <c r="T16" i="71"/>
  <c r="D16" i="71"/>
  <c r="C22" i="12"/>
  <c r="C27" i="12" s="1"/>
  <c r="C25" i="12" s="1"/>
  <c r="C23" i="68"/>
  <c r="C20" i="68"/>
  <c r="E48" i="21"/>
  <c r="E53" i="21" s="1"/>
  <c r="F53" i="21" s="1"/>
  <c r="C19" i="67"/>
  <c r="C20" i="67" s="1"/>
  <c r="C26" i="67" s="1"/>
  <c r="B2" i="76"/>
  <c r="B3" i="76" s="1"/>
  <c r="B3" i="43"/>
  <c r="C23" i="69"/>
  <c r="C20" i="69"/>
  <c r="E2" i="70"/>
  <c r="I27" i="6"/>
  <c r="H19" i="6"/>
  <c r="S19" i="6"/>
  <c r="S27" i="6" s="1"/>
  <c r="T16" i="1"/>
  <c r="AC7" i="35"/>
  <c r="V38" i="35" s="1"/>
  <c r="I38" i="35" s="1"/>
  <c r="G43" i="35" s="1"/>
  <c r="H43" i="35" s="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G42" i="35"/>
  <c r="H42" i="35" s="1"/>
  <c r="I53" i="21"/>
  <c r="J53" i="21" s="1"/>
  <c r="K65" i="40"/>
  <c r="L63" i="40"/>
  <c r="U16" i="71" l="1"/>
  <c r="M23" i="43"/>
  <c r="E52" i="21"/>
  <c r="F52" i="21" s="1"/>
  <c r="D15" i="71"/>
  <c r="C14" i="71"/>
  <c r="C30" i="12"/>
  <c r="C28" i="12" s="1"/>
  <c r="C32" i="12" s="1"/>
  <c r="B2" i="12" s="1"/>
  <c r="B3" i="12" s="1"/>
  <c r="C28" i="68"/>
  <c r="C27" i="68" s="1"/>
  <c r="C25" i="68"/>
  <c r="C22" i="68" s="1"/>
  <c r="C28" i="69"/>
  <c r="C27" i="69" s="1"/>
  <c r="C25" i="69"/>
  <c r="C22" i="69" s="1"/>
  <c r="C23" i="67"/>
  <c r="C29" i="67" s="1"/>
  <c r="C57" i="67" s="1"/>
  <c r="C64" i="67" s="1"/>
  <c r="H27" i="6"/>
  <c r="R19" i="6"/>
  <c r="I42" i="35"/>
  <c r="J42" i="35" s="1"/>
  <c r="C41" i="11"/>
  <c r="C49" i="11" s="1"/>
  <c r="C51" i="11" s="1"/>
  <c r="C52" i="11" s="1"/>
  <c r="B2" i="11" s="1"/>
  <c r="B3" i="11" s="1"/>
  <c r="J22" i="15"/>
  <c r="C61" i="15"/>
  <c r="C59" i="15" s="1"/>
  <c r="C64" i="15"/>
  <c r="C37" i="15"/>
  <c r="C56" i="15"/>
  <c r="C65" i="15" s="1"/>
  <c r="C75" i="15"/>
  <c r="J17" i="15"/>
  <c r="C31" i="15"/>
  <c r="M69" i="39"/>
  <c r="N67" i="39"/>
  <c r="R39" i="35"/>
  <c r="E38" i="35"/>
  <c r="M63" i="40"/>
  <c r="L65" i="40"/>
  <c r="D2" i="21"/>
  <c r="D14" i="71" l="1"/>
  <c r="C13" i="71"/>
  <c r="C31" i="68"/>
  <c r="C52" i="68" s="1"/>
  <c r="C57" i="68" s="1"/>
  <c r="C56" i="68" s="1"/>
  <c r="J59" i="67"/>
  <c r="J60" i="67" s="1"/>
  <c r="Q48" i="67" s="1"/>
  <c r="C31" i="69"/>
  <c r="C52" i="69" s="1"/>
  <c r="B2" i="69" s="1"/>
  <c r="C13" i="67"/>
  <c r="Q70" i="67" s="1"/>
  <c r="C36" i="67"/>
  <c r="Q49" i="67"/>
  <c r="J14" i="67"/>
  <c r="J13" i="67" s="1"/>
  <c r="J23" i="67" s="1"/>
  <c r="R27" i="6"/>
  <c r="R6" i="1"/>
  <c r="H37" i="86"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M21" i="67"/>
  <c r="D2" i="33"/>
  <c r="F35" i="67"/>
  <c r="C12" i="71" l="1"/>
  <c r="D13" i="71"/>
  <c r="B2" i="68"/>
  <c r="B3" i="68" s="1"/>
  <c r="AB37" i="86"/>
  <c r="T49" i="86" s="1"/>
  <c r="U37" i="86"/>
  <c r="C57" i="69"/>
  <c r="C56" i="69" s="1"/>
  <c r="J22" i="67"/>
  <c r="B3" i="69"/>
  <c r="C56" i="67"/>
  <c r="C65" i="67" s="1"/>
  <c r="C75" i="67"/>
  <c r="C37" i="67"/>
  <c r="C34" i="67"/>
  <c r="F63" i="67"/>
  <c r="C62" i="67" s="1"/>
  <c r="C59" i="67" s="1"/>
  <c r="J20" i="67"/>
  <c r="J17" i="67" s="1"/>
  <c r="R16" i="1"/>
  <c r="B2" i="33"/>
  <c r="B3" i="33" s="1"/>
  <c r="C80" i="15"/>
  <c r="C79" i="15" s="1"/>
  <c r="C40" i="15"/>
  <c r="C46" i="15" s="1"/>
  <c r="H7" i="39"/>
  <c r="J7" i="39"/>
  <c r="S7" i="39"/>
  <c r="AA7" i="39"/>
  <c r="R47" i="39" s="1"/>
  <c r="O63" i="40"/>
  <c r="O65" i="40" s="1"/>
  <c r="N65" i="40"/>
  <c r="D2" i="37"/>
  <c r="D2" i="35"/>
  <c r="D2" i="36"/>
  <c r="D2" i="34"/>
  <c r="L51" i="15"/>
  <c r="D12" i="71" l="1"/>
  <c r="U12" i="71" s="1"/>
  <c r="C11" i="71"/>
  <c r="T12" i="71"/>
  <c r="C58" i="67"/>
  <c r="C67" i="67" s="1"/>
  <c r="C68" i="67" s="1"/>
  <c r="C71" i="67" s="1"/>
  <c r="G49" i="86"/>
  <c r="G53" i="86" s="1"/>
  <c r="H53" i="86" s="1"/>
  <c r="R50" i="86"/>
  <c r="J16" i="67"/>
  <c r="J25" i="67" s="1"/>
  <c r="J26" i="67" s="1"/>
  <c r="J29" i="67" s="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7" i="1"/>
  <c r="C19" i="9"/>
  <c r="AO11" i="1"/>
  <c r="AO8" i="1"/>
  <c r="AO9" i="1"/>
  <c r="D11" i="71" l="1"/>
  <c r="C10" i="71"/>
  <c r="E54" i="86"/>
  <c r="F54" i="86" s="1"/>
  <c r="G54" i="86"/>
  <c r="H54" i="86" s="1"/>
  <c r="C49" i="86"/>
  <c r="C50" i="86"/>
  <c r="C21" i="9"/>
  <c r="C102"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9" i="71" l="1"/>
  <c r="D10" i="71"/>
  <c r="C6" i="67"/>
  <c r="B2" i="86"/>
  <c r="B3" i="86"/>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10" i="67"/>
  <c r="C5" i="67" s="1"/>
  <c r="C38" i="67" s="1"/>
  <c r="C33" i="67"/>
  <c r="C32" i="67"/>
  <c r="C42" i="40"/>
  <c r="C43" i="40"/>
  <c r="E47" i="40"/>
  <c r="F47" i="40" s="1"/>
  <c r="E46" i="40"/>
  <c r="F46" i="40" s="1"/>
  <c r="I47" i="40"/>
  <c r="J47" i="40" s="1"/>
  <c r="C7" i="71" l="1"/>
  <c r="D8" i="71"/>
  <c r="C31" i="67"/>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Q69" i="67"/>
  <c r="Q68" i="67" s="1"/>
  <c r="C40" i="67"/>
  <c r="Q47" i="67" s="1"/>
  <c r="Q53" i="67" s="1"/>
  <c r="L51" i="67"/>
  <c r="D6" i="71" l="1"/>
  <c r="C5" i="71"/>
  <c r="D5" i="71" s="1"/>
  <c r="M24" i="43" s="1"/>
  <c r="L57" i="67"/>
  <c r="L60" i="67" s="1"/>
  <c r="Q67" i="67"/>
  <c r="C45" i="67"/>
  <c r="C46" i="67" s="1"/>
  <c r="C83" i="67"/>
  <c r="C82" i="67" s="1"/>
  <c r="Q65" i="67"/>
  <c r="Q56" i="67"/>
  <c r="C43" i="67"/>
  <c r="L46" i="67" l="1"/>
  <c r="D2" i="67" s="1"/>
  <c r="B2" i="67" s="1"/>
  <c r="Q57" i="67"/>
  <c r="Q62" i="67" s="1"/>
  <c r="Q66" i="67"/>
  <c r="Q75" i="67" s="1"/>
  <c r="D19" i="9"/>
  <c r="AO6" i="1"/>
  <c r="D22" i="9" l="1"/>
  <c r="D21" i="9"/>
  <c r="G19" i="9"/>
  <c r="D102" i="9"/>
  <c r="B6" i="70"/>
  <c r="B2" i="70" s="1"/>
  <c r="B3" i="70" s="1"/>
  <c r="B3" i="67"/>
  <c r="D35" i="9"/>
  <c r="D20" i="9"/>
  <c r="D34" i="9"/>
  <c r="G21" i="9" l="1"/>
  <c r="G20" i="9"/>
  <c r="D103" i="9"/>
  <c r="R24" i="31" l="1"/>
  <c r="C32" i="9"/>
  <c r="C35" i="9" s="1"/>
  <c r="G118" i="9" s="1"/>
  <c r="E14" i="74"/>
  <c r="R27" i="31" l="1"/>
  <c r="S27" i="31" s="1"/>
  <c r="R25" i="31"/>
  <c r="S25" i="31" s="1"/>
  <c r="S24" i="31"/>
  <c r="R26" i="31"/>
  <c r="S26" i="31" s="1"/>
  <c r="I118" i="9"/>
  <c r="H102" i="9" s="1"/>
  <c r="D7" i="53" s="1"/>
  <c r="B21" i="72" s="1"/>
  <c r="C34" i="9"/>
  <c r="F118" i="9"/>
  <c r="G4" i="52"/>
  <c r="B52" i="72" s="1"/>
  <c r="S22" i="31" l="1"/>
  <c r="I4" i="52"/>
  <c r="E118" i="9"/>
  <c r="E4" i="52" s="1"/>
  <c r="B48" i="72" s="1"/>
  <c r="C105" i="9"/>
  <c r="H118" i="9"/>
  <c r="H119" i="9" s="1"/>
  <c r="H5" i="52" s="1"/>
  <c r="F4" i="52"/>
  <c r="B51" i="72" s="1"/>
  <c r="F119" i="9"/>
  <c r="F5" i="52" s="1"/>
  <c r="B53" i="72" s="1"/>
  <c r="B20" i="31" l="1"/>
  <c r="B21" i="31" s="1"/>
  <c r="D14" i="74"/>
  <c r="R22" i="31"/>
  <c r="D118" i="9"/>
  <c r="D4" i="52" s="1"/>
  <c r="B47" i="72" s="1"/>
  <c r="C104" i="9"/>
  <c r="H101" i="9"/>
  <c r="M48" i="9" s="1"/>
  <c r="H4" i="52"/>
  <c r="G14" i="74" l="1"/>
  <c r="B6" i="74" s="1"/>
  <c r="D6" i="74" s="1"/>
  <c r="B5" i="74"/>
  <c r="F14" i="74"/>
  <c r="H107" i="9"/>
  <c r="H108" i="9" s="1"/>
  <c r="C6" i="74" s="1"/>
  <c r="D119" i="9"/>
  <c r="D5" i="52" s="1"/>
  <c r="B49" i="72" s="1"/>
  <c r="D5" i="53"/>
  <c r="D6" i="53" s="1"/>
  <c r="B22" i="72" s="1"/>
  <c r="D45" i="9"/>
  <c r="C72" i="9" s="1"/>
  <c r="D5" i="74" l="1"/>
  <c r="C5" i="74"/>
  <c r="D122" i="9"/>
  <c r="D8" i="52" s="1"/>
  <c r="D15" i="53"/>
  <c r="B31" i="72" s="1"/>
  <c r="C78" i="9"/>
  <c r="C73" i="9" s="1"/>
  <c r="C79" i="9" s="1"/>
  <c r="C80" i="9" s="1"/>
  <c r="E80" i="9" s="1"/>
  <c r="E81" i="9" s="1"/>
  <c r="D13" i="53"/>
  <c r="D14" i="53" s="1"/>
  <c r="B32" i="72" s="1"/>
  <c r="M49" i="9"/>
  <c r="L64" i="9" s="1"/>
  <c r="M64" i="9" s="1"/>
  <c r="C85" i="9"/>
  <c r="D52" i="9"/>
  <c r="D55" i="9"/>
  <c r="M53" i="9" s="1"/>
  <c r="B20" i="72"/>
  <c r="C93" i="9"/>
  <c r="C86" i="9" s="1"/>
  <c r="C64" i="9"/>
  <c r="C63" i="9" s="1"/>
  <c r="C67" i="9" s="1"/>
  <c r="C68" i="9" s="1"/>
  <c r="D54" i="9" s="1"/>
  <c r="D53" i="9"/>
  <c r="D123" i="9"/>
  <c r="D9" i="52" s="1"/>
  <c r="C95" i="9" l="1"/>
  <c r="D59" i="9"/>
  <c r="M55" i="9" s="1"/>
  <c r="L68" i="9"/>
  <c r="M68" i="9" s="1"/>
  <c r="B30" i="72"/>
  <c r="L63" i="9"/>
  <c r="M63" i="9" s="1"/>
  <c r="L66" i="9"/>
  <c r="M66" i="9" s="1"/>
  <c r="L67" i="9"/>
  <c r="M67" i="9" s="1"/>
  <c r="L65" i="9"/>
  <c r="M65" i="9" s="1"/>
  <c r="C96" i="9"/>
  <c r="E96" i="9" s="1"/>
  <c r="E97" i="9" s="1"/>
  <c r="C81" i="9"/>
  <c r="M69" i="9" l="1"/>
  <c r="N69" i="9" s="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<sst xmlns="http://schemas.openxmlformats.org/spreadsheetml/2006/main" count="8793" uniqueCount="3568">
  <si>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</si>
  <si>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</si>
  <si>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</si>
  <si>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</si>
  <si>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</si>
  <si>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</si>
  <si>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</si>
  <si>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</si>
  <si>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</si>
  <si>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</si>
  <si>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</si>
  <si>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</si>
  <si>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</si>
  <si>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</si>
  <si>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</si>
  <si>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</si>
  <si>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</si>
  <si>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</si>
  <si>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</si>
  <si>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</si>
  <si>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</si>
  <si>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</si>
  <si>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</si>
  <si>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</si>
  <si>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</si>
  <si>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</si>
  <si>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</si>
  <si>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</si>
  <si>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</si>
  <si>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</si>
  <si>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</si>
  <si>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</si>
  <si>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</si>
  <si>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</si>
  <si>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</si>
  <si>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</si>
  <si>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</si>
  <si>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</si>
  <si>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</si>
  <si>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</si>
  <si>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</si>
  <si>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</si>
  <si>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</si>
  <si>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</si>
  <si>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</si>
  <si>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</si>
  <si>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</si>
  <si>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</si>
  <si>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</si>
  <si>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</si>
  <si>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</si>
  <si>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</si>
  <si>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</si>
  <si>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</si>
  <si>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</si>
  <si>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</si>
  <si>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</si>
  <si>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</si>
  <si>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</si>
  <si>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</si>
  <si>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</si>
  <si>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</si>
  <si>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</si>
  <si>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</si>
  <si>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</si>
  <si>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</si>
  <si>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</si>
  <si>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</si>
  <si>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</si>
  <si>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</si>
  <si>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</si>
  <si>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</si>
  <si>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</si>
  <si>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</si>
  <si>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</si>
  <si>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</si>
  <si>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</si>
  <si>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</si>
  <si>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</si>
  <si>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</si>
  <si>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</si>
  <si>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</si>
  <si>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</si>
  <si>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</si>
  <si>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</si>
  <si>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</si>
  <si>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</si>
  <si>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</si>
  <si>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</si>
  <si>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</si>
  <si>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</si>
  <si>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</si>
  <si>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</si>
  <si>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</si>
  <si>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</si>
  <si>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</si>
  <si>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</si>
  <si>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</si>
  <si>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</si>
  <si>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</si>
  <si>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</si>
  <si>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</si>
  <si>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</si>
  <si>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</si>
  <si>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</si>
  <si>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</si>
  <si>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</si>
  <si>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</si>
  <si>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</si>
  <si>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</si>
  <si>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</si>
  <si>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</si>
  <si>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</si>
  <si>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</si>
  <si>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</si>
  <si>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</si>
  <si>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</si>
  <si>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</si>
  <si>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</si>
  <si>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</si>
  <si>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</si>
  <si>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</si>
  <si>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</si>
  <si>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</si>
  <si>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</si>
  <si>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</si>
  <si>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</si>
  <si>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</si>
  <si>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</si>
  <si>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</si>
  <si>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</si>
  <si>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</si>
  <si>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</si>
  <si>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</si>
  <si>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</si>
  <si>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</si>
  <si>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</si>
  <si>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</si>
  <si>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</si>
  <si>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</si>
  <si>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</si>
  <si>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</si>
  <si>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</si>
  <si>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</si>
  <si>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</si>
  <si>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</si>
  <si>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</si>
  <si>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</si>
  <si>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</si>
  <si>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</si>
  <si>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</si>
  <si>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</si>
  <si>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</si>
  <si>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</si>
  <si>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</si>
  <si>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</si>
  <si>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</si>
  <si>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</si>
  <si>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</si>
  <si>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</si>
  <si>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</si>
  <si>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</si>
  <si>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</si>
  <si>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</si>
  <si>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</si>
  <si>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</si>
  <si>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</si>
  <si>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</si>
  <si>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</si>
  <si>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</si>
  <si>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</si>
  <si>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</si>
  <si>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</si>
  <si>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</si>
  <si>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</si>
  <si>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</si>
  <si>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</si>
  <si>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</si>
  <si>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</si>
  <si>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</si>
  <si>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</si>
  <si>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</si>
  <si>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</si>
  <si>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</si>
  <si>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</si>
  <si>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</si>
  <si>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</si>
  <si>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</si>
  <si>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</si>
  <si>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</si>
  <si>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</si>
  <si>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</si>
  <si>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</si>
  <si>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</si>
  <si>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</si>
  <si>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</si>
  <si>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</si>
  <si>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</si>
  <si>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</si>
  <si>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</si>
  <si>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</si>
  <si>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</si>
  <si>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</si>
  <si>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</si>
  <si>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</si>
  <si>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</si>
  <si>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</si>
  <si>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</si>
  <si>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</si>
  <si>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</si>
  <si>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</si>
  <si>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</si>
  <si>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</si>
  <si>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</si>
  <si>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</si>
  <si>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</si>
  <si>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</si>
  <si>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</si>
  <si>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</si>
  <si>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</si>
  <si>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</si>
  <si>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</si>
  <si>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</si>
  <si>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</si>
  <si>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</si>
  <si>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</si>
  <si>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</si>
  <si>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</si>
  <si>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</si>
  <si>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</si>
  <si>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</si>
  <si>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</si>
  <si>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</si>
  <si>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</si>
  <si>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</si>
  <si>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</si>
  <si>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</si>
  <si>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</si>
  <si>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</si>
  <si>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</si>
  <si>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</si>
  <si>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</si>
  <si>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</si>
  <si>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</si>
  <si>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</si>
  <si>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</si>
  <si>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</si>
  <si>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</si>
  <si>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</si>
  <si>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</si>
  <si>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</si>
  <si>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</si>
  <si>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</si>
  <si>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</si>
  <si>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</si>
  <si>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</si>
  <si>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</si>
  <si>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</si>
  <si>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</si>
  <si>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</si>
  <si>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</si>
  <si>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</si>
  <si>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</si>
  <si>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</si>
  <si>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</si>
  <si>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</si>
  <si>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</si>
  <si>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</si>
  <si>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</si>
  <si>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</si>
  <si>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</si>
  <si>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</si>
  <si>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</si>
  <si>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</si>
  <si>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</si>
  <si>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</si>
  <si>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</si>
  <si>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</si>
  <si>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</si>
  <si>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</si>
  <si>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</si>
  <si>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</si>
  <si>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</si>
  <si>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</si>
  <si>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</si>
  <si>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</si>
  <si>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</si>
  <si>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</si>
  <si>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</si>
  <si>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</si>
  <si>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</si>
  <si>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</si>
  <si>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</si>
  <si>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</si>
  <si>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</si>
  <si>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</si>
  <si>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</si>
  <si>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</si>
  <si>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</si>
  <si>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</si>
  <si>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</si>
  <si>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</si>
  <si>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</si>
  <si>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</si>
  <si>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</si>
  <si>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</si>
  <si>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</si>
  <si>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</si>
  <si>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</si>
  <si>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</si>
  <si>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</si>
  <si>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</si>
  <si>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</si>
  <si>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</si>
  <si>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</si>
  <si>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</si>
  <si>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</si>
  <si>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</si>
  <si>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</si>
  <si>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</si>
  <si>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</si>
  <si>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</si>
  <si>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</si>
  <si>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</si>
  <si>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</si>
  <si>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</si>
  <si>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</si>
  <si>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</si>
  <si>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</si>
  <si>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</si>
  <si>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</si>
  <si>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</si>
  <si>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</si>
  <si>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</si>
  <si>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</si>
  <si>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</si>
  <si>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</si>
  <si>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</si>
  <si>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</si>
  <si>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</si>
  <si>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</si>
  <si>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</si>
  <si>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</si>
  <si>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</si>
  <si>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</si>
  <si>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</si>
  <si>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</si>
  <si>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</si>
  <si>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</si>
  <si>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</si>
  <si>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</si>
  <si>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</si>
  <si>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</si>
  <si>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</si>
  <si>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</si>
  <si>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</si>
  <si>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</si>
  <si>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</si>
  <si>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</si>
  <si>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</si>
  <si>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</si>
  <si>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</si>
  <si>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</si>
  <si>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</si>
  <si>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</si>
  <si>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</si>
  <si>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</si>
  <si>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</si>
  <si>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</si>
  <si>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</si>
  <si>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</si>
  <si>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</si>
  <si>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</si>
  <si>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</si>
  <si>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</si>
  <si>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</si>
  <si>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</si>
  <si>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</si>
  <si>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</si>
  <si>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</si>
  <si>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</si>
  <si>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</si>
  <si>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</si>
  <si>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</si>
  <si>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</si>
  <si>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</si>
  <si>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</si>
  <si>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</si>
  <si>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</si>
  <si>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</si>
  <si>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</si>
  <si>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</si>
  <si>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</si>
  <si>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</si>
  <si>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</si>
  <si>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</si>
  <si>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</si>
  <si>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</si>
  <si>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</si>
  <si>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</si>
  <si>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</si>
  <si>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</si>
  <si>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</si>
  <si>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</si>
  <si>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</si>
  <si>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</si>
  <si>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</si>
  <si>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</si>
  <si>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</si>
  <si>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</si>
  <si>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</si>
  <si>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</si>
  <si>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</si>
  <si>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</si>
  <si>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</si>
  <si>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</si>
  <si>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</si>
  <si>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</si>
  <si>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</si>
  <si>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</si>
  <si>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</si>
  <si>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</si>
  <si>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</si>
  <si>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</si>
  <si>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</si>
  <si>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</si>
  <si>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</si>
  <si>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</si>
  <si>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</si>
  <si>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</si>
  <si>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</si>
  <si>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</si>
  <si>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</si>
  <si>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</si>
  <si>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</si>
  <si>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</si>
  <si>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</si>
  <si>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</si>
  <si>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</si>
  <si>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</si>
  <si>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</si>
  <si>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</si>
  <si>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</si>
  <si>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</si>
  <si>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</si>
  <si>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</si>
  <si>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</si>
  <si>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</si>
  <si>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</si>
  <si>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</si>
  <si>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</si>
  <si>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</si>
  <si>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</si>
  <si>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</si>
  <si>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</si>
  <si>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</si>
  <si>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</si>
  <si>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</si>
  <si>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</si>
  <si>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</si>
  <si>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</si>
  <si>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</si>
  <si>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</si>
  <si>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</si>
  <si>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</si>
  <si>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</si>
  <si>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</si>
  <si>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</si>
  <si>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</si>
  <si>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</si>
  <si>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</si>
  <si>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</si>
  <si>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</si>
  <si>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</si>
  <si>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</si>
  <si>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</si>
  <si>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</si>
  <si>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</si>
  <si>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</si>
  <si>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</si>
  <si>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</si>
  <si>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</si>
  <si>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</si>
  <si>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</si>
  <si>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</si>
  <si>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</si>
  <si>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</si>
  <si>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</si>
  <si>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</si>
  <si>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</si>
  <si>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</si>
  <si>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</si>
  <si>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</si>
  <si>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</si>
  <si>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</si>
  <si>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</si>
  <si>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</si>
  <si>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</si>
  <si>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</si>
  <si>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</si>
  <si>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</si>
  <si>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</si>
  <si>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</si>
  <si>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</si>
  <si>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</si>
  <si>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</si>
  <si>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</si>
  <si>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</si>
  <si>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</si>
  <si>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</si>
  <si>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</si>
  <si>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</si>
  <si>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</si>
  <si>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</si>
  <si>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</si>
  <si>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</si>
  <si>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</si>
  <si>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</si>
  <si>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</si>
  <si>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</si>
  <si>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</si>
  <si>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</si>
  <si>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</si>
  <si>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</si>
  <si>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</si>
  <si>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</si>
  <si>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</si>
  <si>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</si>
  <si>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</si>
  <si>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</si>
  <si>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</si>
  <si>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</si>
  <si>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</si>
  <si>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</si>
  <si>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</si>
  <si>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</si>
  <si>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</si>
  <si>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</si>
  <si>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</si>
  <si>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</si>
  <si>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</si>
  <si>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</si>
  <si>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</si>
  <si>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</si>
  <si>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</si>
  <si>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</si>
  <si>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</si>
  <si>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</si>
  <si>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</si>
  <si>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</si>
  <si>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</si>
  <si>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</si>
  <si>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</si>
  <si>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</si>
  <si>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</si>
  <si>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</si>
  <si>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</si>
  <si>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</si>
  <si>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</si>
  <si>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</si>
  <si>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</si>
  <si>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</si>
  <si>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</si>
  <si>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</si>
  <si>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</si>
  <si>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</si>
  <si>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</si>
  <si>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</si>
  <si>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</si>
  <si>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</si>
  <si>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</si>
  <si>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</si>
  <si>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</si>
  <si>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</si>
  <si>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</si>
  <si>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</si>
  <si>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</si>
  <si>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</si>
  <si>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</si>
  <si>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</si>
  <si>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</si>
  <si>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</si>
  <si>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</si>
  <si>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</si>
  <si>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</si>
  <si>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</si>
  <si>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</si>
  <si>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</si>
  <si>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</si>
  <si>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</si>
  <si>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</si>
  <si>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</si>
  <si>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</si>
  <si>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</si>
  <si>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</si>
  <si>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</si>
  <si>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</si>
  <si>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</si>
  <si>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</si>
  <si>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</si>
  <si>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</si>
  <si>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</si>
  <si>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</si>
  <si>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</si>
  <si>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</si>
  <si>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</si>
  <si>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</si>
  <si>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</si>
  <si>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</si>
  <si>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</si>
  <si>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</si>
  <si>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</si>
  <si>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</si>
  <si>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</si>
  <si>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</si>
  <si>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</si>
  <si>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</si>
  <si>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</si>
  <si>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</si>
  <si>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</si>
  <si>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</si>
  <si>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</si>
  <si>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</si>
  <si>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</si>
  <si>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</si>
  <si>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</si>
  <si>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</si>
  <si>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</si>
  <si>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</si>
  <si>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</si>
  <si>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</si>
  <si>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</si>
  <si>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</si>
  <si>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</si>
  <si>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</si>
  <si>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</si>
  <si>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</si>
  <si>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</si>
  <si>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</si>
  <si>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</si>
  <si>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</si>
  <si>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</si>
  <si>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</si>
  <si>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</si>
  <si>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</si>
  <si>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</si>
  <si>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</si>
  <si>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</si>
  <si>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</si>
  <si>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</si>
  <si>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</si>
  <si>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</si>
  <si>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</si>
  <si>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</si>
  <si>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</si>
  <si>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</si>
  <si>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</si>
  <si>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</si>
  <si>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</si>
  <si>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</si>
  <si>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</si>
  <si>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</si>
  <si>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</si>
  <si>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</si>
  <si>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</si>
  <si>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</si>
  <si>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</si>
  <si>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</si>
  <si>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</si>
  <si>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</si>
  <si>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</si>
  <si>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</si>
  <si>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</si>
  <si>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</si>
  <si>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</si>
  <si>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</si>
  <si>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</si>
  <si>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</si>
  <si>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</si>
  <si>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</si>
  <si>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</si>
  <si>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</si>
  <si>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</si>
  <si>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</si>
  <si>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</si>
  <si>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</si>
  <si>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</si>
  <si>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</si>
  <si>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</si>
  <si>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</si>
  <si>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</si>
  <si>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</si>
  <si>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</si>
  <si>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</si>
  <si>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</si>
  <si>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</si>
  <si>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</si>
  <si>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</si>
  <si>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</si>
  <si>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</si>
  <si>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</si>
  <si>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</si>
  <si>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</si>
  <si>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</si>
  <si>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</si>
  <si>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</si>
  <si>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</si>
  <si>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</si>
  <si>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</si>
  <si>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</si>
  <si>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</si>
  <si>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</si>
  <si>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</si>
  <si>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</si>
  <si>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</si>
  <si>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</si>
  <si>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</si>
  <si>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</si>
  <si>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</si>
  <si>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</si>
  <si>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</si>
  <si>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</si>
  <si>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</si>
  <si>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</si>
  <si>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</si>
  <si>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</si>
  <si>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</si>
  <si>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</si>
  <si>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</si>
  <si>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</si>
  <si>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</si>
  <si>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</si>
  <si>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</si>
  <si>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</si>
  <si>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</si>
  <si>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</si>
  <si>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</si>
  <si>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</si>
  <si>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</si>
  <si>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</si>
  <si>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</si>
  <si>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</si>
  <si>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</si>
  <si>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</si>
  <si>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</si>
  <si>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</si>
  <si>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</si>
  <si>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</si>
  <si>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</si>
  <si>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</si>
  <si>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</si>
  <si>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</si>
  <si>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</si>
  <si>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</si>
  <si>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</si>
  <si>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</si>
  <si>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</si>
  <si>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</si>
  <si>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</si>
  <si>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</si>
  <si>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</si>
  <si>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</si>
  <si>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</si>
  <si>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</si>
  <si>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</si>
  <si>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</si>
  <si>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</si>
  <si>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</si>
  <si>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</si>
  <si>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</si>
  <si>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</si>
  <si>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</si>
  <si>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</si>
  <si>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</si>
  <si>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</si>
  <si>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</si>
  <si>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</si>
  <si>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</si>
  <si>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</si>
  <si>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</si>
  <si>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</si>
  <si>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</si>
  <si>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</si>
  <si>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</si>
  <si>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</si>
  <si>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</si>
  <si>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</si>
  <si>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</si>
  <si>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</si>
  <si>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</si>
  <si>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</si>
  <si>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</si>
  <si>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</si>
  <si>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</si>
  <si>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</si>
  <si>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</si>
  <si>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</si>
  <si>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</si>
  <si>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</si>
  <si>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</si>
  <si>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</si>
  <si>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</si>
  <si>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</si>
  <si>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</si>
  <si>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</si>
  <si>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</si>
  <si>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</si>
  <si>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</si>
  <si>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</si>
  <si>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</si>
  <si>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</si>
  <si>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</si>
  <si>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</si>
  <si>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</si>
  <si>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</si>
  <si>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</si>
  <si>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</si>
  <si>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</si>
  <si>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</si>
  <si>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</si>
  <si>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</si>
  <si>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</si>
  <si>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</si>
  <si>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</si>
  <si>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</si>
  <si>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</si>
  <si>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</si>
  <si>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</si>
  <si>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</si>
  <si>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</si>
  <si>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</si>
  <si>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</si>
  <si>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</si>
  <si>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</si>
  <si>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</si>
  <si>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</si>
  <si>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</si>
  <si>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</si>
  <si>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</si>
  <si>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</si>
  <si>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</si>
  <si>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</si>
  <si>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</si>
  <si>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</si>
  <si>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</si>
  <si>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</si>
  <si>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</si>
  <si>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</si>
  <si>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</si>
  <si>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</si>
  <si>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</si>
  <si>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</si>
  <si>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</si>
  <si>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</si>
  <si>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</si>
  <si>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</si>
  <si>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</si>
  <si>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</si>
  <si>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</si>
  <si>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</si>
  <si>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</si>
  <si>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</si>
  <si>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</si>
  <si>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</si>
  <si>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</si>
  <si>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</si>
  <si>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</si>
  <si>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</si>
  <si>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</si>
  <si>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</si>
  <si>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</si>
  <si>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</si>
  <si>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</si>
  <si>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</si>
  <si>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</si>
  <si>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</si>
  <si>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</si>
  <si>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</si>
  <si>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</si>
  <si>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</si>
  <si>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</si>
  <si>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</si>
  <si>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</si>
  <si>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</si>
  <si>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</si>
  <si>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</si>
  <si>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</si>
  <si>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</si>
  <si>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</si>
  <si>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</si>
  <si>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</si>
  <si>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</si>
  <si>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</si>
  <si>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</si>
  <si>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</si>
  <si>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</si>
  <si>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</si>
  <si>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</si>
  <si>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</si>
  <si>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</si>
  <si>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</si>
  <si>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</si>
  <si>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</si>
  <si>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</si>
  <si>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</si>
  <si>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</si>
  <si>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</si>
  <si>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</si>
  <si>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</si>
  <si>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</si>
  <si>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</si>
  <si>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</si>
  <si>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</si>
  <si>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</si>
  <si>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</si>
  <si>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</si>
  <si>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</si>
  <si>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</si>
  <si>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</si>
  <si>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</si>
  <si>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</si>
  <si>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</si>
  <si>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</si>
  <si>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</si>
  <si>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</si>
  <si>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</si>
  <si>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</si>
  <si>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</si>
  <si>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</si>
  <si>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</si>
  <si>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</si>
  <si>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</si>
  <si>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</si>
  <si>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</si>
  <si>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</si>
  <si>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</si>
  <si>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</si>
  <si>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</si>
  <si>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</si>
  <si>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</si>
  <si>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</si>
  <si>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</si>
  <si>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</si>
  <si>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</si>
  <si>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</si>
  <si>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</si>
  <si>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</si>
  <si>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</si>
  <si>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</si>
  <si>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</si>
  <si>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</si>
  <si>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</si>
  <si>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</si>
  <si>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</si>
  <si>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</si>
  <si>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</si>
  <si>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</si>
  <si>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</si>
  <si>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</si>
  <si>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</si>
  <si>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</si>
  <si>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</si>
  <si>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</si>
  <si>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</si>
  <si>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</si>
  <si>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</si>
  <si>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</si>
  <si>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</si>
  <si>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</si>
  <si>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</si>
  <si>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</si>
  <si>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</si>
  <si>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</si>
  <si>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</si>
  <si>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</si>
  <si>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</si>
  <si>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</si>
  <si>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</si>
  <si>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</si>
  <si>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</si>
  <si>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</si>
  <si>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</si>
  <si>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</si>
  <si>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</si>
  <si>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</si>
  <si>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</si>
  <si>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</si>
  <si>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</si>
  <si>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</si>
  <si>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</si>
  <si>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</si>
  <si>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</si>
  <si>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</si>
  <si>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</si>
  <si>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</si>
  <si>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</si>
  <si>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</si>
  <si>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</si>
  <si>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</si>
  <si>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</si>
  <si>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</si>
  <si>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</si>
  <si>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</si>
  <si>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</si>
  <si>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</si>
  <si>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</si>
  <si>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</si>
  <si>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</si>
  <si>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</si>
  <si>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</si>
  <si>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</si>
  <si>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</si>
  <si>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</si>
  <si>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</si>
  <si>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</si>
  <si>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</si>
  <si>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</si>
  <si>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</si>
  <si>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</si>
  <si>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</si>
  <si>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</si>
  <si>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</si>
  <si>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</si>
  <si>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</si>
  <si>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</si>
  <si>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</si>
  <si>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</si>
  <si>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</si>
  <si>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</si>
  <si>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</si>
  <si>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</si>
  <si>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</si>
  <si>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</si>
  <si>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</si>
  <si>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</si>
  <si>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</si>
  <si>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</si>
  <si>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</si>
  <si>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</si>
  <si>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</si>
  <si>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</si>
  <si>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</si>
  <si>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</si>
  <si>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</si>
  <si>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</si>
  <si>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</si>
  <si>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</si>
  <si>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</si>
  <si>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</si>
  <si>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</si>
  <si>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</si>
  <si>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</si>
  <si>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</si>
  <si>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</si>
  <si>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</si>
  <si>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</si>
  <si>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</si>
  <si>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</si>
  <si>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</si>
  <si>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</si>
  <si>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</si>
  <si>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</si>
  <si>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</si>
  <si>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</si>
  <si>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</si>
  <si>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</si>
  <si>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</si>
  <si>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</si>
  <si>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</si>
  <si>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</si>
  <si>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</si>
  <si>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</si>
  <si>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</si>
  <si>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</si>
  <si>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</si>
  <si>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</si>
  <si>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</si>
  <si>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</si>
  <si>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</si>
  <si>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</si>
  <si>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</si>
  <si>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</si>
  <si>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</si>
  <si>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</si>
  <si>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</si>
  <si>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</si>
  <si>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</si>
  <si>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</si>
  <si>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</si>
  <si>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</si>
  <si>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</si>
  <si>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</si>
  <si>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</si>
  <si>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</si>
  <si>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</si>
  <si>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</si>
  <si>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</si>
  <si>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</si>
  <si>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</si>
  <si>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</si>
  <si>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</si>
  <si>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</si>
  <si>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</si>
  <si>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</si>
  <si>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</si>
  <si>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</si>
  <si>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</si>
  <si>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</si>
  <si>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</si>
  <si>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</si>
  <si>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</si>
  <si>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</si>
  <si>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</si>
  <si>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</si>
  <si>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</si>
  <si>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</si>
  <si>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</si>
  <si>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</si>
  <si>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</si>
  <si>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</si>
  <si>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</si>
  <si>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</si>
  <si>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</si>
  <si>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</si>
  <si>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</si>
  <si>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</si>
  <si>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</si>
  <si>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</si>
  <si>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</si>
  <si>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</si>
  <si>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</si>
  <si>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</si>
  <si>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</si>
  <si>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</si>
  <si>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</si>
  <si>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</si>
  <si>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</si>
  <si>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</si>
  <si>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</si>
  <si>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</si>
  <si>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</si>
  <si>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</si>
  <si>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</si>
  <si>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</si>
  <si>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</si>
  <si>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</si>
  <si>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</si>
  <si>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</si>
  <si>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</si>
  <si>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</si>
  <si>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</si>
  <si>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</si>
  <si>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</si>
  <si>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</si>
  <si>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</si>
  <si>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</si>
  <si>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</si>
  <si>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</si>
  <si>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</si>
  <si>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</si>
  <si>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</si>
  <si>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</si>
  <si>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</si>
  <si>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</si>
  <si>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</si>
  <si>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</si>
  <si>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</si>
  <si>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</si>
  <si>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</si>
  <si>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</si>
  <si>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</si>
  <si>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</si>
  <si>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</si>
  <si>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</si>
  <si>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</si>
  <si>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</si>
  <si>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</si>
  <si>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</si>
  <si>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</si>
  <si>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</si>
  <si>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</si>
  <si>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</si>
  <si>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</si>
  <si>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</si>
  <si>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</si>
  <si>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</si>
  <si>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</si>
  <si>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</si>
  <si>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</si>
  <si>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</si>
  <si>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</si>
  <si>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</si>
  <si>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</si>
  <si>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</si>
  <si>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</si>
  <si>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</si>
  <si>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</si>
  <si>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</si>
  <si>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</si>
  <si>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</si>
  <si>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</si>
  <si>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</si>
  <si>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</si>
  <si>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</si>
  <si>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</si>
  <si>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</si>
  <si>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</si>
  <si>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</si>
  <si>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</si>
  <si>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</si>
  <si>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</si>
  <si>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</si>
  <si>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</si>
  <si>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</si>
  <si>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</si>
  <si>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</si>
  <si>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</si>
  <si>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</si>
  <si>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</si>
  <si>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</si>
  <si>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</si>
  <si>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</si>
  <si>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</si>
  <si>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</si>
  <si>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</si>
  <si>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</si>
  <si>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</si>
  <si>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</si>
  <si>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</si>
  <si>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</si>
  <si>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</si>
  <si>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</si>
  <si>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</si>
  <si>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</si>
  <si>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</si>
  <si>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</si>
  <si>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</si>
  <si>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</si>
  <si>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</si>
  <si>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</si>
  <si>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</si>
  <si>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</si>
  <si>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</si>
  <si>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</si>
  <si>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</si>
  <si>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</si>
  <si>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</si>
  <si>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</si>
  <si>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</si>
  <si>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</si>
  <si>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</si>
  <si>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</si>
  <si>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</si>
  <si>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</si>
  <si>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</si>
  <si>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</si>
  <si>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</si>
  <si>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</si>
  <si>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</si>
  <si>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</si>
  <si>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</si>
  <si>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</si>
  <si>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</si>
  <si>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</si>
  <si>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</si>
  <si>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</si>
  <si>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</si>
  <si>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</si>
  <si>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</si>
  <si>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</si>
  <si>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</si>
  <si>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</si>
  <si>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</si>
  <si>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</si>
  <si>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</si>
  <si>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</si>
  <si>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</si>
  <si>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</si>
  <si>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</si>
  <si>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</si>
  <si>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</si>
  <si>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</si>
  <si>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</si>
  <si>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</si>
  <si>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</si>
  <si>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</si>
  <si>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</si>
  <si>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</si>
  <si>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</si>
  <si>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</si>
  <si>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</si>
  <si>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</si>
  <si>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</si>
  <si>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</si>
  <si>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</si>
  <si>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</si>
  <si>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</si>
  <si>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</si>
  <si>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</si>
  <si>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</si>
  <si>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</si>
  <si>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</si>
  <si>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</si>
  <si>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</si>
  <si>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</si>
  <si>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</si>
  <si>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</si>
  <si>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</si>
  <si>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</si>
  <si>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</si>
  <si>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</si>
  <si>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</si>
  <si>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</si>
  <si>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</si>
  <si>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</si>
  <si>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</si>
  <si>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</si>
  <si>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</si>
  <si>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</si>
  <si>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</si>
  <si>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</si>
  <si>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</si>
  <si>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</si>
  <si>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</si>
  <si>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</si>
  <si>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</si>
  <si>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</si>
  <si>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</si>
  <si>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</si>
  <si>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</si>
  <si>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</si>
  <si>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</si>
  <si>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</si>
  <si>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</si>
  <si>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</si>
  <si>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</si>
  <si>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</si>
  <si>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</si>
  <si>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</si>
  <si>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</si>
  <si>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</si>
  <si>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</si>
  <si>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</si>
  <si>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</si>
  <si>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</si>
  <si>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</si>
  <si>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</si>
  <si>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</si>
  <si>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</si>
  <si>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</si>
  <si>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</si>
  <si>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</si>
  <si>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</si>
  <si>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</si>
  <si>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</si>
  <si>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</si>
  <si>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</si>
  <si>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</si>
  <si>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</si>
  <si>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</si>
  <si>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</si>
  <si>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</si>
  <si>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</si>
  <si>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</si>
  <si>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</si>
  <si>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</si>
  <si>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</si>
  <si>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</si>
  <si>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</si>
  <si>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</si>
  <si>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</si>
  <si>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</si>
  <si>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</si>
  <si>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</si>
  <si>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</si>
  <si>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</si>
  <si>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</si>
  <si>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</si>
  <si>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</si>
  <si>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</si>
  <si>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</si>
  <si>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</si>
  <si>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</si>
  <si>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</si>
  <si>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</si>
  <si>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</si>
  <si>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</si>
  <si>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</si>
  <si>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</si>
  <si>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</si>
  <si>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</si>
  <si>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</si>
  <si>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</si>
  <si>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</si>
  <si>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</si>
  <si>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</si>
  <si>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</si>
  <si>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</si>
  <si>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</si>
  <si>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</si>
  <si>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</si>
  <si>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</si>
  <si>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</si>
  <si>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</si>
  <si>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</si>
  <si>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</si>
  <si>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</si>
  <si>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</si>
  <si>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</si>
  <si>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</si>
  <si>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</si>
  <si>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</si>
  <si>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</si>
  <si>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</si>
  <si>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</si>
  <si>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</si>
  <si>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</si>
  <si>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</si>
  <si>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</si>
  <si>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</si>
  <si>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</si>
  <si>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</si>
  <si>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</si>
  <si>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</si>
  <si>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</si>
  <si>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</si>
  <si>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</si>
  <si>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</si>
  <si>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</si>
  <si>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</si>
  <si>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</si>
  <si>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</si>
  <si>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</si>
  <si>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</si>
  <si>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</si>
  <si>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</si>
  <si>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</si>
  <si>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</si>
  <si>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</si>
  <si>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</si>
  <si>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</si>
  <si>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</si>
  <si>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</si>
  <si>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</si>
  <si>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</si>
  <si>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</si>
  <si>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</si>
  <si>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</si>
  <si>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</si>
  <si>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</si>
  <si>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</si>
  <si>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</si>
  <si>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</si>
  <si>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</si>
  <si>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</si>
  <si>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</si>
  <si>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</si>
  <si>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</si>
  <si>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</si>
  <si>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</si>
  <si>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</si>
  <si>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</si>
  <si>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</si>
  <si>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</si>
  <si>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</si>
  <si>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</si>
  <si>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</si>
  <si>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</si>
  <si>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</si>
  <si>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</si>
  <si>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</si>
  <si>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</si>
  <si>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</si>
  <si>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</si>
  <si>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</si>
  <si>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</si>
  <si>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</si>
  <si>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</si>
  <si>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</si>
  <si>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</si>
  <si>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</si>
  <si>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</si>
  <si>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</si>
  <si>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</si>
  <si>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</si>
  <si>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</si>
  <si>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</si>
  <si>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</si>
  <si>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</si>
  <si>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</si>
  <si>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</si>
  <si>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</si>
  <si>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</si>
  <si>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</si>
  <si>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</si>
  <si>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</si>
  <si>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</si>
  <si>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</si>
  <si>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</si>
  <si>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</si>
  <si>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</si>
  <si>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</si>
  <si>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</si>
  <si>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</si>
  <si>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</si>
  <si>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</si>
  <si>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</si>
  <si>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</si>
  <si>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</si>
  <si>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</si>
  <si>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</si>
  <si>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</si>
  <si>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</si>
  <si>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</si>
  <si>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</si>
  <si>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</si>
  <si>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</si>
  <si>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</si>
  <si>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</si>
  <si>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</si>
  <si>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</si>
  <si>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</si>
  <si>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</si>
  <si>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</si>
  <si>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</si>
  <si>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</si>
  <si>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</si>
  <si>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</si>
  <si>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</si>
  <si>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</si>
  <si>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</si>
  <si>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</si>
  <si>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</si>
  <si>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</si>
  <si>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</si>
  <si>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</si>
  <si>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</si>
  <si>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</si>
  <si>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</si>
  <si>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</si>
  <si>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</si>
  <si>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</si>
  <si>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</si>
  <si>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</si>
  <si>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</si>
  <si>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</si>
  <si>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</si>
  <si>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</si>
  <si>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</si>
  <si>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</si>
  <si>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</si>
  <si>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</si>
  <si>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</si>
  <si>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</si>
  <si>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</si>
  <si>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</si>
  <si>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</si>
  <si>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</si>
  <si>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</si>
  <si>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</si>
  <si>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</si>
  <si>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</si>
  <si>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</si>
  <si>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</si>
  <si>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</si>
  <si>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</si>
  <si>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</si>
  <si>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</si>
  <si>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</si>
  <si>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</si>
  <si>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</si>
  <si>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</si>
  <si>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</si>
  <si>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</si>
  <si>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</si>
  <si>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</si>
  <si>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</si>
  <si>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</si>
  <si>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</si>
  <si>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</si>
  <si>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</si>
  <si>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</si>
  <si>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</si>
  <si>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</si>
  <si>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</si>
  <si>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</si>
  <si>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</si>
  <si>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</si>
  <si>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</si>
  <si>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</si>
  <si>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</si>
  <si>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</si>
  <si>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</si>
  <si>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</si>
  <si>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</si>
  <si>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</si>
  <si>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</si>
  <si>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</si>
  <si>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</si>
  <si>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</si>
  <si>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</si>
  <si>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</si>
  <si>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</si>
  <si>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</si>
  <si>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</si>
  <si>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</si>
  <si>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</si>
  <si>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</si>
  <si>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</si>
  <si>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</si>
  <si>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</si>
  <si>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</si>
  <si>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</si>
  <si>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</si>
  <si>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</si>
  <si>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</si>
  <si>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</si>
  <si>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</si>
  <si>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</si>
  <si>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</si>
  <si>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</si>
  <si>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</si>
  <si>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</si>
  <si>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</si>
  <si>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</si>
  <si>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</si>
  <si>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</si>
  <si>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</si>
  <si>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</si>
  <si>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</si>
  <si>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</si>
  <si>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</si>
  <si>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</si>
  <si>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</si>
  <si>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</si>
  <si>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</si>
  <si>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</si>
  <si>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</si>
  <si>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</si>
  <si>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</si>
  <si>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</si>
  <si>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</si>
  <si>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</si>
  <si>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</si>
  <si>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</si>
  <si>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</si>
  <si>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</si>
  <si>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</si>
  <si>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</si>
  <si>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</si>
  <si>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</si>
  <si>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</si>
  <si>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</si>
  <si>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</si>
  <si>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</si>
  <si>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</si>
  <si>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</si>
  <si>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</si>
  <si>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</si>
  <si>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</si>
  <si>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</si>
  <si>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</si>
  <si>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</si>
  <si>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</si>
  <si>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</si>
  <si>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</si>
  <si>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</si>
  <si>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</si>
  <si>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</si>
  <si>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</si>
  <si>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</si>
  <si>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</si>
  <si>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</si>
  <si>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</si>
  <si>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</si>
  <si>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</si>
  <si>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</si>
  <si>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</si>
  <si>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</si>
  <si>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</si>
  <si>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</si>
  <si>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</si>
  <si>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</si>
  <si>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</si>
  <si>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</si>
  <si>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</si>
  <si>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</si>
  <si>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</si>
  <si>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</si>
  <si>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</si>
  <si>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</si>
  <si>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</si>
  <si>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</si>
  <si>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</si>
  <si>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</si>
  <si>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</si>
  <si>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</si>
  <si>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</si>
  <si>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</si>
  <si>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</si>
  <si>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</si>
  <si>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</si>
  <si>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</si>
  <si>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</si>
  <si>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</si>
  <si>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</si>
  <si>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</si>
  <si>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</si>
  <si>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</si>
  <si>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</si>
  <si>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</si>
  <si>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</si>
  <si>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</si>
  <si>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</si>
  <si>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</si>
  <si>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</si>
  <si>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</si>
  <si>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</si>
  <si>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</si>
  <si>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</si>
  <si>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</si>
  <si>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</si>
  <si>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</si>
  <si>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</si>
  <si>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</si>
  <si>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</si>
  <si>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</si>
  <si>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</si>
  <si>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</si>
  <si>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</si>
  <si>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</si>
  <si>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</si>
  <si>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</si>
  <si>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</si>
  <si>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</si>
  <si>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</si>
  <si>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</si>
  <si>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</si>
  <si>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</si>
  <si>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</si>
  <si>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</si>
  <si>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</si>
  <si>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</si>
  <si>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</si>
  <si>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</si>
  <si>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</si>
  <si>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</si>
  <si>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</si>
  <si>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</si>
  <si>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</si>
  <si>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</si>
  <si>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</si>
  <si>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</si>
  <si>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</si>
  <si>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</si>
  <si>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</si>
  <si>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</si>
  <si>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</si>
  <si>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</si>
  <si>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</si>
  <si>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</si>
  <si>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</si>
  <si>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</si>
  <si>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</si>
  <si>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</si>
  <si>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</si>
  <si>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</si>
  <si>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</si>
  <si>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</si>
  <si>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</si>
  <si>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</si>
  <si>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</si>
  <si>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</si>
  <si>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</si>
  <si>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</si>
  <si>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</si>
  <si>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</si>
  <si>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</si>
  <si>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</si>
  <si>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</si>
  <si>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</si>
  <si>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</si>
  <si>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</si>
  <si>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</si>
  <si>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</si>
  <si>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</si>
  <si>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</si>
  <si>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</si>
  <si>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</si>
  <si>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</si>
  <si>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</si>
  <si>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</si>
  <si>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</si>
  <si>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</si>
  <si>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</si>
  <si>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</si>
  <si>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</si>
  <si>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</si>
  <si>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</si>
  <si>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</si>
  <si>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</si>
  <si>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</si>
  <si>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</si>
  <si>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</si>
  <si>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</si>
  <si>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</si>
  <si>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</si>
  <si>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</si>
  <si>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</si>
  <si>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</si>
  <si>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</si>
  <si>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</si>
  <si>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</si>
  <si>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</si>
  <si>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</si>
  <si>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</si>
  <si>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</si>
  <si>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</si>
  <si>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</si>
  <si>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</si>
  <si>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</si>
  <si>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</si>
  <si>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</si>
  <si>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</si>
  <si>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</si>
  <si>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</si>
  <si>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</si>
  <si>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</si>
  <si>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</si>
  <si>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</si>
  <si>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</si>
  <si>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</si>
  <si>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</si>
  <si>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</si>
  <si>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</si>
  <si>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</si>
  <si>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</si>
  <si>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</si>
  <si>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</si>
  <si>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</si>
  <si>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</si>
  <si>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</si>
  <si>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</si>
  <si>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</si>
  <si>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</si>
  <si>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</si>
  <si>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</si>
  <si>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</si>
  <si>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</si>
  <si>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</si>
  <si>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</si>
  <si>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</si>
  <si>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</si>
  <si>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</si>
  <si>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</si>
  <si>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</si>
  <si>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</si>
  <si>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</si>
  <si>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</si>
  <si>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</si>
  <si>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</si>
  <si>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</si>
  <si>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</si>
  <si>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</si>
  <si>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</si>
  <si>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</si>
  <si>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</si>
  <si>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</si>
  <si>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</si>
  <si>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</si>
  <si>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</si>
  <si>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</si>
  <si>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</si>
  <si>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</si>
  <si>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</si>
  <si>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</si>
  <si>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</si>
  <si>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</si>
  <si>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</si>
  <si>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</si>
  <si>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</si>
  <si>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</si>
  <si>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</si>
  <si>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</si>
  <si>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</si>
  <si>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</si>
  <si>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</si>
  <si>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</si>
  <si>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</si>
  <si>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</si>
  <si>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</si>
  <si>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</si>
  <si>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</si>
  <si>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</si>
  <si>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</si>
  <si>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</si>
  <si>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</si>
  <si>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</si>
  <si>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</si>
  <si>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</si>
  <si>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</si>
  <si>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</si>
  <si>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</si>
  <si>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</si>
  <si>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</si>
  <si>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</si>
  <si>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</si>
  <si>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</si>
  <si>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</si>
  <si>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</si>
  <si>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</si>
  <si>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</si>
  <si>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</si>
  <si>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</si>
  <si>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</si>
  <si>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</si>
  <si>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</si>
  <si>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</si>
  <si>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</si>
  <si>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</si>
  <si>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</si>
  <si>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</si>
  <si>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</si>
  <si>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</si>
  <si>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</si>
  <si>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</si>
  <si>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</si>
  <si>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</si>
  <si>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</si>
  <si>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</si>
  <si>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</si>
  <si>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</si>
  <si>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</si>
  <si>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</si>
  <si>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</si>
  <si>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</si>
  <si>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</si>
  <si>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</si>
  <si>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</si>
  <si>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</si>
  <si>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</si>
  <si>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</si>
  <si>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</si>
  <si>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</si>
  <si>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</si>
  <si>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</si>
  <si>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</si>
  <si>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</si>
  <si>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</si>
  <si>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</si>
  <si>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</si>
  <si>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</si>
  <si>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</si>
  <si>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</si>
  <si>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</si>
  <si>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</si>
  <si>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</si>
  <si>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</si>
  <si>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</si>
  <si>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</si>
  <si>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</si>
  <si>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</si>
  <si>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</si>
  <si>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</si>
  <si>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</si>
  <si>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</si>
  <si>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</si>
  <si>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</si>
  <si>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</si>
  <si>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</si>
  <si>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</si>
  <si>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</si>
  <si>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</si>
  <si>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</si>
  <si>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</si>
  <si>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</si>
  <si>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</si>
  <si>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</si>
  <si>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</si>
  <si>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</si>
  <si>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</si>
  <si>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</si>
  <si>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</si>
  <si>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</si>
  <si>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</si>
  <si>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</si>
  <si>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</si>
  <si>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</si>
  <si>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</si>
  <si>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</si>
  <si>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</si>
  <si>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</si>
  <si>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</si>
  <si>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</si>
  <si>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</si>
  <si>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</si>
  <si>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</si>
  <si>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</si>
  <si>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</si>
  <si>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</si>
  <si>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</si>
  <si>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</si>
  <si>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</si>
  <si>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</si>
  <si>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</si>
  <si>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</si>
  <si>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</si>
  <si>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</si>
  <si>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</si>
  <si>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</si>
  <si>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</si>
  <si>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</si>
  <si>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</si>
  <si>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</si>
  <si>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</si>
  <si>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</si>
  <si>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</si>
  <si>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</si>
  <si>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</si>
  <si>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</si>
  <si>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</si>
  <si>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</si>
  <si>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</si>
  <si>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</si>
  <si>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</si>
  <si>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</si>
  <si>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</si>
  <si>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</si>
  <si>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</si>
  <si>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</si>
  <si>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</si>
  <si>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</si>
  <si>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</si>
  <si>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</si>
  <si>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</si>
  <si>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</si>
  <si>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</si>
  <si>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</si>
  <si>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</si>
  <si>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</si>
  <si>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</si>
  <si>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</si>
  <si>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</si>
  <si>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</si>
  <si>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</si>
  <si>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</si>
  <si>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</si>
  <si>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</si>
  <si>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</si>
  <si>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</si>
  <si>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</si>
  <si>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</si>
  <si>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</si>
  <si>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</si>
  <si>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</si>
  <si>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</si>
  <si>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</si>
  <si>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</si>
  <si>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</si>
  <si>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</si>
  <si>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</si>
  <si>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</si>
  <si>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</si>
  <si>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</si>
  <si>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</si>
  <si>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</si>
  <si>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</si>
  <si>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</si>
  <si>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</si>
  <si>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</si>
  <si>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</si>
  <si>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</si>
  <si>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</si>
  <si>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</si>
  <si>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</si>
  <si>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</si>
  <si>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</si>
  <si>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</si>
  <si>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</si>
  <si>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</si>
  <si>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</si>
  <si>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</si>
  <si>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</si>
  <si>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</si>
  <si>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</si>
  <si>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</si>
  <si>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</si>
  <si>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</si>
  <si>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</si>
  <si>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</si>
  <si>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</si>
  <si>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</si>
  <si>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</si>
  <si>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</si>
  <si>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</si>
  <si>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</si>
  <si>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</si>
  <si>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</si>
  <si>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</si>
  <si>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</si>
  <si>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</si>
  <si>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</si>
  <si>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</si>
  <si>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</si>
  <si>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</si>
  <si>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</si>
  <si>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</si>
  <si>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</si>
  <si>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</si>
  <si>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</si>
  <si>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</si>
  <si>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</si>
  <si>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</si>
  <si>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</si>
  <si>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</si>
  <si>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</si>
  <si>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</si>
  <si>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</si>
  <si>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</si>
  <si>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</si>
  <si>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</si>
  <si>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</si>
  <si>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</si>
  <si>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</si>
  <si>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</si>
  <si>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</si>
  <si>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</si>
  <si>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</si>
  <si>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</si>
  <si>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</si>
  <si>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</si>
  <si>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</si>
  <si>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</si>
  <si>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</si>
  <si>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</si>
  <si>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</si>
  <si>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</si>
  <si>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</si>
  <si>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</si>
  <si>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</si>
  <si>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</si>
  <si>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</si>
  <si>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</si>
  <si>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</si>
  <si>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</si>
  <si>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</si>
  <si>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</si>
  <si>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</si>
  <si>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</si>
  <si>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</si>
  <si>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</si>
  <si>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</si>
  <si>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</si>
  <si>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</si>
  <si>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</si>
  <si>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</si>
  <si>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</si>
  <si>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</si>
  <si>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</si>
  <si>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</si>
  <si>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</si>
  <si>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</si>
  <si>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</si>
  <si>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</si>
  <si>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</si>
  <si>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</si>
  <si>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</si>
  <si>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</si>
  <si>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</si>
  <si>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</si>
  <si>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</si>
  <si>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</si>
  <si>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</si>
  <si>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</si>
  <si>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</si>
  <si>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</si>
  <si>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</si>
  <si>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</si>
  <si>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</si>
  <si>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</si>
  <si>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</si>
  <si>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</si>
  <si>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</si>
  <si>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</si>
  <si>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</si>
  <si>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</si>
  <si>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</si>
  <si>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</si>
  <si>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</si>
  <si>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</si>
  <si>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</si>
  <si>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</si>
  <si>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</si>
  <si>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</si>
  <si>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</si>
  <si>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</si>
  <si>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</si>
  <si>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</si>
  <si>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</si>
  <si>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</si>
  <si>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</si>
  <si>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</si>
  <si>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</si>
  <si>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</si>
  <si>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</si>
  <si>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</si>
  <si>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</si>
  <si>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</si>
  <si>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</si>
  <si>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</si>
  <si>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</si>
  <si>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</si>
  <si>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</si>
  <si>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</si>
  <si>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</si>
  <si>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</si>
  <si>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</si>
  <si>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</si>
  <si>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</si>
  <si>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</si>
  <si>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</si>
  <si>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</si>
  <si>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</si>
  <si>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</si>
  <si>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</si>
  <si>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</si>
  <si>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</si>
  <si>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</si>
  <si>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</si>
  <si>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</si>
  <si>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</si>
  <si>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</si>
  <si>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</si>
  <si>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</si>
  <si>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</si>
  <si>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</si>
  <si>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</si>
  <si>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</si>
  <si>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</si>
  <si>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</si>
  <si>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</si>
  <si>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</si>
  <si>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</si>
  <si>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</si>
  <si>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</si>
  <si>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</si>
  <si>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</si>
  <si>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</si>
  <si>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</si>
  <si>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</si>
  <si>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</si>
  <si>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</si>
  <si>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</si>
  <si>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</si>
  <si>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</si>
  <si>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</si>
  <si>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</si>
  <si>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</si>
  <si>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</si>
  <si>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</si>
  <si>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</si>
  <si>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</si>
  <si>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</si>
  <si>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</si>
  <si>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</si>
  <si>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</si>
  <si>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</si>
  <si>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</si>
  <si>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</si>
  <si>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</si>
  <si>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</si>
  <si>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</si>
  <si>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</si>
  <si>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</si>
  <si>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</si>
  <si>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</si>
  <si>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</si>
  <si>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</si>
  <si>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</si>
  <si>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</si>
  <si>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</si>
  <si>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</si>
  <si>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</si>
  <si>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</si>
  <si>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</si>
  <si>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</si>
  <si>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</si>
  <si>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</si>
  <si>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</si>
  <si>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</si>
  <si>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</si>
  <si>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</si>
  <si>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</si>
  <si>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</si>
  <si>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</si>
  <si>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</si>
  <si>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</si>
  <si>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</si>
  <si>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</si>
  <si>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</si>
  <si>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</si>
  <si>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</si>
  <si>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</si>
  <si>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</si>
  <si>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</si>
  <si>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</si>
  <si>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</si>
  <si>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</si>
  <si>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</si>
  <si>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</si>
  <si>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</si>
  <si>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</si>
  <si>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</si>
  <si>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</si>
  <si>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</si>
  <si>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</si>
  <si>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</si>
  <si>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</si>
  <si>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</si>
  <si>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</si>
  <si>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</si>
  <si>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</si>
  <si>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</si>
  <si>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</si>
  <si>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</si>
  <si>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</si>
  <si>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</si>
  <si>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</si>
  <si>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</si>
  <si>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</si>
  <si>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</si>
  <si>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</si>
  <si>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</si>
  <si>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</si>
  <si>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</si>
  <si>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</si>
  <si>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</si>
  <si>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</si>
  <si>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</si>
  <si>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</si>
  <si>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</si>
  <si>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</si>
  <si>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</si>
  <si>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</si>
  <si>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</si>
  <si>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</si>
  <si>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</si>
  <si>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</si>
  <si>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</si>
  <si>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</si>
  <si>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</si>
  <si>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</si>
  <si>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</si>
  <si>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</si>
  <si>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</si>
  <si>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</si>
  <si>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</si>
  <si>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</si>
  <si>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</si>
  <si>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</si>
  <si>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</si>
  <si>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</si>
  <si>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</si>
  <si>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</si>
  <si>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</si>
  <si>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</si>
  <si>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</si>
  <si>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</si>
  <si>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</si>
  <si>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</si>
  <si>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</si>
  <si>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</si>
  <si>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</si>
  <si>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</si>
  <si>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</si>
  <si>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</si>
  <si>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</si>
  <si>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</si>
  <si>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</si>
  <si>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</si>
  <si>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</si>
  <si>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</si>
  <si>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</si>
  <si>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</si>
  <si>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</si>
  <si>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</si>
  <si>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</si>
  <si>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</si>
  <si>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</si>
  <si>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</si>
  <si>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</si>
  <si>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</si>
  <si>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</si>
  <si>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</si>
  <si>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</si>
  <si>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</si>
  <si>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</si>
  <si>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</si>
  <si>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</si>
  <si>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</si>
  <si>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</si>
  <si>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</si>
  <si>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</si>
  <si>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</si>
  <si>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</si>
  <si>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</si>
  <si>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</si>
  <si>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</si>
  <si>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</si>
  <si>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</si>
  <si>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</si>
  <si>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</si>
  <si>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</si>
  <si>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</si>
  <si>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</si>
  <si>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</si>
  <si>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</si>
  <si>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</si>
  <si>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</si>
  <si>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</si>
  <si>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</si>
  <si>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</si>
  <si>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</si>
  <si>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</si>
  <si>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</si>
  <si>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</si>
  <si>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</si>
  <si>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</si>
  <si>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</si>
  <si>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</si>
  <si>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</si>
  <si>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</si>
  <si>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</si>
  <si>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</si>
  <si>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</si>
  <si>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</si>
  <si>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</si>
  <si>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</si>
  <si>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</si>
  <si>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</si>
  <si>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</si>
  <si>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</si>
  <si>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</si>
  <si>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</si>
  <si>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</si>
  <si>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</si>
  <si>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</si>
  <si>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</si>
  <si>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</si>
  <si>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</si>
  <si>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</si>
  <si>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</si>
  <si>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</si>
  <si>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</si>
  <si>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</si>
  <si>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</si>
  <si>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</si>
  <si>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</si>
  <si>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</si>
  <si>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</si>
  <si>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</si>
  <si>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</si>
  <si>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</si>
  <si>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</si>
  <si>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</si>
  <si>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</si>
  <si>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</si>
  <si>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</si>
  <si>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</si>
  <si>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</si>
  <si>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</si>
  <si>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</si>
  <si>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</si>
  <si>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</si>
  <si>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</si>
  <si>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</si>
  <si>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</si>
  <si>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</si>
  <si>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</si>
  <si>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</si>
  <si>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</si>
  <si>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</si>
  <si>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</si>
  <si>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</si>
  <si>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</si>
  <si>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</si>
  <si>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</si>
  <si>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</si>
  <si>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</si>
  <si>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</si>
  <si>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</si>
  <si>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</si>
  <si>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</si>
  <si>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</si>
  <si>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</si>
  <si>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</si>
  <si>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</si>
  <si>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</si>
  <si>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</si>
  <si>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</si>
  <si>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</si>
  <si>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</si>
  <si>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</si>
  <si>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</si>
  <si>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</si>
  <si>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</si>
  <si>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</si>
  <si>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</si>
  <si>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</si>
  <si>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</si>
  <si>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</si>
  <si>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</si>
  <si>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</si>
  <si>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</si>
  <si>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</si>
  <si>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</si>
  <si>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</si>
  <si>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</si>
  <si>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</si>
  <si>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</si>
  <si>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</si>
  <si>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</si>
  <si>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</si>
  <si>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</si>
  <si>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</si>
  <si>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</si>
  <si>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</si>
  <si>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</si>
  <si>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</si>
  <si>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</si>
  <si>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</si>
  <si>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</si>
  <si>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</si>
  <si>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</si>
  <si>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</si>
  <si>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</si>
  <si>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</si>
  <si>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</si>
  <si>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</si>
  <si>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</si>
  <si>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</si>
  <si>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</si>
  <si>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</si>
  <si>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</si>
  <si>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</si>
  <si>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</si>
  <si>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</si>
  <si>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</si>
  <si>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</si>
  <si>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</si>
  <si>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</si>
  <si>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</si>
  <si>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</si>
  <si>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</si>
  <si>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</si>
  <si>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</si>
  <si>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</si>
  <si>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</si>
  <si>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</si>
  <si>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</si>
  <si>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</si>
  <si>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</si>
  <si>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</si>
  <si>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</si>
  <si>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</si>
  <si>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</si>
  <si>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</si>
  <si>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</si>
  <si>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</si>
  <si>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</si>
  <si>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</si>
  <si>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</si>
  <si>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</si>
  <si>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</si>
  <si>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</si>
  <si>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</si>
  <si>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</si>
  <si>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</si>
  <si>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</si>
  <si>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</si>
  <si>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</si>
  <si>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</si>
  <si>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</si>
  <si>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</si>
  <si>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</si>
  <si>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</si>
  <si>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</si>
  <si>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</si>
  <si>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</si>
  <si>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</si>
  <si>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</si>
  <si>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</si>
  <si>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</si>
  <si>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</si>
  <si>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</si>
  <si>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</si>
  <si>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</si>
  <si>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</si>
  <si>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</si>
  <si>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</si>
  <si>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</si>
  <si>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</si>
  <si>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</si>
  <si>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</si>
  <si>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</si>
  <si>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</si>
  <si>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</si>
  <si>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</si>
  <si>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</si>
  <si>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</si>
  <si>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</si>
  <si>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</si>
  <si>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</si>
  <si>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</si>
  <si>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</si>
  <si>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</si>
  <si>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</si>
  <si>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</si>
  <si>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</si>
  <si>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</si>
  <si>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</si>
  <si>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</si>
  <si>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</si>
  <si>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</si>
  <si>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</si>
  <si>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</si>
  <si>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</si>
  <si>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</si>
  <si>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</si>
  <si>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</si>
  <si>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</si>
  <si>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</si>
  <si>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</si>
  <si>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</si>
  <si>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</si>
  <si>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</si>
  <si>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</si>
  <si>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</si>
  <si>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</si>
  <si>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</si>
  <si>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</si>
  <si>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</si>
  <si>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</si>
  <si>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</si>
  <si>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</si>
  <si>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</si>
  <si>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</si>
  <si>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</si>
  <si>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</si>
  <si>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</si>
  <si>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</si>
  <si>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</si>
  <si>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</si>
  <si>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</si>
  <si>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</si>
  <si>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</si>
  <si>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</si>
  <si>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</si>
  <si>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</si>
  <si>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</si>
  <si>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</si>
  <si>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</si>
  <si>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</si>
  <si>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</si>
  <si>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</si>
  <si>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</si>
  <si>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</si>
  <si>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</si>
  <si>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</si>
  <si>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</si>
  <si>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</si>
  <si>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</si>
  <si>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</si>
  <si>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</si>
  <si>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</si>
  <si>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</si>
  <si>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</si>
  <si>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</si>
  <si>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</si>
  <si>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</si>
  <si>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</si>
  <si>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</si>
  <si>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</si>
  <si>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</si>
  <si>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</si>
  <si>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</si>
  <si>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</si>
  <si>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</si>
  <si>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</si>
  <si>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</si>
  <si>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</si>
  <si>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</si>
  <si>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</si>
  <si>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</si>
  <si>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</si>
  <si>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</si>
  <si>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</si>
  <si>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</si>
  <si>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</si>
  <si>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</si>
  <si>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</si>
  <si>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</si>
  <si>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</si>
  <si>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</si>
  <si>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</si>
  <si>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</si>
  <si>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</si>
  <si>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</si>
  <si>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</si>
  <si>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</si>
  <si>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</si>
  <si>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</si>
  <si>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</si>
  <si>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</si>
  <si>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</si>
  <si>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</si>
  <si>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</si>
  <si>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</si>
  <si>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</si>
  <si>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</si>
  <si>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</si>
  <si>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</si>
  <si>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</si>
  <si>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</si>
  <si>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</si>
  <si>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</si>
  <si>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</si>
  <si>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</si>
  <si>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</si>
  <si>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</si>
  <si>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</si>
  <si>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</si>
  <si>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</si>
  <si>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</si>
  <si>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</si>
  <si>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</si>
  <si>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</si>
  <si>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</si>
  <si>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</si>
  <si>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</si>
  <si>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</si>
  <si>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</si>
  <si>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</si>
  <si>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</si>
  <si>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</si>
  <si>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</si>
  <si>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</si>
  <si>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</si>
  <si>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</si>
  <si>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</si>
  <si>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</si>
  <si>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</si>
  <si>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</si>
  <si>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</si>
  <si>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</si>
  <si>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</si>
  <si>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</si>
  <si>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</si>
  <si>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</si>
  <si>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</si>
  <si>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</si>
  <si>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</si>
  <si>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</si>
  <si>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</si>
  <si>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</si>
  <si>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</si>
  <si>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</si>
  <si>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</si>
  <si>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</si>
  <si>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</si>
  <si>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</si>
  <si>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</si>
  <si>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</si>
  <si>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</si>
  <si>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</si>
  <si>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</si>
  <si>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</si>
  <si>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</si>
  <si>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</si>
  <si>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</si>
  <si>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</si>
  <si>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</si>
  <si>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</si>
  <si>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</si>
  <si>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</si>
  <si>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</si>
  <si>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</si>
  <si>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</si>
  <si>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</si>
  <si>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</si>
  <si>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</si>
  <si>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</si>
  <si>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</si>
  <si>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</si>
  <si>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</si>
  <si>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</si>
  <si>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</si>
  <si>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</si>
  <si>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</si>
  <si>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</si>
  <si>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</si>
  <si>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</si>
  <si>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</si>
  <si>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</si>
  <si>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</si>
  <si>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</si>
  <si>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</si>
  <si>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</si>
  <si>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</si>
  <si>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</si>
  <si>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</si>
  <si>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</si>
  <si>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</si>
  <si>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</si>
  <si>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</si>
  <si>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</si>
  <si>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</si>
  <si>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</si>
  <si>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</si>
  <si>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</si>
  <si>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</si>
  <si>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</si>
  <si>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</si>
  <si>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</si>
  <si>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</si>
  <si>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</si>
  <si>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</si>
  <si>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</si>
  <si>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</si>
  <si>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</si>
  <si>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</si>
  <si>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</si>
  <si>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</si>
  <si>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</si>
  <si>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</si>
  <si>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</si>
  <si>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</si>
  <si>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</si>
  <si>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</si>
  <si>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</si>
  <si>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</si>
  <si>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</si>
  <si>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</si>
  <si>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</si>
  <si>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</si>
  <si>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</si>
  <si>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</si>
  <si>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</si>
  <si>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</si>
  <si>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</si>
  <si>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</si>
  <si>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</si>
  <si>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</si>
  <si>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</si>
  <si>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</si>
  <si>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</si>
  <si>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</si>
  <si>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</si>
  <si>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</si>
  <si>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</si>
  <si>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</si>
  <si>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</si>
  <si>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</si>
  <si>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</si>
  <si>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</si>
  <si>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</si>
  <si>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</si>
  <si>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</si>
  <si>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</si>
  <si>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</si>
  <si>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</si>
  <si>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</si>
  <si>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</si>
  <si>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</si>
  <si>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</si>
  <si>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</si>
  <si>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</si>
  <si>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</si>
  <si>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</si>
  <si>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</si>
  <si>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</si>
  <si>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</si>
  <si>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</si>
  <si>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</si>
  <si>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</si>
  <si>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</si>
  <si>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</si>
  <si>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</si>
  <si>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</si>
  <si>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</si>
  <si>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</si>
  <si>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</si>
  <si>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</si>
  <si>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</si>
  <si>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</si>
  <si>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</si>
  <si>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</si>
  <si>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</si>
  <si>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</si>
  <si>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</si>
  <si>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</si>
  <si>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</si>
  <si>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</si>
  <si>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</si>
  <si>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</si>
  <si>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</si>
  <si>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</si>
  <si>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</si>
  <si>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</si>
  <si>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</si>
  <si>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</si>
  <si>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</si>
  <si>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</si>
  <si>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</si>
  <si>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</si>
  <si>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</si>
  <si>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</si>
  <si>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</si>
  <si>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</si>
  <si>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</si>
  <si>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</si>
  <si>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</si>
  <si>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</si>
  <si>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</si>
  <si>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</si>
  <si>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</si>
  <si>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</si>
  <si>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</si>
  <si>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</si>
  <si>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</si>
  <si>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</si>
  <si>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</si>
  <si>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</si>
  <si>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</si>
  <si>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</si>
  <si>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</si>
  <si>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</si>
  <si>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</si>
  <si>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</si>
  <si>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</si>
  <si>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</si>
  <si>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</si>
  <si>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</si>
  <si>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</si>
  <si>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</si>
  <si>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</si>
  <si>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</si>
  <si>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</si>
  <si>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</si>
  <si>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</si>
  <si>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</si>
  <si>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</si>
  <si>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</si>
  <si>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</si>
  <si>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</si>
  <si>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</si>
  <si>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</si>
  <si>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</si>
  <si>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</si>
  <si>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</si>
  <si>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</si>
  <si>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</si>
  <si>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</si>
  <si>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</si>
  <si>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</si>
  <si>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</si>
  <si>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</si>
  <si>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</si>
  <si>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</si>
  <si>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</si>
  <si>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</si>
  <si>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</si>
  <si>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</si>
  <si>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</si>
  <si>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</si>
  <si>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</si>
  <si>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</si>
  <si>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</si>
  <si>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</si>
  <si>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</si>
  <si>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</si>
  <si>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</si>
  <si>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</si>
  <si>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</si>
  <si>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</si>
  <si>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</si>
  <si>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</si>
  <si>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</si>
  <si>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</si>
  <si>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</si>
  <si>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</si>
  <si>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</si>
  <si>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</si>
  <si>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</si>
  <si>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</si>
  <si>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</si>
  <si>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</si>
  <si>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</si>
  <si>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</si>
  <si>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</si>
  <si>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</si>
  <si>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</si>
  <si>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</si>
  <si>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</si>
  <si>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</si>
  <si>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</si>
  <si>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</si>
  <si>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</si>
  <si>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</si>
  <si>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</si>
  <si>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</si>
  <si>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</si>
  <si>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</si>
  <si>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</si>
  <si>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</si>
  <si>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</si>
  <si>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</si>
  <si>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</si>
  <si>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</si>
  <si>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</si>
  <si>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</si>
  <si>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</si>
  <si>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</si>
  <si>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</si>
  <si>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</si>
  <si>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</si>
  <si>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</si>
  <si>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</si>
  <si>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</si>
  <si>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</si>
  <si>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</si>
  <si>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</si>
  <si>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</si>
  <si>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</si>
  <si>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</si>
  <si>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</si>
  <si>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</si>
  <si>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</si>
  <si>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</si>
  <si>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</si>
  <si>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</si>
  <si>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</si>
  <si>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</si>
  <si>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</si>
  <si>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</si>
  <si>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</si>
  <si>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</si>
  <si>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</si>
  <si>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</si>
  <si>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</si>
  <si>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</si>
  <si>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</si>
  <si>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</si>
  <si>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</si>
  <si>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</si>
  <si>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</si>
  <si>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</si>
  <si>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</si>
  <si>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</si>
  <si>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</si>
  <si>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</si>
  <si>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</si>
  <si>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</si>
  <si>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</si>
  <si>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</si>
  <si>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</si>
  <si>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</si>
  <si>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</si>
  <si>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</si>
  <si>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</si>
  <si>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</si>
  <si>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</si>
  <si>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</si>
  <si>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</si>
  <si>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</si>
  <si>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</si>
  <si>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</si>
  <si>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</si>
  <si>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</si>
  <si>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</si>
  <si>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</si>
  <si>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</si>
  <si>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</si>
  <si>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</si>
  <si>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</si>
  <si>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</si>
  <si>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</si>
  <si>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</si>
  <si>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</si>
  <si>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</si>
  <si>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</si>
  <si>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</si>
  <si>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</si>
  <si>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</si>
  <si>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</si>
  <si>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</si>
  <si>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</si>
  <si>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</si>
  <si>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</si>
  <si>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</si>
  <si>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</si>
  <si>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</si>
  <si>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</si>
  <si>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</si>
  <si>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</si>
  <si>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</si>
  <si>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</si>
  <si>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</si>
  <si>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</si>
  <si>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</si>
  <si>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</si>
  <si>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</si>
  <si>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</si>
  <si>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</si>
  <si>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</si>
  <si>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</si>
  <si>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</si>
  <si>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</si>
  <si>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</si>
  <si>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</si>
  <si>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</si>
  <si>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</si>
  <si>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</si>
  <si>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</si>
  <si>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</si>
  <si>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</si>
  <si>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</si>
  <si>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</si>
  <si>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</si>
  <si>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</si>
  <si>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</si>
  <si>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</si>
  <si>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</si>
  <si>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</si>
  <si>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</si>
  <si>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</si>
  <si>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</si>
  <si>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</si>
  <si>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</si>
  <si>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</si>
  <si>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</si>
  <si>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</si>
  <si>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</si>
  <si>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</si>
  <si>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</si>
  <si>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</si>
  <si>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</si>
  <si>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</si>
  <si>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</si>
  <si>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</si>
  <si>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</si>
  <si>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</si>
  <si>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</si>
  <si>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</si>
  <si>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</si>
  <si>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</si>
  <si>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</si>
  <si>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</si>
  <si>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</si>
  <si>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</si>
  <si>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</si>
  <si>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</si>
  <si>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</si>
  <si>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</si>
  <si>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</si>
  <si>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</si>
  <si>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</si>
  <si>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</si>
  <si>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</si>
  <si>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</si>
  <si>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</si>
  <si>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</si>
  <si>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</si>
  <si>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</si>
  <si>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</si>
  <si>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</si>
  <si>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</si>
  <si>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</si>
  <si>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</si>
  <si>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</si>
  <si>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</si>
  <si>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</si>
  <si>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</si>
  <si>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</si>
  <si>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</si>
  <si>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</si>
  <si>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</si>
  <si>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</si>
  <si>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</si>
  <si>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</si>
  <si>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</si>
  <si>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</si>
  <si>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</si>
  <si>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</si>
  <si>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</si>
  <si>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</si>
  <si>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</si>
  <si>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</si>
  <si>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</si>
  <si>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</si>
  <si>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</si>
  <si>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</si>
  <si>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</si>
  <si>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</si>
  <si>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</si>
  <si>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</si>
  <si>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</si>
  <si>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</si>
  <si>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</si>
  <si>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</si>
  <si>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</si>
  <si>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</si>
  <si>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</si>
  <si>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</si>
  <si>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</si>
  <si>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</si>
  <si>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</si>
  <si>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</si>
  <si>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</si>
  <si>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</si>
  <si>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</si>
  <si>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</si>
  <si>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</si>
  <si>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</si>
  <si>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</si>
  <si>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</si>
  <si>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</si>
  <si>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</si>
  <si>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</si>
  <si>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</si>
  <si>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</si>
  <si>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</si>
  <si>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</si>
  <si>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</si>
  <si>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</si>
  <si>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</si>
  <si>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</si>
  <si>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</si>
  <si>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</si>
  <si>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</si>
  <si>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</si>
  <si>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</si>
  <si>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</si>
  <si>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</si>
  <si>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</si>
  <si>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</si>
  <si>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</si>
  <si>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</si>
  <si>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</si>
  <si>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</si>
  <si>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</si>
  <si>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</si>
  <si>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</si>
  <si>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</si>
  <si>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</si>
  <si>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</si>
  <si>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</si>
  <si>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</si>
  <si>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</si>
  <si>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</si>
  <si>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</si>
  <si>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</si>
  <si>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</si>
  <si>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</si>
  <si>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</si>
  <si>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</si>
  <si>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</si>
  <si>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</si>
  <si>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</si>
  <si>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</si>
  <si>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</si>
  <si>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</si>
  <si>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</si>
  <si>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</si>
  <si>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</si>
  <si>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</si>
  <si>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</si>
  <si>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</si>
  <si>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</si>
  <si>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</si>
  <si>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</si>
  <si>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</si>
  <si>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</si>
  <si>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</si>
  <si>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</si>
  <si>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</si>
  <si>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</si>
  <si>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</si>
  <si>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</si>
  <si>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</si>
  <si>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</si>
  <si>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</si>
  <si>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</si>
  <si>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</si>
  <si>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</si>
  <si>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</si>
  <si>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</si>
  <si>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</si>
  <si>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</si>
  <si>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</si>
  <si>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</si>
  <si>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</si>
  <si>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</si>
  <si>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</si>
  <si>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</si>
  <si>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</si>
  <si>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</si>
  <si>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</si>
  <si>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</si>
  <si>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</si>
  <si>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</si>
  <si>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</si>
  <si>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</si>
  <si>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</si>
  <si>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</si>
  <si>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</si>
  <si>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</si>
  <si>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</si>
  <si>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</si>
  <si>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</si>
  <si>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</si>
  <si>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</si>
  <si>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</si>
  <si>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</si>
  <si>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</si>
  <si>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</si>
  <si>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</si>
  <si>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</si>
  <si>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</si>
  <si>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</si>
  <si>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</si>
  <si>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</si>
  <si>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</si>
  <si>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</si>
  <si>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</si>
  <si>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</si>
  <si>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</si>
  <si>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</si>
  <si>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</si>
  <si>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</si>
  <si>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</si>
  <si>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</si>
  <si>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</si>
  <si>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</si>
  <si>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</si>
  <si>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</si>
  <si>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</si>
  <si>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</si>
  <si>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</si>
  <si>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</si>
  <si>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</si>
  <si>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</si>
  <si>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</si>
  <si>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</si>
  <si>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</si>
  <si>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</si>
  <si>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</si>
  <si>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</si>
  <si>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</si>
  <si>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</si>
  <si>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</si>
  <si>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</si>
  <si>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</si>
  <si>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</si>
  <si>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</si>
  <si>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</si>
  <si>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</si>
  <si>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</si>
  <si>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</si>
  <si>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</si>
  <si>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</si>
  <si>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</si>
  <si>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</si>
  <si>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</si>
  <si>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</si>
  <si>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</si>
  <si>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</si>
  <si>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</si>
  <si>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</si>
  <si>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</si>
  <si>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</si>
  <si>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</si>
  <si>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</si>
  <si>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</si>
  <si>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</si>
  <si>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</si>
  <si>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</si>
  <si>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</si>
  <si>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</si>
  <si>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</si>
  <si>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</si>
  <si>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</si>
  <si>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</si>
  <si>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</si>
  <si>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</si>
  <si>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</si>
  <si>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</si>
  <si>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</si>
  <si>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</si>
  <si>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</si>
  <si>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</si>
  <si>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</si>
  <si>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</si>
  <si>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</si>
  <si>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</si>
  <si>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</si>
  <si>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</si>
  <si>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</si>
  <si>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</si>
  <si>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</si>
  <si>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</si>
  <si>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</si>
  <si>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</si>
  <si>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</si>
  <si>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</si>
  <si>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</si>
  <si>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</si>
  <si>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</si>
  <si>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</si>
  <si>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</si>
  <si>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</si>
  <si>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</si>
  <si>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</si>
  <si>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</si>
  <si>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</si>
  <si>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</si>
  <si>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</si>
  <si>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</si>
  <si>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</si>
  <si>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</si>
  <si>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</si>
  <si>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</si>
  <si>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</si>
  <si>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</si>
  <si>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</si>
  <si>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</si>
  <si>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</si>
  <si>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</si>
  <si>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</si>
  <si>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</si>
  <si>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单面临街</t>
  </si>
  <si>
    <t>单面临街</t>
    <phoneticPr fontId="30" type="noConversion"/>
  </si>
  <si>
    <t>不临街</t>
  </si>
  <si>
    <t>不临街</t>
    <phoneticPr fontId="30" type="noConversion"/>
  </si>
  <si>
    <t>较差</t>
  </si>
  <si>
    <t>好</t>
  </si>
  <si>
    <t>差</t>
  </si>
  <si>
    <t>大</t>
    <phoneticPr fontId="30" type="noConversion"/>
  </si>
  <si>
    <t>较大</t>
    <phoneticPr fontId="30" type="noConversion"/>
  </si>
  <si>
    <t>一般</t>
    <phoneticPr fontId="30" type="noConversion"/>
  </si>
  <si>
    <t>较小</t>
    <phoneticPr fontId="30" type="noConversion"/>
  </si>
  <si>
    <t>小</t>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</si>
  <si>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</si>
  <si>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</si>
  <si>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</si>
  <si>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</si>
  <si>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</si>
  <si>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</si>
  <si>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</si>
  <si>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</si>
  <si>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</si>
  <si>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phoneticPr fontId="30" type="noConversion"/>
  </si>
  <si>
    <t>建成年代</t>
    <phoneticPr fontId="30" type="noConversion"/>
  </si>
  <si>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</si>
  <si>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</si>
  <si>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</si>
  <si>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</si>
  <si>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</si>
  <si>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</si>
  <si>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</si>
  <si>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</si>
  <si>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</si>
  <si>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</si>
  <si>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</si>
  <si>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</si>
  <si>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</si>
  <si>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</si>
  <si>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</si>
  <si>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</si>
  <si>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租金</t>
  </si>
  <si>
    <t>商住楼</t>
    <phoneticPr fontId="31"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</si>
  <si>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</si>
  <si>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</si>
  <si>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</si>
  <si>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</si>
  <si>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</si>
  <si>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</si>
  <si>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</si>
  <si>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</si>
  <si>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</si>
  <si>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</si>
  <si>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</si>
  <si>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</si>
  <si>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</si>
  <si>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</si>
  <si>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</si>
  <si>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</si>
  <si>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</si>
  <si>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</si>
  <si>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</si>
  <si>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毛坯</t>
  </si>
  <si>
    <t>歌华大厦</t>
    <phoneticPr fontId="31" type="noConversion"/>
  </si>
  <si>
    <t>歌华大厦A座</t>
    <phoneticPr fontId="3" type="noConversion"/>
  </si>
  <si>
    <t>简单装修</t>
  </si>
  <si>
    <t>南新仓商务大厦</t>
    <phoneticPr fontId="31" type="noConversion"/>
  </si>
  <si>
    <t>中国红街大厦</t>
    <phoneticPr fontId="31" type="noConversion"/>
  </si>
  <si>
    <t>歌华大厦</t>
    <phoneticPr fontId="134" type="noConversion"/>
  </si>
  <si>
    <t>雍和大厦</t>
    <phoneticPr fontId="134" type="noConversion"/>
  </si>
  <si>
    <t>综合项目（商业、办公）</t>
  </si>
  <si>
    <t>一般</t>
    <phoneticPr fontId="30" type="noConversion"/>
  </si>
  <si>
    <t>2层</t>
  </si>
  <si>
    <t>楼层</t>
    <phoneticPr fontId="3" type="noConversion"/>
  </si>
  <si>
    <t>系数</t>
    <phoneticPr fontId="3" type="noConversion"/>
  </si>
  <si>
    <t>租金</t>
    <phoneticPr fontId="3" type="noConversion"/>
  </si>
  <si>
    <t>2层，设定1层</t>
    <phoneticPr fontId="134" type="noConversion"/>
  </si>
  <si>
    <t>2层201商业</t>
  </si>
  <si>
    <t>2层201商业</t>
    <phoneticPr fontId="7" type="noConversion"/>
  </si>
  <si>
    <t>TBD云集中心</t>
    <phoneticPr fontId="3" type="noConversion"/>
  </si>
  <si>
    <t>配套商业</t>
  </si>
  <si>
    <t>配套商业</t>
    <phoneticPr fontId="30"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</si>
  <si>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</si>
  <si>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</si>
  <si>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t>修正系数</t>
    <phoneticPr fontId="30" type="noConversion"/>
  </si>
  <si>
    <t>东亚上北中心</t>
    <phoneticPr fontId="134" type="noConversion"/>
  </si>
  <si>
    <t>建筑面积</t>
    <phoneticPr fontId="134" type="noConversion"/>
  </si>
  <si>
    <t>租金</t>
    <phoneticPr fontId="134" type="noConversion"/>
  </si>
  <si>
    <t>1层临街，全含，可餐饮</t>
    <phoneticPr fontId="134" type="noConversion"/>
  </si>
  <si>
    <t>上北鑫座</t>
    <phoneticPr fontId="134" type="noConversion"/>
  </si>
  <si>
    <t>2层，可餐饮</t>
    <phoneticPr fontId="134" type="noConversion"/>
  </si>
  <si>
    <t>龙腾苑六区462.19</t>
    <phoneticPr fontId="134" type="noConversion"/>
  </si>
  <si>
    <t>售价</t>
    <phoneticPr fontId="134" type="noConversion"/>
  </si>
  <si>
    <t>2层临街，全含，不可餐饮，底商</t>
    <phoneticPr fontId="134" type="noConversion"/>
  </si>
  <si>
    <t>龙回苑</t>
    <phoneticPr fontId="134" type="noConversion"/>
  </si>
  <si>
    <t>2层，不可餐饮</t>
    <phoneticPr fontId="134" type="noConversion"/>
  </si>
  <si>
    <t>龙禧苑二区</t>
    <phoneticPr fontId="134" type="noConversion"/>
  </si>
  <si>
    <t>1层，不临街，不可餐饮</t>
    <phoneticPr fontId="134" type="noConversion"/>
  </si>
  <si>
    <t>紫金新干线</t>
    <phoneticPr fontId="134" type="noConversion"/>
  </si>
  <si>
    <t>1层，临街，不可餐饮</t>
    <phoneticPr fontId="134" type="noConversion"/>
  </si>
  <si>
    <t>龙跃苑东二区</t>
    <phoneticPr fontId="30" type="noConversion"/>
  </si>
  <si>
    <t>比较法-商业</t>
  </si>
  <si>
    <t>佰嘉城</t>
    <phoneticPr fontId="134" type="noConversion"/>
  </si>
  <si>
    <t>售价</t>
    <phoneticPr fontId="3" type="noConversion"/>
  </si>
  <si>
    <t>比较法</t>
    <phoneticPr fontId="3" type="noConversion"/>
  </si>
  <si>
    <t>底商</t>
  </si>
  <si>
    <t>底商</t>
    <phoneticPr fontId="30" type="noConversion"/>
  </si>
  <si>
    <r>
      <t>1</t>
    </r>
    <r>
      <rPr>
        <sz val="11"/>
        <rFont val="宋体"/>
        <family val="3"/>
        <charset val="134"/>
      </rPr>
      <t>层</t>
    </r>
    <phoneticPr fontId="30" type="noConversion"/>
  </si>
  <si>
    <t>实际楼层</t>
    <phoneticPr fontId="30" type="noConversion"/>
  </si>
  <si>
    <r>
      <rPr>
        <sz val="11"/>
        <rFont val="宋体"/>
        <family val="3"/>
        <charset val="134"/>
      </rPr>
      <t>实际</t>
    </r>
    <r>
      <rPr>
        <sz val="11"/>
        <rFont val="Arial"/>
        <family val="2"/>
      </rPr>
      <t>1</t>
    </r>
    <r>
      <rPr>
        <sz val="11"/>
        <rFont val="宋体"/>
        <family val="3"/>
        <charset val="134"/>
      </rPr>
      <t>层单价</t>
    </r>
    <phoneticPr fontId="30" type="noConversion"/>
  </si>
  <si>
    <t>龙禧苑二区</t>
    <phoneticPr fontId="30" type="noConversion"/>
  </si>
  <si>
    <t>配套商业</t>
    <phoneticPr fontId="134" type="noConversion"/>
  </si>
  <si>
    <t>底商</t>
    <phoneticPr fontId="134" type="noConversion"/>
  </si>
  <si>
    <t>新龙城</t>
    <phoneticPr fontId="134" type="noConversion"/>
  </si>
  <si>
    <t>2006-2008</t>
    <phoneticPr fontId="30" type="noConversion"/>
  </si>
  <si>
    <t>较小</t>
  </si>
  <si>
    <t>精装修</t>
    <phoneticPr fontId="3" type="noConversion"/>
  </si>
  <si>
    <t>普通装修</t>
    <phoneticPr fontId="3" type="noConversion"/>
  </si>
  <si>
    <t>简单装修</t>
    <phoneticPr fontId="3" type="noConversion"/>
  </si>
  <si>
    <t>毛坯</t>
    <phoneticPr fontId="3" type="noConversion"/>
  </si>
  <si>
    <t>佰嘉城</t>
    <phoneticPr fontId="134" type="noConversion"/>
  </si>
  <si>
    <t>2005-2008</t>
    <phoneticPr fontId="30" type="noConversion"/>
  </si>
  <si>
    <t>紫金新干线</t>
    <phoneticPr fontId="134" type="noConversion"/>
  </si>
  <si>
    <t>2009-2010</t>
    <phoneticPr fontId="30" type="noConversion"/>
  </si>
  <si>
    <t>2002-2004</t>
    <phoneticPr fontId="30" type="noConversion"/>
  </si>
  <si>
    <t>紫金新干线</t>
    <phoneticPr fontId="30" type="noConversion"/>
  </si>
  <si>
    <t>1层，临街，不可餐饮，年租金24万，租约2036年到期</t>
    <phoneticPr fontId="134" type="noConversion"/>
  </si>
  <si>
    <t>龙跃苑东二区</t>
    <phoneticPr fontId="134" type="noConversion"/>
  </si>
  <si>
    <t>1层，临街，不可餐饮</t>
    <phoneticPr fontId="134" type="noConversion"/>
  </si>
  <si>
    <t>昌平区七北路42号院2号楼2层201、202、206、210共4套商业用房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</si>
</sst>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4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horizontal="center" vertical="center"/>
      <protection locked="0"/>
    </xf>
    <xf numFmtId="0" fontId="51" fillId="22" borderId="37" xfId="0" applyNumberFormat="1" applyFont="1" applyFill="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22" borderId="51" xfId="0" applyNumberFormat="1" applyFont="1" applyFill="1" applyBorder="1" applyAlignment="1" applyProtection="1">
      <alignment vertical="center" wrapText="1"/>
      <protection locked="0"/>
    </xf>
    <xf numFmtId="0" fontId="70" fillId="22" borderId="20" xfId="0" applyNumberFormat="1" applyFont="1" applyFill="1" applyBorder="1" applyAlignment="1" applyProtection="1">
      <alignment vertical="center" wrapText="1"/>
      <protection locked="0"/>
    </xf>
    <xf numFmtId="0" fontId="95" fillId="0" borderId="0" xfId="0" applyFont="1" applyAlignment="1">
      <alignment horizontal="left" vertical="center"/>
    </xf>
    <xf numFmtId="0" fontId="95" fillId="0" borderId="0" xfId="0" applyFont="1" applyAlignment="1">
      <alignment horizontal="left" vertical="center"/>
    </xf>
    <xf numFmtId="0" fontId="77" fillId="0"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19050</xdr:rowOff>
    </xdr:from>
    <xdr:to>
      <xdr:col>8</xdr:col>
      <xdr:colOff>75398</xdr:colOff>
      <xdr:row>34</xdr:row>
      <xdr:rowOff>28188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905000"/>
          <a:ext cx="6419048" cy="3095238"/>
        </a:xfrm>
        <a:prstGeom prst="rect">
          <a:avLst/>
        </a:prstGeom>
      </xdr:spPr>
    </xdr:pic>
    <xdr:clientData/>
  </xdr:twoCellAnchor>
  <xdr:twoCellAnchor editAs="oneCell">
    <xdr:from>
      <xdr:col>0</xdr:col>
      <xdr:colOff>0</xdr:colOff>
      <xdr:row>37</xdr:row>
      <xdr:rowOff>0</xdr:rowOff>
    </xdr:from>
    <xdr:to>
      <xdr:col>8</xdr:col>
      <xdr:colOff>37303</xdr:colOff>
      <xdr:row>55</xdr:row>
      <xdr:rowOff>37710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6380953" cy="3123810"/>
        </a:xfrm>
        <a:prstGeom prst="rect">
          <a:avLst/>
        </a:prstGeom>
      </xdr:spPr>
    </xdr:pic>
    <xdr:clientData/>
  </xdr:twoCellAnchor>
  <xdr:twoCellAnchor editAs="oneCell">
    <xdr:from>
      <xdr:col>8</xdr:col>
      <xdr:colOff>171450</xdr:colOff>
      <xdr:row>15</xdr:row>
      <xdr:rowOff>114300</xdr:rowOff>
    </xdr:from>
    <xdr:to>
      <xdr:col>17</xdr:col>
      <xdr:colOff>370679</xdr:colOff>
      <xdr:row>32</xdr:row>
      <xdr:rowOff>104412</xdr:rowOff>
    </xdr:to>
    <xdr:pic>
      <xdr:nvPicPr>
        <xdr:cNvPr id="4" name="图片 3"/>
        <xdr:cNvPicPr>
          <a:picLocks noChangeAspect="1"/>
        </xdr:cNvPicPr>
      </xdr:nvPicPr>
      <xdr:blipFill>
        <a:blip xmlns:r="http://schemas.openxmlformats.org/officeDocument/2006/relationships" r:embed="rId3"/>
        <a:stretch>
          <a:fillRect/>
        </a:stretch>
      </xdr:blipFill>
      <xdr:spPr>
        <a:xfrm>
          <a:off x="6515100" y="2000250"/>
          <a:ext cx="6371429" cy="2904762"/>
        </a:xfrm>
        <a:prstGeom prst="rect">
          <a:avLst/>
        </a:prstGeom>
      </xdr:spPr>
    </xdr:pic>
    <xdr:clientData/>
  </xdr:twoCellAnchor>
  <xdr:twoCellAnchor editAs="oneCell">
    <xdr:from>
      <xdr:col>8</xdr:col>
      <xdr:colOff>400050</xdr:colOff>
      <xdr:row>36</xdr:row>
      <xdr:rowOff>76200</xdr:rowOff>
    </xdr:from>
    <xdr:to>
      <xdr:col>17</xdr:col>
      <xdr:colOff>637374</xdr:colOff>
      <xdr:row>56</xdr:row>
      <xdr:rowOff>18629</xdr:rowOff>
    </xdr:to>
    <xdr:pic>
      <xdr:nvPicPr>
        <xdr:cNvPr id="5" name="图片 4"/>
        <xdr:cNvPicPr>
          <a:picLocks noChangeAspect="1"/>
        </xdr:cNvPicPr>
      </xdr:nvPicPr>
      <xdr:blipFill>
        <a:blip xmlns:r="http://schemas.openxmlformats.org/officeDocument/2006/relationships" r:embed="rId4"/>
        <a:stretch>
          <a:fillRect/>
        </a:stretch>
      </xdr:blipFill>
      <xdr:spPr>
        <a:xfrm>
          <a:off x="6743700" y="5562600"/>
          <a:ext cx="6409524" cy="3371429"/>
        </a:xfrm>
        <a:prstGeom prst="rect">
          <a:avLst/>
        </a:prstGeom>
      </xdr:spPr>
    </xdr:pic>
    <xdr:clientData/>
  </xdr:twoCellAnchor>
  <xdr:twoCellAnchor editAs="oneCell">
    <xdr:from>
      <xdr:col>9</xdr:col>
      <xdr:colOff>0</xdr:colOff>
      <xdr:row>57</xdr:row>
      <xdr:rowOff>0</xdr:rowOff>
    </xdr:from>
    <xdr:to>
      <xdr:col>18</xdr:col>
      <xdr:colOff>265896</xdr:colOff>
      <xdr:row>74</xdr:row>
      <xdr:rowOff>18684</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0" y="9086850"/>
          <a:ext cx="6438096" cy="2933334"/>
        </a:xfrm>
        <a:prstGeom prst="rect">
          <a:avLst/>
        </a:prstGeom>
      </xdr:spPr>
    </xdr:pic>
    <xdr:clientData/>
  </xdr:twoCellAnchor>
  <xdr:twoCellAnchor editAs="oneCell">
    <xdr:from>
      <xdr:col>9</xdr:col>
      <xdr:colOff>0</xdr:colOff>
      <xdr:row>75</xdr:row>
      <xdr:rowOff>0</xdr:rowOff>
    </xdr:from>
    <xdr:to>
      <xdr:col>18</xdr:col>
      <xdr:colOff>256372</xdr:colOff>
      <xdr:row>92</xdr:row>
      <xdr:rowOff>9160</xdr:rowOff>
    </xdr:to>
    <xdr:pic>
      <xdr:nvPicPr>
        <xdr:cNvPr id="7" name="图片 6"/>
        <xdr:cNvPicPr>
          <a:picLocks noChangeAspect="1"/>
        </xdr:cNvPicPr>
      </xdr:nvPicPr>
      <xdr:blipFill>
        <a:blip xmlns:r="http://schemas.openxmlformats.org/officeDocument/2006/relationships" r:embed="rId6"/>
        <a:stretch>
          <a:fillRect/>
        </a:stretch>
      </xdr:blipFill>
      <xdr:spPr>
        <a:xfrm>
          <a:off x="7029450" y="12172950"/>
          <a:ext cx="6428572" cy="2923810"/>
        </a:xfrm>
        <a:prstGeom prst="rect">
          <a:avLst/>
        </a:prstGeom>
      </xdr:spPr>
    </xdr:pic>
    <xdr:clientData/>
  </xdr:twoCellAnchor>
  <xdr:twoCellAnchor editAs="oneCell">
    <xdr:from>
      <xdr:col>9</xdr:col>
      <xdr:colOff>65756</xdr:colOff>
      <xdr:row>92</xdr:row>
      <xdr:rowOff>161925</xdr:rowOff>
    </xdr:from>
    <xdr:to>
      <xdr:col>20</xdr:col>
      <xdr:colOff>332110</xdr:colOff>
      <xdr:row>113</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7095206" y="15935325"/>
          <a:ext cx="7810154" cy="3438525"/>
        </a:xfrm>
        <a:prstGeom prst="rect">
          <a:avLst/>
        </a:prstGeom>
      </xdr:spPr>
    </xdr:pic>
    <xdr:clientData/>
  </xdr:twoCellAnchor>
  <xdr:twoCellAnchor editAs="oneCell">
    <xdr:from>
      <xdr:col>8</xdr:col>
      <xdr:colOff>600075</xdr:colOff>
      <xdr:row>114</xdr:row>
      <xdr:rowOff>28575</xdr:rowOff>
    </xdr:from>
    <xdr:to>
      <xdr:col>18</xdr:col>
      <xdr:colOff>123028</xdr:colOff>
      <xdr:row>130</xdr:row>
      <xdr:rowOff>171089</xdr:rowOff>
    </xdr:to>
    <xdr:pic>
      <xdr:nvPicPr>
        <xdr:cNvPr id="9" name="图片 8"/>
        <xdr:cNvPicPr>
          <a:picLocks noChangeAspect="1"/>
        </xdr:cNvPicPr>
      </xdr:nvPicPr>
      <xdr:blipFill>
        <a:blip xmlns:r="http://schemas.openxmlformats.org/officeDocument/2006/relationships" r:embed="rId8"/>
        <a:stretch>
          <a:fillRect/>
        </a:stretch>
      </xdr:blipFill>
      <xdr:spPr>
        <a:xfrm>
          <a:off x="6943725" y="19573875"/>
          <a:ext cx="6380953" cy="2885714"/>
        </a:xfrm>
        <a:prstGeom prst="rect">
          <a:avLst/>
        </a:prstGeom>
      </xdr:spPr>
    </xdr:pic>
    <xdr:clientData/>
  </xdr:twoCellAnchor>
  <xdr:twoCellAnchor editAs="oneCell">
    <xdr:from>
      <xdr:col>9</xdr:col>
      <xdr:colOff>0</xdr:colOff>
      <xdr:row>139</xdr:row>
      <xdr:rowOff>0</xdr:rowOff>
    </xdr:from>
    <xdr:to>
      <xdr:col>18</xdr:col>
      <xdr:colOff>227800</xdr:colOff>
      <xdr:row>157</xdr:row>
      <xdr:rowOff>123424</xdr:rowOff>
    </xdr:to>
    <xdr:pic>
      <xdr:nvPicPr>
        <xdr:cNvPr id="10" name="图片 9"/>
        <xdr:cNvPicPr>
          <a:picLocks noChangeAspect="1"/>
        </xdr:cNvPicPr>
      </xdr:nvPicPr>
      <xdr:blipFill>
        <a:blip xmlns:r="http://schemas.openxmlformats.org/officeDocument/2006/relationships" r:embed="rId9"/>
        <a:stretch>
          <a:fillRect/>
        </a:stretch>
      </xdr:blipFill>
      <xdr:spPr>
        <a:xfrm>
          <a:off x="7029450" y="23145750"/>
          <a:ext cx="6400000" cy="3209524"/>
        </a:xfrm>
        <a:prstGeom prst="rect">
          <a:avLst/>
        </a:prstGeom>
      </xdr:spPr>
    </xdr:pic>
    <xdr:clientData/>
  </xdr:twoCellAnchor>
  <xdr:twoCellAnchor editAs="oneCell">
    <xdr:from>
      <xdr:col>0</xdr:col>
      <xdr:colOff>0</xdr:colOff>
      <xdr:row>58</xdr:row>
      <xdr:rowOff>0</xdr:rowOff>
    </xdr:from>
    <xdr:to>
      <xdr:col>8</xdr:col>
      <xdr:colOff>75398</xdr:colOff>
      <xdr:row>75</xdr:row>
      <xdr:rowOff>113922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9258300"/>
          <a:ext cx="6419048" cy="3028572"/>
        </a:xfrm>
        <a:prstGeom prst="rect">
          <a:avLst/>
        </a:prstGeom>
      </xdr:spPr>
    </xdr:pic>
    <xdr:clientData/>
  </xdr:twoCellAnchor>
  <xdr:twoCellAnchor editAs="oneCell">
    <xdr:from>
      <xdr:col>0</xdr:col>
      <xdr:colOff>0</xdr:colOff>
      <xdr:row>77</xdr:row>
      <xdr:rowOff>0</xdr:rowOff>
    </xdr:from>
    <xdr:to>
      <xdr:col>8</xdr:col>
      <xdr:colOff>75398</xdr:colOff>
      <xdr:row>95</xdr:row>
      <xdr:rowOff>94853</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2515850"/>
          <a:ext cx="6419048" cy="3180953"/>
        </a:xfrm>
        <a:prstGeom prst="rect">
          <a:avLst/>
        </a:prstGeom>
      </xdr:spPr>
    </xdr:pic>
    <xdr:clientData/>
  </xdr:twoCellAnchor>
  <xdr:twoCellAnchor editAs="oneCell">
    <xdr:from>
      <xdr:col>0</xdr:col>
      <xdr:colOff>0</xdr:colOff>
      <xdr:row>97</xdr:row>
      <xdr:rowOff>0</xdr:rowOff>
    </xdr:from>
    <xdr:to>
      <xdr:col>8</xdr:col>
      <xdr:colOff>428625</xdr:colOff>
      <xdr:row>113</xdr:row>
      <xdr:rowOff>111779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16630650"/>
          <a:ext cx="6772275" cy="2854979"/>
        </a:xfrm>
        <a:prstGeom prst="rect">
          <a:avLst/>
        </a:prstGeom>
      </xdr:spPr>
    </xdr:pic>
    <xdr:clientData/>
  </xdr:twoCellAnchor>
  <xdr:twoCellAnchor editAs="oneCell">
    <xdr:from>
      <xdr:col>0</xdr:col>
      <xdr:colOff>0</xdr:colOff>
      <xdr:row>115</xdr:row>
      <xdr:rowOff>0</xdr:rowOff>
    </xdr:from>
    <xdr:to>
      <xdr:col>7</xdr:col>
      <xdr:colOff>666750</xdr:colOff>
      <xdr:row>130</xdr:row>
      <xdr:rowOff>145317</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19716750"/>
          <a:ext cx="6324600" cy="27170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351182</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952382"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北京市昌平区七北路42号院2号楼2层201、202、206、210共4套商业用房房地产抵押价值预评估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受贵公司委托，我公司对北京市昌平区七北路42号院2号楼2层201、202、206、210共4套商业用房房地产抵押价值进行了预评估。</v>
      </c>
    </row>
    <row r="7" spans="1:2" s="1202" customFormat="1">
      <c r="A7" s="1200" t="s">
        <v>566</v>
      </c>
      <c r="B7" s="1201" t="str">
        <f>'预评函-1'!A7</f>
        <v>估价对象为北京市昌平区七北路42号院2号楼2层201、202、206、210共4套商业用房房地产，为所有。根据《国有土地使用证》[]，估价对象（分摊）出让国有建设用地使用权面积为0平方米，建筑面积为224.79平方米。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昌平区七北路42号院2号楼2层201、202、206、210共4套商业用房房地产,属开发建设的综合项目（商业、办公），该项目尚在开发建设中。根据《国有土地使用证》[]，估价对象（分摊）出让国有建设用地使用权面积为0平方米，规划建筑面积为224.79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昌平区七北路42号院2号楼2层201、202、206、210共4套商业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2025年3月12日（评估专业人员实地查勘之日）</v>
      </c>
    </row>
    <row r="13" spans="1:2" s="1202" customFormat="1">
      <c r="A13" s="1200" t="s">
        <v>529</v>
      </c>
      <c r="B13" s="1201" t="str">
        <f>'预评函-1'!A18</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500</v>
      </c>
    </row>
    <row r="21" spans="1:2" s="1202" customFormat="1">
      <c r="A21" s="1200" t="s">
        <v>537</v>
      </c>
      <c r="B21" s="1201">
        <f ca="1">'预评函-2'!D7</f>
        <v>22231</v>
      </c>
    </row>
    <row r="22" spans="1:2" s="1202" customFormat="1">
      <c r="A22" s="1200" t="s">
        <v>538</v>
      </c>
      <c r="B22" s="1201" t="str">
        <f ca="1">'预评函-2'!D6</f>
        <v>伍佰万元整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500</v>
      </c>
    </row>
    <row r="31" spans="1:2" s="1202" customFormat="1">
      <c r="A31" s="1200" t="s">
        <v>576</v>
      </c>
      <c r="B31" s="1201">
        <f ca="1">'预评函-2'!D15</f>
        <v>22231</v>
      </c>
    </row>
    <row r="32" spans="1:2" s="1202" customFormat="1">
      <c r="A32" s="1200" t="s">
        <v>543</v>
      </c>
      <c r="B32" s="1201" t="str">
        <f ca="1">'预评函-2'!D14</f>
        <v>伍佰万元整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北京市昌平区七北路42号院2号楼2层201、202、206、210共4套商业用房房地产</v>
      </c>
    </row>
    <row r="42" spans="1:2" s="1202" customFormat="1">
      <c r="A42" s="1200" t="s">
        <v>590</v>
      </c>
      <c r="B42" s="1201" t="str">
        <f>'预评函-3'!B2</f>
        <v>建筑面积</v>
      </c>
    </row>
    <row r="43" spans="1:2" s="1202" customFormat="1">
      <c r="A43" s="1200" t="s">
        <v>591</v>
      </c>
      <c r="B43" s="1201">
        <f>'预评函-3'!B4</f>
        <v>224.79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355</v>
      </c>
    </row>
    <row r="48" spans="1:2" s="1202" customFormat="1">
      <c r="A48" s="1200" t="s">
        <v>549</v>
      </c>
      <c r="B48" s="1201">
        <f ca="1">'预评函-3'!E4</f>
        <v>15806</v>
      </c>
    </row>
    <row r="49" spans="1:2" s="1202" customFormat="1">
      <c r="A49" s="1200" t="s">
        <v>550</v>
      </c>
      <c r="B49" s="1201" t="str">
        <f ca="1">'预评函-3'!D5</f>
        <v>叁佰伍拾伍万元整</v>
      </c>
    </row>
    <row r="50" spans="1:2" s="1202" customFormat="1">
      <c r="A50" s="1200" t="s">
        <v>574</v>
      </c>
      <c r="B50" s="1201" t="str">
        <f>'预评函-3'!F2</f>
        <v>在建建筑物价值</v>
      </c>
    </row>
    <row r="51" spans="1:2" s="1202" customFormat="1">
      <c r="A51" s="1200" t="s">
        <v>551</v>
      </c>
      <c r="B51" s="1201">
        <f ca="1">'预评函-3'!F4</f>
        <v>144</v>
      </c>
    </row>
    <row r="52" spans="1:2" s="1202" customFormat="1">
      <c r="A52" s="1200" t="s">
        <v>552</v>
      </c>
      <c r="B52" s="1201">
        <f ca="1">'预评函-3'!G4</f>
        <v>6425</v>
      </c>
    </row>
    <row r="53" spans="1:2" s="1202" customFormat="1">
      <c r="A53" s="1200" t="s">
        <v>580</v>
      </c>
      <c r="B53" s="1201" t="str">
        <f ca="1">'预评函-3'!F5</f>
        <v>壹佰肆拾肆万元整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F22:G2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七北路42号院2号楼2层201、202、206、210共4套商业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3" t="s">
        <v>385</v>
      </c>
      <c r="C54" s="1550" t="s">
        <v>583</v>
      </c>
    </row>
    <row r="55" spans="1:4">
      <c r="A55" s="3529"/>
      <c r="B55" s="1553" t="s">
        <v>386</v>
      </c>
      <c r="C55" s="1550" t="s">
        <v>584</v>
      </c>
    </row>
    <row r="56" spans="1:4">
      <c r="A56" s="3529"/>
      <c r="B56" s="1553" t="s">
        <v>387</v>
      </c>
      <c r="C56" s="1550" t="s">
        <v>588</v>
      </c>
    </row>
    <row r="57" spans="1:4">
      <c r="A57" s="352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47" sqref="D47"/>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30" t="s">
        <v>2579</v>
      </c>
      <c r="J2" s="3530"/>
      <c r="K2" s="3530"/>
      <c r="L2" s="3530"/>
      <c r="M2" s="3530"/>
      <c r="N2" s="3530"/>
      <c r="O2" s="3530"/>
      <c r="P2" s="3530"/>
      <c r="Q2" s="3530"/>
      <c r="R2" s="3530"/>
    </row>
    <row r="3" spans="1:18">
      <c r="A3" s="3017" t="s">
        <v>2500</v>
      </c>
      <c r="B3" s="3018">
        <f>项目基本情况!D3</f>
        <v>45728</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1.77</v>
      </c>
      <c r="D5" s="3022">
        <f>IF(ISERROR(ROUND(POWER(1+E5,A5-C5)*(POWER(1+E5,C5)-1)/(POWER(1+E5,A5)-1),3)),0,ROUND(POWER(1+E5,A5-C5)*(POWER(1+E5,C5)-1)/(POWER(1+E5,A5)-1),4))</f>
        <v>8.4699999999999998E-2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11.78</v>
      </c>
      <c r="D6" s="3022">
        <f>IF(ISERROR(ROUND(POWER(1+E6,A6-C6)*(POWER(1+E6,C6)-1)/(POWER(1+E6,A6)-1),3)),0,ROUND(POWER(1+E6,A6-C6)*(POWER(1+E6,C6)-1)/(POWER(1+E6,A6)-1),4))</f>
        <v>0.43059999999999998</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31.79</v>
      </c>
      <c r="D7" s="3022">
        <f>IF(ISERROR(ROUND(POWER(1+E7,A7-C7)*(POWER(1+E7,C7)-1)/(POWER(1+E7,A7)-1),3)),0,ROUND(POWER(1+E7,A7-C7)*(POWER(1+E7,C7)-1)/(POWER(1+E7,A7)-1),4))</f>
        <v>0.76149999999999995</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1" t="str">
        <f>IF(B10="北京市","北京市",C10)&amp;F10&amp;IF(结果表!G1="在建","出让国有建设用地使用权及在建建筑物",IF(结果表!G1="土地","出让国有建设用地使用权",))&amp;B9&amp;"预评估"</f>
        <v>北京市昌平区七北路42号院2号楼2层201、202、206、210共4套商业用房房地产抵押价值预评估</v>
      </c>
      <c r="C1" s="3532"/>
      <c r="D1" s="3532"/>
      <c r="E1" s="3532"/>
      <c r="F1" s="3532"/>
      <c r="G1" s="3532"/>
      <c r="H1" s="3532"/>
      <c r="I1" s="3533"/>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北京市昌平区七北路42号院2号楼2层201、202、206、210共4套商业用房房地产抵押价值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北京市昌平区七北路42号院2号楼2层201、202、206、210共4套商业用房房地产</v>
      </c>
      <c r="T2" s="1744"/>
      <c r="U2" s="1744"/>
      <c r="V2" s="1744"/>
      <c r="W2" s="1744"/>
      <c r="X2" s="1744"/>
      <c r="Y2" s="1744"/>
      <c r="Z2" s="1744"/>
      <c r="AA2" s="1744"/>
      <c r="AB2" s="1744"/>
    </row>
    <row r="3" spans="1:30">
      <c r="A3" s="302" t="s">
        <v>2169</v>
      </c>
      <c r="B3" s="2372">
        <v>45728</v>
      </c>
      <c r="C3" s="2373" t="s">
        <v>2170</v>
      </c>
      <c r="D3" s="2372">
        <f>B3</f>
        <v>45728</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3491</v>
      </c>
      <c r="C4" s="2375">
        <f ca="1">SUMIF(注册房地产估价师,B4,估价师及机构信息!B3:B24)</f>
        <v>1120070131</v>
      </c>
      <c r="D4" s="2374" t="s">
        <v>3499</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34"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35"/>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3567</v>
      </c>
      <c r="G10" s="2664"/>
      <c r="H10" s="2665"/>
      <c r="I10" s="2666"/>
      <c r="J10" s="2437"/>
      <c r="K10" s="2614"/>
      <c r="L10" s="2611"/>
      <c r="M10" s="2611"/>
      <c r="N10" s="2437"/>
      <c r="O10" s="2448"/>
      <c r="P10" s="2437"/>
      <c r="Q10" s="2437"/>
      <c r="R10" s="2437"/>
    </row>
    <row r="11" spans="1:30">
      <c r="A11" s="2399" t="s">
        <v>2180</v>
      </c>
      <c r="B11" s="2400" t="s">
        <v>3463</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v>55985</v>
      </c>
      <c r="E13" s="855"/>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f>IF(A13="出让",IF(D13="","",ROUNDDOWN(MIN((D13-$D$3)/365,D14),2)),D14)</f>
        <v>28.1</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41"/>
      <c r="C16" s="3542"/>
      <c r="D16" s="3543"/>
      <c r="E16" s="2411" t="s">
        <v>2193</v>
      </c>
      <c r="F16" s="3544"/>
      <c r="G16" s="3545"/>
      <c r="H16" s="3545"/>
      <c r="I16" s="3546"/>
      <c r="J16" s="2437"/>
      <c r="K16" s="2615"/>
      <c r="L16" s="2449"/>
      <c r="M16" s="2449"/>
      <c r="N16" s="2507"/>
      <c r="O16" s="2449"/>
      <c r="P16" s="2507"/>
      <c r="Q16" s="2437"/>
      <c r="R16" s="2437"/>
    </row>
    <row r="17" spans="1:28">
      <c r="A17" s="313" t="s">
        <v>2194</v>
      </c>
      <c r="B17" s="302" t="s">
        <v>2195</v>
      </c>
      <c r="C17" s="8">
        <f>'数据-汇总表'!E3</f>
        <v>224.79</v>
      </c>
      <c r="D17" s="2321" t="s">
        <v>2196</v>
      </c>
      <c r="E17" s="3547" t="s">
        <v>2197</v>
      </c>
      <c r="F17" s="3548"/>
      <c r="G17" s="3548"/>
      <c r="H17" s="3548"/>
      <c r="I17" s="3549"/>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50" t="s">
        <v>2201</v>
      </c>
      <c r="F18" s="3551"/>
      <c r="G18" s="3551"/>
      <c r="H18" s="3551"/>
      <c r="I18" s="3552"/>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7" t="s">
        <v>2205</v>
      </c>
      <c r="C20" s="3538"/>
      <c r="D20" s="3539" t="s">
        <v>2206</v>
      </c>
      <c r="E20" s="3540"/>
      <c r="F20" s="2645" t="s">
        <v>1056</v>
      </c>
      <c r="G20" s="2662"/>
      <c r="H20" s="2662"/>
      <c r="I20" s="2662"/>
      <c r="J20" s="2437"/>
      <c r="K20" s="353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4" t="s">
        <v>2213</v>
      </c>
      <c r="B27" s="320" t="s">
        <v>2214</v>
      </c>
      <c r="C27" s="2414" t="s">
        <v>3508</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4"/>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4"/>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5"/>
      <c r="B30" s="302" t="s">
        <v>2217</v>
      </c>
      <c r="C30" s="3556"/>
      <c r="D30" s="3557"/>
      <c r="E30" s="2662"/>
      <c r="F30" s="2662"/>
      <c r="G30" s="2662"/>
      <c r="H30" s="2662"/>
      <c r="I30" s="2662"/>
      <c r="J30" s="2437"/>
      <c r="K30" s="2614"/>
      <c r="L30" s="2611"/>
      <c r="M30" s="2611"/>
      <c r="N30" s="2437"/>
      <c r="O30" s="2448"/>
      <c r="P30" s="2437"/>
      <c r="Q30" s="2437"/>
      <c r="R30" s="2437"/>
      <c r="S30" s="2437"/>
      <c r="T30" s="2437"/>
      <c r="U30" s="2437"/>
      <c r="V30" s="2437"/>
    </row>
    <row r="31" spans="1:28">
      <c r="A31" s="3558"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9"/>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9"/>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53" t="s">
        <v>2227</v>
      </c>
      <c r="T34" s="2426" t="str">
        <f>NUMBERSTRING(7-K34,1)&amp;"通"</f>
        <v>七通</v>
      </c>
      <c r="U34" s="2437"/>
      <c r="V34" s="2437"/>
    </row>
    <row r="35" spans="1:30">
      <c r="A35" s="2427"/>
      <c r="B35" s="3560" t="s">
        <v>2228</v>
      </c>
      <c r="C35" s="3560"/>
      <c r="D35" s="3560"/>
      <c r="E35" s="3560"/>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3"/>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288</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224.79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224.79</v>
      </c>
      <c r="H5" s="13">
        <f t="shared" ref="H5:AT5" si="0">SUM(H13:H656)</f>
        <v>224.79</v>
      </c>
      <c r="I5" s="13">
        <f t="shared" si="0"/>
        <v>224.79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224.79</v>
      </c>
      <c r="BA5" s="15">
        <f t="shared" si="1"/>
        <v>224.79</v>
      </c>
      <c r="BB5" s="15">
        <f t="shared" si="1"/>
        <v>224.79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224.79</v>
      </c>
      <c r="H13" s="17">
        <f>SUMIF(I$12:AB$12,"总值",I13:AB13)</f>
        <v>224.79</v>
      </c>
      <c r="I13" s="1625">
        <v>224.79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224.79</v>
      </c>
      <c r="BA13" s="13">
        <f>SUM(BB13:BK13)</f>
        <v>224.79</v>
      </c>
      <c r="BB13" s="13">
        <f>IF($D13="是",I13-J13,0)</f>
        <v>224.79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70" t="s">
        <v>1131</v>
      </c>
      <c r="B2" s="3570"/>
      <c r="C2" s="3570"/>
      <c r="D2" s="795" t="s">
        <v>1107</v>
      </c>
      <c r="E2" s="1638" t="s">
        <v>1108</v>
      </c>
      <c r="F2" s="2657"/>
      <c r="G2" s="2648"/>
      <c r="H2" s="2649"/>
      <c r="I2" s="2324" t="s">
        <v>1132</v>
      </c>
      <c r="J2" s="2657"/>
      <c r="K2" s="2657"/>
      <c r="L2" s="2657"/>
      <c r="M2" s="2657"/>
      <c r="N2" s="2659"/>
      <c r="O2" s="2657"/>
      <c r="P2" s="2657"/>
    </row>
    <row r="3" spans="1:16" ht="15.75" thickBot="1">
      <c r="A3" s="3571" t="s">
        <v>1105</v>
      </c>
      <c r="B3" s="3571"/>
      <c r="C3" s="3571"/>
      <c r="D3" s="43">
        <f>'数据-基础表'!AY6</f>
        <v>0</v>
      </c>
      <c r="E3" s="43">
        <f>'数据-基础表'!AZ5</f>
        <v>224.79</v>
      </c>
      <c r="F3" s="2657"/>
      <c r="G3" s="1144"/>
      <c r="H3" s="1025" t="s">
        <v>1106</v>
      </c>
      <c r="I3" s="854" t="e">
        <f>ROUND('数据-基础表'!B3/'数据-基础表'!A3,2)</f>
        <v>#DIV/0!</v>
      </c>
      <c r="J3" s="2657"/>
      <c r="K3" s="2657"/>
      <c r="L3" s="2657"/>
      <c r="M3" s="2657"/>
      <c r="N3" s="2659"/>
      <c r="O3" s="2657"/>
      <c r="P3" s="2657"/>
    </row>
    <row r="4" spans="1:16" ht="15">
      <c r="A4" s="3572"/>
      <c r="B4" s="3573"/>
      <c r="C4" s="3574"/>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75" t="s">
        <v>1110</v>
      </c>
      <c r="C5" s="3575"/>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75" t="s">
        <v>1111</v>
      </c>
      <c r="C6" s="3575"/>
      <c r="D6" s="45">
        <f>ROUND($D$3*E6/$E$3,2)</f>
        <v>0</v>
      </c>
      <c r="E6" s="46">
        <f>E3-E5</f>
        <v>224.79</v>
      </c>
      <c r="F6" s="2657"/>
      <c r="G6" s="2651" t="s">
        <v>1112</v>
      </c>
      <c r="H6" s="1145" t="s">
        <v>1113</v>
      </c>
      <c r="I6" s="2652" t="e">
        <f>ROUND(F31/D31,2)</f>
        <v>#DIV/0!</v>
      </c>
      <c r="J6" s="2657"/>
      <c r="K6" s="2657"/>
      <c r="L6" s="2657"/>
      <c r="M6" s="2657"/>
      <c r="N6" s="2657"/>
      <c r="O6" s="2657"/>
      <c r="P6" s="2657"/>
    </row>
    <row r="7" spans="1:16" ht="15.75" thickBot="1">
      <c r="A7" s="3567"/>
      <c r="B7" s="3568"/>
      <c r="C7" s="3569"/>
      <c r="D7" s="1640" t="s">
        <v>1107</v>
      </c>
      <c r="E7" s="1644"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224.79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224.79</v>
      </c>
      <c r="F16" s="2657"/>
      <c r="G16" s="2658"/>
      <c r="H16" s="1647" t="s">
        <v>1135</v>
      </c>
      <c r="I16" s="1648"/>
      <c r="J16" s="1138"/>
      <c r="K16" s="3564" t="s">
        <v>1135</v>
      </c>
      <c r="L16" s="3565"/>
      <c r="M16" s="3565"/>
      <c r="N16" s="3565"/>
      <c r="O16" s="3565"/>
      <c r="P16" s="3566"/>
    </row>
    <row r="17" spans="1:19" ht="15">
      <c r="A17" s="1649" t="s">
        <v>1136</v>
      </c>
      <c r="B17" s="1650" t="s">
        <v>1137</v>
      </c>
      <c r="C17" s="1651" t="s">
        <v>1138</v>
      </c>
      <c r="D17" s="1652" t="s">
        <v>1126</v>
      </c>
      <c r="E17" s="1653" t="s">
        <v>1127</v>
      </c>
      <c r="F17" s="1654"/>
      <c r="G17" s="1655"/>
      <c r="H17" s="1656" t="s">
        <v>1139</v>
      </c>
      <c r="I17" s="1657" t="s">
        <v>1124</v>
      </c>
      <c r="J17" s="1138"/>
      <c r="K17" s="3561" t="s">
        <v>1140</v>
      </c>
      <c r="L17" s="3562"/>
      <c r="M17" s="3563"/>
      <c r="N17" s="3561" t="s">
        <v>1141</v>
      </c>
      <c r="O17" s="3562"/>
      <c r="P17" s="356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3516</v>
      </c>
      <c r="D19" s="45">
        <f>ROUND($D$3*E19/$E$3,2)</f>
        <v>0</v>
      </c>
      <c r="E19" s="53">
        <f t="shared" ref="E19:E26" si="1">SUM(F19:G19)</f>
        <v>224.79</v>
      </c>
      <c r="F19" s="2792">
        <f>'数据-基础表'!B3</f>
        <v>224.79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224.79</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224.79</v>
      </c>
      <c r="F27" s="1139">
        <f>IF(SUM(F19:F26)=E8,SUM(F19:F26),"地上面积有误")</f>
        <v>224.79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224.79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224.79</v>
      </c>
      <c r="F31" s="676">
        <f>F27+F30</f>
        <v>224.79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45728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2层201商业</v>
      </c>
      <c r="B6" s="1712" t="str">
        <f>IF(A6=0,"","经营性")</f>
        <v>经营性</v>
      </c>
      <c r="C6" s="1713" t="s">
        <v>673</v>
      </c>
      <c r="D6" s="857">
        <f>SUMIF(项目基本情况!C$12:I$12,C6,项目基本情况!C$14:I$14)</f>
        <v>40</v>
      </c>
      <c r="E6" s="856">
        <f>IF(B6="","",SUMIF(项目基本情况!C$12:I$12,C6,项目基本情况!C$13:I$13))</f>
        <v>55985</v>
      </c>
      <c r="F6" s="64">
        <f>SUMIF(项目基本情况!C$12:I$12,C6,项目基本情况!C$15:I$15)</f>
        <v>28.1</v>
      </c>
      <c r="G6" s="65">
        <f>IF(ISERROR(ROUND(POWER(1+H6,D6-F6)*(POWER(1+H6,F6)-1)/(POWER(1+H6,D6)-1),3)),0,ROUND(POWER(1+H6,D6-F6)*(POWER(1+H6,F6)-1)/(POWER(1+H6,D6)-1),3))</f>
        <v>0.87</v>
      </c>
      <c r="H6" s="731">
        <v>0.05</v>
      </c>
      <c r="I6" s="731">
        <v>5.5E-2</v>
      </c>
      <c r="J6" s="66">
        <v>7.0000000000000007E-2</v>
      </c>
      <c r="K6" s="1029">
        <f>SUMIF('数据-汇总表'!C$19:C$33,A6,'数据-汇总表'!E$19:E$33)</f>
        <v>224.79</v>
      </c>
      <c r="L6" s="732">
        <v>4000</v>
      </c>
      <c r="M6" s="67">
        <f t="shared" ref="M6:M14" si="0">ROUND(K6*L6/10000,0)</f>
        <v>90</v>
      </c>
      <c r="N6" s="730">
        <f>N19</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f>U26</f>
        <v>3.7</v>
      </c>
      <c r="V6" s="70">
        <v>0.02</v>
      </c>
      <c r="W6" s="70">
        <v>0.1</v>
      </c>
      <c r="X6" s="1039"/>
      <c r="Y6" s="71">
        <f>N6</f>
        <v>0.83</v>
      </c>
      <c r="Z6" s="72"/>
      <c r="AA6" s="66"/>
      <c r="AB6" s="66"/>
      <c r="AC6" s="1039"/>
      <c r="AD6" s="73"/>
      <c r="AE6" s="1040">
        <f ca="1">IF(AN6="",0,SUMIF(INDIRECT("'"&amp;AN6&amp;"'"&amp;"!E:E"),$AE$5,INDIRECT("'"&amp;AN6&amp;"'"&amp;"!F:F")))</f>
        <v>28.1</v>
      </c>
      <c r="AF6" s="1347"/>
      <c r="AG6" s="138">
        <f>IF(AF6="",0,AE6-AF6)</f>
        <v>0</v>
      </c>
      <c r="AH6" s="74"/>
      <c r="AI6" s="76">
        <v>365</v>
      </c>
      <c r="AJ6" s="77"/>
      <c r="AK6" s="78">
        <v>5.0000000000000001E-3</v>
      </c>
      <c r="AL6" s="79">
        <v>1E-3</v>
      </c>
      <c r="AM6" s="80">
        <v>0.01</v>
      </c>
      <c r="AN6" s="1714" t="s">
        <v>3412</v>
      </c>
      <c r="AO6" s="52">
        <f ca="1">SUMIF(INDIRECT("'"&amp;AN6&amp;"'"&amp;"!A:A"),"总价",INDIRECT("'"&amp;AN6&amp;"'"&amp;"!B:B"))</f>
        <v>387.68180000000001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0.87</v>
      </c>
      <c r="H16" s="90">
        <f>ROUND(SUMPRODUCT(H6:H13,K6:K13)/SUMPRODUCT((H6:H13&gt;0)*(K6:K13)),3)</f>
        <v>0.05</v>
      </c>
      <c r="I16" s="91"/>
      <c r="J16" s="91"/>
      <c r="K16" s="92">
        <f>SUM(K6:K15)</f>
        <v>224.79</v>
      </c>
      <c r="L16" s="93">
        <f>ROUND(M16*10000/SUM(K6:K14),0)</f>
        <v>4004</v>
      </c>
      <c r="M16" s="93">
        <f>SUM(M6:M14)</f>
        <v>90</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3464</v>
      </c>
      <c r="N18" s="793">
        <v>2015</v>
      </c>
      <c r="O18" s="2668"/>
      <c r="P18" s="2668"/>
      <c r="Q18" s="2668">
        <f>Q16/B20</f>
        <v>7.4999999999999997E-2</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3411</v>
      </c>
      <c r="N19" s="3457">
        <f>ROUND(1-(1-0%)*(2025-N18)/60,2)</f>
        <v>0.83</v>
      </c>
      <c r="O19" s="2668"/>
      <c r="P19" s="2668"/>
      <c r="Q19" s="2668"/>
      <c r="R19" s="2668"/>
      <c r="S19" s="2668"/>
      <c r="T19" s="2668"/>
      <c r="U19" s="3455"/>
      <c r="V19" s="3455" t="s">
        <v>3542</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3492</v>
      </c>
      <c r="N20" s="3457"/>
      <c r="O20" s="2668"/>
      <c r="P20" s="2668"/>
      <c r="Q20" s="2668"/>
      <c r="R20" s="2668"/>
      <c r="S20" s="2668"/>
      <c r="T20" s="3457"/>
      <c r="U20" s="3456" t="s">
        <v>3541</v>
      </c>
      <c r="V20" s="3456">
        <f>'比较法-商业'!C49</f>
        <v>25555</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3493</v>
      </c>
      <c r="N21" s="3457">
        <f>ROUND((N19+N20)/2,2)</f>
        <v>0.42</v>
      </c>
      <c r="O21" s="2668"/>
      <c r="P21" s="2668"/>
      <c r="Q21" s="2668"/>
      <c r="R21" s="2668"/>
      <c r="S21" s="2668"/>
      <c r="T21" s="3457"/>
      <c r="U21" s="3456" t="s">
        <v>3513</v>
      </c>
      <c r="V21" s="3457">
        <f>U26</f>
        <v>3.7</v>
      </c>
      <c r="W21" s="3458">
        <f>V21*365/V20</f>
        <v>5.2846801017413424E-2</v>
      </c>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3830" t="s">
        <v>3511</v>
      </c>
      <c r="T24" s="3830" t="s">
        <v>3512</v>
      </c>
      <c r="U24" s="3830" t="s">
        <v>3513</v>
      </c>
      <c r="V24" s="3839" t="s">
        <v>3541</v>
      </c>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9">
        <v>1</v>
      </c>
      <c r="T25" s="3830">
        <v>1</v>
      </c>
      <c r="U25" s="2669">
        <f>'比较法-租金商业'!C49</f>
        <v>4.9000000000000004</v>
      </c>
      <c r="V25" s="3457">
        <v>37000</v>
      </c>
      <c r="W25" s="3457">
        <f>U25*365/V25</f>
        <v>4.8337837837837842E-2</v>
      </c>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9">
        <v>2</v>
      </c>
      <c r="T26" s="2669">
        <v>0.75</v>
      </c>
      <c r="U26" s="2669">
        <f>ROUND(U25*T26,1)</f>
        <v>3.7</v>
      </c>
      <c r="V26" s="2668">
        <f>V25*T26</f>
        <v>27750</v>
      </c>
      <c r="W26" s="3457">
        <f>U26*365/V26</f>
        <v>4.8666666666666664E-2</v>
      </c>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9"/>
      <c r="T27" s="2669"/>
      <c r="U27" s="2669"/>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5.000000000000001E-3</v>
      </c>
      <c r="C43" s="2675"/>
      <c r="D43" s="2673"/>
      <c r="E43" s="346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0.05</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6" t="s">
        <v>2285</v>
      </c>
      <c r="B1" s="3577"/>
      <c r="C1" s="3577"/>
      <c r="D1" s="3577"/>
      <c r="E1" s="3577"/>
      <c r="F1" s="3577"/>
      <c r="G1" s="357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C18" sqref="C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1213.18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45728</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2686</v>
      </c>
      <c r="C5" s="2510">
        <f ca="1">IF(B5=D14,结果表!H102,ROUND(B5*10000/$B$1,0))</f>
        <v>22231</v>
      </c>
      <c r="D5" s="2510" t="e">
        <f ca="1">ROUND(B5*10000/$B$2,0)</f>
        <v>#DIV/0!</v>
      </c>
      <c r="E5" s="2683"/>
      <c r="F5" s="2684"/>
      <c r="G5" s="2684"/>
      <c r="H5" s="2685"/>
      <c r="I5" s="2685"/>
      <c r="J5" s="2685"/>
      <c r="K5" s="2685"/>
    </row>
    <row r="6" spans="1:11" ht="16.5">
      <c r="A6" s="2510" t="s">
        <v>656</v>
      </c>
      <c r="B6" s="2510">
        <f ca="1">SUM(G14:G23)</f>
        <v>2686</v>
      </c>
      <c r="C6" s="2510">
        <f ca="1">IF(B6=G14,结果表!H108,ROUND(B6*10000/$B$1,0))</f>
        <v>22231</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典型户型修正!B22</f>
        <v>1213.18</v>
      </c>
      <c r="C14" s="2516"/>
      <c r="D14" s="2516">
        <f ca="1">典型户型修正!S22</f>
        <v>2686</v>
      </c>
      <c r="E14" s="2516">
        <f ca="1">结果表!G20</f>
        <v>22231</v>
      </c>
      <c r="F14" s="2516" t="e">
        <f ca="1">ROUND(D14*10000/C14,0)</f>
        <v>#DIV/0!</v>
      </c>
      <c r="G14" s="2516">
        <f ca="1">D14</f>
        <v>2686</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45" t="str">
        <f>项目基本情况!S2</f>
        <v>北京市昌平区七北路42号院2号楼2层201、202、206、210共4套商业用房房地产</v>
      </c>
      <c r="B2" s="3646"/>
      <c r="C2" s="3646"/>
      <c r="D2" s="3646"/>
      <c r="E2" s="3646"/>
      <c r="F2" s="3646"/>
      <c r="G2" s="3646"/>
      <c r="H2" s="3646"/>
      <c r="I2" s="3647"/>
    </row>
    <row r="3" spans="1:12" ht="12.75">
      <c r="A3" s="3649" t="s">
        <v>1264</v>
      </c>
      <c r="B3" s="3650"/>
      <c r="C3" s="3650"/>
      <c r="D3" s="3650"/>
      <c r="E3" s="3650"/>
      <c r="F3" s="3650"/>
      <c r="G3" s="3650"/>
      <c r="H3" s="3650"/>
      <c r="I3" s="3650"/>
    </row>
    <row r="4" spans="1:12" ht="14.25">
      <c r="A4" s="1753" t="s">
        <v>1265</v>
      </c>
      <c r="B4" s="1754" t="s">
        <v>1266</v>
      </c>
      <c r="C4" s="1755" t="s">
        <v>3539</v>
      </c>
      <c r="D4" s="1755" t="s">
        <v>3412</v>
      </c>
      <c r="E4" s="3654" t="s">
        <v>1267</v>
      </c>
      <c r="F4" s="3655"/>
      <c r="G4" s="3655"/>
      <c r="H4" s="3655"/>
      <c r="I4" s="365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3" t="s">
        <v>1268</v>
      </c>
      <c r="B5" s="3648">
        <v>25</v>
      </c>
      <c r="C5" s="3651"/>
      <c r="D5" s="3639"/>
      <c r="E5" s="131" t="s">
        <v>1269</v>
      </c>
      <c r="F5" s="1756"/>
      <c r="G5" s="1756"/>
      <c r="H5" s="1756"/>
      <c r="I5" s="1372"/>
    </row>
    <row r="6" spans="1:12" ht="12.75">
      <c r="A6" s="3593"/>
      <c r="B6" s="3648"/>
      <c r="C6" s="3653"/>
      <c r="D6" s="3639"/>
      <c r="E6" s="131" t="s">
        <v>1270</v>
      </c>
      <c r="F6" s="1756"/>
      <c r="G6" s="1756"/>
      <c r="H6" s="1756"/>
      <c r="I6" s="1372"/>
    </row>
    <row r="7" spans="1:12" ht="12.75">
      <c r="A7" s="3593"/>
      <c r="B7" s="3648"/>
      <c r="C7" s="3652"/>
      <c r="D7" s="3639"/>
      <c r="E7" s="131" t="s">
        <v>1271</v>
      </c>
      <c r="F7" s="1756"/>
      <c r="G7" s="1756"/>
      <c r="H7" s="1756"/>
      <c r="I7" s="1372"/>
    </row>
    <row r="8" spans="1:12" ht="12.75">
      <c r="A8" s="3593" t="s">
        <v>1272</v>
      </c>
      <c r="B8" s="3648">
        <v>15</v>
      </c>
      <c r="C8" s="3651"/>
      <c r="D8" s="3639"/>
      <c r="E8" s="131" t="s">
        <v>1273</v>
      </c>
      <c r="F8" s="1756"/>
      <c r="G8" s="1756"/>
      <c r="H8" s="1756"/>
      <c r="I8" s="1372"/>
    </row>
    <row r="9" spans="1:12" ht="12.75">
      <c r="A9" s="3593"/>
      <c r="B9" s="3648"/>
      <c r="C9" s="3652"/>
      <c r="D9" s="3639"/>
      <c r="E9" s="131" t="s">
        <v>1274</v>
      </c>
      <c r="F9" s="1756"/>
      <c r="G9" s="1756"/>
      <c r="H9" s="1756"/>
      <c r="I9" s="1372"/>
    </row>
    <row r="10" spans="1:12" ht="12.75">
      <c r="A10" s="3593" t="s">
        <v>1275</v>
      </c>
      <c r="B10" s="3648">
        <v>15</v>
      </c>
      <c r="C10" s="3651"/>
      <c r="D10" s="3639"/>
      <c r="E10" s="131" t="s">
        <v>1276</v>
      </c>
      <c r="F10" s="1756"/>
      <c r="G10" s="1756"/>
      <c r="H10" s="1756"/>
      <c r="I10" s="1372"/>
    </row>
    <row r="11" spans="1:12" ht="12.75">
      <c r="A11" s="3593"/>
      <c r="B11" s="3648"/>
      <c r="C11" s="3652"/>
      <c r="D11" s="3639"/>
      <c r="E11" s="131" t="s">
        <v>1277</v>
      </c>
      <c r="F11" s="1756"/>
      <c r="G11" s="1756"/>
      <c r="H11" s="1756"/>
      <c r="I11" s="1372"/>
    </row>
    <row r="12" spans="1:12" ht="12.75">
      <c r="A12" s="3593" t="s">
        <v>1278</v>
      </c>
      <c r="B12" s="3648">
        <v>15</v>
      </c>
      <c r="C12" s="3651"/>
      <c r="D12" s="3639"/>
      <c r="E12" s="131" t="s">
        <v>1279</v>
      </c>
      <c r="F12" s="1756"/>
      <c r="G12" s="1756"/>
      <c r="H12" s="1756"/>
      <c r="I12" s="1372"/>
    </row>
    <row r="13" spans="1:12" ht="12.75">
      <c r="A13" s="3593"/>
      <c r="B13" s="3648"/>
      <c r="C13" s="3652"/>
      <c r="D13" s="3639"/>
      <c r="E13" s="131" t="s">
        <v>1280</v>
      </c>
      <c r="F13" s="1756"/>
      <c r="G13" s="1756"/>
      <c r="H13" s="1756"/>
      <c r="I13" s="1372"/>
    </row>
    <row r="14" spans="1:12" ht="12.75">
      <c r="A14" s="3593" t="s">
        <v>1281</v>
      </c>
      <c r="B14" s="3648">
        <v>30</v>
      </c>
      <c r="C14" s="3651">
        <v>6</v>
      </c>
      <c r="D14" s="3639">
        <v>4</v>
      </c>
      <c r="E14" s="131" t="s">
        <v>1282</v>
      </c>
      <c r="F14" s="1756"/>
      <c r="G14" s="1756"/>
      <c r="H14" s="1756"/>
      <c r="I14" s="1372"/>
    </row>
    <row r="15" spans="1:12" ht="12.75">
      <c r="A15" s="3593"/>
      <c r="B15" s="3648"/>
      <c r="C15" s="3653"/>
      <c r="D15" s="3639"/>
      <c r="E15" s="131" t="s">
        <v>1283</v>
      </c>
      <c r="F15" s="1756"/>
      <c r="G15" s="1756"/>
      <c r="H15" s="1756"/>
      <c r="I15" s="1372"/>
    </row>
    <row r="16" spans="1:12" ht="12.75">
      <c r="A16" s="3593"/>
      <c r="B16" s="3648"/>
      <c r="C16" s="3652"/>
      <c r="D16" s="363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70" t="s">
        <v>2130</v>
      </c>
      <c r="F18" s="3671"/>
      <c r="G18" s="3671"/>
      <c r="H18" s="3671"/>
      <c r="I18" s="3671"/>
      <c r="K18" s="302" t="s">
        <v>1289</v>
      </c>
      <c r="L18" s="302">
        <f>IF(C1="",'数据-汇总表'!E3,SUMIF(项目类型,C1,'数据-汇总表'!E17:E26)+SUMIF(项目类型,C1,'数据-汇总表'!I17:I26))</f>
        <v>224.79</v>
      </c>
      <c r="M18" s="302">
        <f>IF(C1="",'数据-汇总表'!E3,SUMIF(项目类型,C1,'数据-汇总表'!E17:E26))</f>
        <v>224.79</v>
      </c>
    </row>
    <row r="19" spans="1:36" ht="15">
      <c r="A19" s="1760" t="s">
        <v>1290</v>
      </c>
      <c r="B19" s="1761" t="s">
        <v>1291</v>
      </c>
      <c r="C19" s="134">
        <f ca="1">SUMIF(INDIRECT("'"&amp;C4&amp;"'"&amp;"!A:A"),结果表!B19,INDIRECT("'"&amp;C4&amp;"'"&amp;"!B:B"))</f>
        <v>574.45079999999996</v>
      </c>
      <c r="D19" s="135">
        <f ca="1">SUMIF(INDIRECT("'"&amp;D4&amp;"'"&amp;"!A:A"),结果表!B19,INDIRECT("'"&amp;D4&amp;"'"&amp;"!B:B"))</f>
        <v>387.68180000000001</v>
      </c>
      <c r="E19" s="1760" t="s">
        <v>1292</v>
      </c>
      <c r="F19" s="1761" t="s">
        <v>1291</v>
      </c>
      <c r="G19" s="136">
        <f ca="1">ROUND(C19*$C$18+D19*$D$18,0)</f>
        <v>500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25555</v>
      </c>
      <c r="D20" s="138">
        <f ca="1">SUMIF(INDIRECT("'"&amp;D4&amp;"'"&amp;"!A:A"),结果表!B20,INDIRECT("'"&amp;D4&amp;"'"&amp;"!B:B"))</f>
        <v>17246</v>
      </c>
      <c r="E20" s="1763"/>
      <c r="F20" s="1025" t="s">
        <v>1295</v>
      </c>
      <c r="G20" s="139">
        <f ca="1">ROUND(C20*$C$18+D20*$D$18,0)</f>
        <v>22231</v>
      </c>
      <c r="H20" s="807" t="s">
        <v>1296</v>
      </c>
      <c r="I20" s="129"/>
      <c r="J20" s="724">
        <v>21000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0.48175849369250745</v>
      </c>
      <c r="E22" s="129"/>
      <c r="F22" s="129"/>
      <c r="G22" s="129"/>
      <c r="H22" s="129"/>
      <c r="I22" s="129"/>
    </row>
    <row r="23" spans="1:36" ht="13.5" thickBot="1">
      <c r="A23" s="1746"/>
      <c r="B23" s="1746"/>
      <c r="C23" s="1746"/>
      <c r="D23" s="1746"/>
      <c r="E23" s="129"/>
      <c r="F23" s="129"/>
      <c r="G23" s="129"/>
      <c r="H23" s="129"/>
      <c r="I23" s="129"/>
    </row>
    <row r="24" spans="1:36" ht="14.25">
      <c r="A24" s="3663" t="s">
        <v>1299</v>
      </c>
      <c r="B24" s="1761" t="s">
        <v>1291</v>
      </c>
      <c r="C24" s="136">
        <f>IF(B30=0,0,D30)</f>
        <v>0</v>
      </c>
      <c r="D24" s="1768"/>
      <c r="E24" s="129"/>
      <c r="F24" s="129"/>
      <c r="G24" s="129"/>
      <c r="H24" s="129"/>
      <c r="I24" s="129"/>
    </row>
    <row r="25" spans="1:36" ht="14.25">
      <c r="A25" s="366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22231</v>
      </c>
      <c r="D32" s="1774" t="s">
        <v>3428</v>
      </c>
      <c r="E32" s="129"/>
      <c r="F32" s="129"/>
      <c r="G32" s="129"/>
      <c r="H32" s="129"/>
      <c r="I32" s="129"/>
    </row>
    <row r="33" spans="1:15" ht="15">
      <c r="A33" s="785" t="s">
        <v>1306</v>
      </c>
      <c r="B33" s="1775"/>
      <c r="C33" s="1776" t="s">
        <v>3427</v>
      </c>
      <c r="D33" s="1777" t="s">
        <v>3412</v>
      </c>
      <c r="E33" s="1778" t="s">
        <v>1307</v>
      </c>
      <c r="F33" s="1779" t="str">
        <f>IF(D32="楼面单价","取值（单价）","取值（总价）")</f>
        <v>取值（单价）</v>
      </c>
      <c r="G33" s="129"/>
      <c r="H33" s="129"/>
      <c r="I33" s="129"/>
    </row>
    <row r="34" spans="1:15" ht="15">
      <c r="A34" s="1780"/>
      <c r="B34" s="1781" t="s">
        <v>1308</v>
      </c>
      <c r="C34" s="148">
        <f ca="1">IF(C33="自定义",F34,C32-C35)</f>
        <v>15806</v>
      </c>
      <c r="D34" s="860">
        <f ca="1">IF(C33="自定义",ROUND(C34/C32,3),IF(C33="收益比率",SUMIF(INDIRECT("'"&amp;D33&amp;"'"&amp;"!b:b"),"土地收益比率",INDIRECT("'"&amp;D33&amp;"'"&amp;"!c:c")),SUMIF(INDIRECT("'"&amp;D33&amp;"'"&amp;"!b:b"),"土地成本比率",INDIRECT("'"&amp;D33&amp;"'"&amp;"!c:c"))))</f>
        <v>0.71100000000000008</v>
      </c>
      <c r="E34" s="1782" t="s">
        <v>1309</v>
      </c>
      <c r="F34" s="1329"/>
      <c r="G34" s="129"/>
      <c r="H34" s="129"/>
      <c r="I34" s="129"/>
    </row>
    <row r="35" spans="1:15" ht="15.75" thickBot="1">
      <c r="A35" s="1783"/>
      <c r="B35" s="1784" t="s">
        <v>1310</v>
      </c>
      <c r="C35" s="1169">
        <f ca="1">IF(C33="自定义",F35,ROUND(C32*D35,0))</f>
        <v>6425</v>
      </c>
      <c r="D35" s="1170">
        <f ca="1">IF(C33="自定义",ROUND(C35/C32,3),IF(C33="收益比率",SUMIF(INDIRECT("'"&amp;D33&amp;"'"&amp;"!b:b"),"建筑物收益比率",INDIRECT("'"&amp;D33&amp;"'"&amp;"!c:c")),SUMIF(INDIRECT("'"&amp;D33&amp;"'"&amp;"!b:b"),"建筑物成本比率",INDIRECT("'"&amp;D33&amp;"'"&amp;"!c:c"))))</f>
        <v>0.28899999999999998</v>
      </c>
      <c r="E35" s="1785" t="s">
        <v>1311</v>
      </c>
      <c r="F35" s="154"/>
      <c r="G35" s="129"/>
      <c r="H35" s="129"/>
      <c r="I35" s="129"/>
    </row>
    <row r="36" spans="1:15" ht="15.75" thickBot="1">
      <c r="A36" s="3640" t="s">
        <v>1312</v>
      </c>
      <c r="B36" s="1786" t="s">
        <v>1313</v>
      </c>
      <c r="C36" s="145"/>
      <c r="D36" s="1787"/>
      <c r="E36" s="1788"/>
      <c r="F36" s="1789"/>
      <c r="G36" s="129"/>
      <c r="H36" s="129"/>
      <c r="I36" s="129"/>
    </row>
    <row r="37" spans="1:15" ht="15.75" thickBot="1">
      <c r="A37" s="3641"/>
      <c r="B37" s="1673" t="s">
        <v>1314</v>
      </c>
      <c r="C37" s="147"/>
      <c r="D37" s="1138"/>
      <c r="E37" s="1138"/>
      <c r="F37" s="1789"/>
      <c r="G37" s="129"/>
      <c r="H37" s="129"/>
      <c r="I37" s="129"/>
    </row>
    <row r="38" spans="1:15" ht="15.75" thickBot="1">
      <c r="A38" s="364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60" t="s">
        <v>1326</v>
      </c>
      <c r="B45" s="3661"/>
      <c r="C45" s="3662"/>
      <c r="D45" s="155">
        <f ca="1">ROUND(H101*F45,0)</f>
        <v>500</v>
      </c>
      <c r="E45" s="156" t="s">
        <v>1327</v>
      </c>
      <c r="F45" s="157">
        <v>1</v>
      </c>
      <c r="G45" s="158" t="s">
        <v>1328</v>
      </c>
      <c r="H45" s="129"/>
      <c r="I45" s="129"/>
      <c r="J45" s="3580" t="s">
        <v>1329</v>
      </c>
      <c r="K45" s="3580"/>
      <c r="L45" s="3580"/>
      <c r="M45" s="3580"/>
      <c r="N45" s="3580"/>
      <c r="O45" s="3580"/>
    </row>
    <row r="46" spans="1:15" ht="14.25" customHeight="1">
      <c r="A46" s="3657" t="s">
        <v>1330</v>
      </c>
      <c r="B46" s="3658"/>
      <c r="C46" s="3658"/>
      <c r="D46" s="3658"/>
      <c r="E46" s="3658"/>
      <c r="F46" s="3658"/>
      <c r="G46" s="3659"/>
      <c r="H46" s="1805"/>
      <c r="I46" s="159"/>
      <c r="J46" s="2521">
        <v>1</v>
      </c>
      <c r="K46" s="3581" t="s">
        <v>1331</v>
      </c>
      <c r="L46" s="3581"/>
      <c r="M46" s="3582"/>
      <c r="N46" s="3582"/>
      <c r="O46" s="3582"/>
    </row>
    <row r="47" spans="1:15" ht="12" customHeight="1">
      <c r="A47" s="160" t="s">
        <v>1332</v>
      </c>
      <c r="B47" s="161"/>
      <c r="C47" s="162"/>
      <c r="D47" s="1086" t="s">
        <v>1333</v>
      </c>
      <c r="E47" s="302" t="s">
        <v>1334</v>
      </c>
      <c r="F47" s="163" t="s">
        <v>1335</v>
      </c>
      <c r="G47" s="2544" t="s">
        <v>1336</v>
      </c>
      <c r="H47" s="2545"/>
      <c r="I47" s="159"/>
      <c r="J47" s="2521">
        <v>2</v>
      </c>
      <c r="K47" s="3581" t="s">
        <v>1337</v>
      </c>
      <c r="L47" s="3581"/>
      <c r="M47" s="3583">
        <f>'数据-取费表'!B2</f>
        <v>45728</v>
      </c>
      <c r="N47" s="3583"/>
      <c r="O47" s="3583"/>
    </row>
    <row r="48" spans="1:15" ht="25.5">
      <c r="A48" s="3643" t="s">
        <v>1338</v>
      </c>
      <c r="B48" s="3644"/>
      <c r="C48" s="3644"/>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581" t="s">
        <v>1340</v>
      </c>
      <c r="L48" s="3581"/>
      <c r="M48" s="3584">
        <f ca="1">H101</f>
        <v>500</v>
      </c>
      <c r="N48" s="3584"/>
      <c r="O48" s="3584"/>
    </row>
    <row r="49" spans="1:35" ht="25.5" customHeight="1">
      <c r="A49" s="2332" t="s">
        <v>1341</v>
      </c>
      <c r="B49" s="3629" t="s">
        <v>1342</v>
      </c>
      <c r="C49" s="3629"/>
      <c r="D49" s="1589">
        <v>0</v>
      </c>
      <c r="E49" s="324" t="s">
        <v>1343</v>
      </c>
      <c r="F49" s="2422" t="s">
        <v>28</v>
      </c>
      <c r="G49" s="3612"/>
      <c r="H49" s="2309" t="s">
        <v>2133</v>
      </c>
      <c r="I49" s="2310"/>
      <c r="J49" s="2521">
        <v>4</v>
      </c>
      <c r="K49" s="3581" t="str">
        <f>IF(项目基本情况!E8="房地产抵押价值","房地产抵押价值","抵押担保权已注销时的房地产抵押价值")</f>
        <v>房地产抵押价值</v>
      </c>
      <c r="L49" s="3581"/>
      <c r="M49" s="3584">
        <f ca="1">IF(项目基本情况!E8="房地产抵押价值",H107,H109)</f>
        <v>500</v>
      </c>
      <c r="N49" s="3584"/>
      <c r="O49" s="3584"/>
    </row>
    <row r="50" spans="1:35" ht="25.5" customHeight="1">
      <c r="A50" s="2549"/>
      <c r="B50" s="3629" t="s">
        <v>1344</v>
      </c>
      <c r="C50" s="3629"/>
      <c r="D50" s="2550"/>
      <c r="E50" s="332"/>
      <c r="F50" s="2422"/>
      <c r="G50" s="3613"/>
      <c r="H50" s="2311" t="s">
        <v>2134</v>
      </c>
      <c r="I50" s="2310"/>
      <c r="J50" s="3580" t="s">
        <v>1345</v>
      </c>
      <c r="K50" s="3580"/>
      <c r="L50" s="3580"/>
      <c r="M50" s="3580"/>
      <c r="N50" s="3580"/>
      <c r="O50" s="3580"/>
    </row>
    <row r="51" spans="1:35" ht="20.45" customHeight="1">
      <c r="A51" s="2551"/>
      <c r="B51" s="3629" t="s">
        <v>1346</v>
      </c>
      <c r="C51" s="3629"/>
      <c r="D51" s="1086"/>
      <c r="E51" s="327"/>
      <c r="F51" s="2422"/>
      <c r="G51" s="3614"/>
      <c r="H51" s="2311" t="s">
        <v>2135</v>
      </c>
      <c r="I51" s="2310"/>
      <c r="J51" s="2522" t="s">
        <v>1347</v>
      </c>
      <c r="K51" s="3581" t="s">
        <v>1348</v>
      </c>
      <c r="L51" s="3581"/>
      <c r="M51" s="2522" t="s">
        <v>1349</v>
      </c>
      <c r="N51" s="2522" t="s">
        <v>1350</v>
      </c>
      <c r="O51" s="2522" t="s">
        <v>1351</v>
      </c>
    </row>
    <row r="52" spans="1:35" ht="24" customHeight="1">
      <c r="A52" s="2334" t="s">
        <v>1352</v>
      </c>
      <c r="B52" s="3629" t="s">
        <v>1353</v>
      </c>
      <c r="C52" s="3629"/>
      <c r="D52" s="1086">
        <f ca="1">ROUND(D45*'数据-取费表'!B41/(1+'数据-取费表'!C42),0)</f>
        <v>26</v>
      </c>
      <c r="E52" s="2333" t="s">
        <v>1354</v>
      </c>
      <c r="F52" s="2552">
        <f>'数据-取费表'!B41</f>
        <v>5.5000000000000007E-2</v>
      </c>
      <c r="G52" s="2553"/>
      <c r="H52" s="2542"/>
      <c r="I52" s="1806"/>
      <c r="J52" s="2521">
        <v>1</v>
      </c>
      <c r="K52" s="3606" t="s">
        <v>1355</v>
      </c>
      <c r="L52" s="3606"/>
      <c r="M52" s="2523" t="b">
        <f>D48</f>
        <v>0</v>
      </c>
      <c r="N52" s="2521" t="str">
        <f>E48</f>
        <v>销售额×税（费）率</v>
      </c>
      <c r="O52" s="2524">
        <f>F48</f>
        <v>5.5000000000000007E-2</v>
      </c>
    </row>
    <row r="53" spans="1:35" ht="12" customHeight="1">
      <c r="A53" s="2334" t="s">
        <v>1356</v>
      </c>
      <c r="B53" s="3630" t="s">
        <v>2290</v>
      </c>
      <c r="C53" s="3631"/>
      <c r="D53" s="1086">
        <f ca="1">ROUND(D45*'数据-取费表'!B41/(1+'数据-取费表'!C42),0)</f>
        <v>26</v>
      </c>
      <c r="E53" s="2333" t="s">
        <v>1354</v>
      </c>
      <c r="F53" s="2552">
        <f>'数据-取费表'!B41</f>
        <v>5.5000000000000007E-2</v>
      </c>
      <c r="G53" s="2553"/>
      <c r="H53" s="2542"/>
      <c r="I53" s="1806"/>
      <c r="J53" s="2521">
        <v>2</v>
      </c>
      <c r="K53" s="3606" t="s">
        <v>1357</v>
      </c>
      <c r="L53" s="3606"/>
      <c r="M53" s="2523">
        <f t="shared" ref="M53:O54" ca="1" si="0">D55</f>
        <v>0</v>
      </c>
      <c r="N53" s="2521" t="str">
        <f t="shared" si="0"/>
        <v>销售额×税（费）率</v>
      </c>
      <c r="O53" s="2524" t="str">
        <f t="shared" si="0"/>
        <v>免征</v>
      </c>
    </row>
    <row r="54" spans="1:35" ht="12" customHeight="1">
      <c r="A54" s="2334" t="s">
        <v>1358</v>
      </c>
      <c r="B54" s="3630" t="s">
        <v>2291</v>
      </c>
      <c r="C54" s="3631"/>
      <c r="D54" s="1086">
        <f ca="1">C68</f>
        <v>26</v>
      </c>
      <c r="E54" s="327" t="s">
        <v>1359</v>
      </c>
      <c r="F54" s="2552">
        <f>'数据-取费表'!B41</f>
        <v>5.5000000000000007E-2</v>
      </c>
      <c r="G54" s="2553"/>
      <c r="H54" s="2554"/>
      <c r="I54" s="1806"/>
      <c r="J54" s="2521">
        <v>3</v>
      </c>
      <c r="K54" s="3606" t="s">
        <v>1360</v>
      </c>
      <c r="L54" s="3606"/>
      <c r="M54" s="2523">
        <f t="shared" ca="1" si="0"/>
        <v>284</v>
      </c>
      <c r="N54" s="2521" t="str">
        <f t="shared" si="0"/>
        <v>增值额×税（费）率</v>
      </c>
      <c r="O54" s="2525" t="str">
        <f t="shared" si="0"/>
        <v>免征</v>
      </c>
    </row>
    <row r="55" spans="1:35" ht="24" customHeight="1">
      <c r="A55" s="3666" t="s">
        <v>1361</v>
      </c>
      <c r="B55" s="3644"/>
      <c r="C55" s="3644"/>
      <c r="D55" s="2323">
        <f ca="1">IF(H55="个人住宅",0,ROUND(D45*I55,0))</f>
        <v>0</v>
      </c>
      <c r="E55" s="2333" t="s">
        <v>1362</v>
      </c>
      <c r="F55" s="2552" t="str">
        <f>IF(H55="正常",I55,"免征")</f>
        <v>免征</v>
      </c>
      <c r="G55" s="2553"/>
      <c r="H55" s="2548"/>
      <c r="I55" s="165">
        <f>'数据-取费表'!B49</f>
        <v>5.0000000000000001E-4</v>
      </c>
      <c r="J55" s="2521">
        <f>IF(H59="非个人房产","",4)</f>
        <v>4</v>
      </c>
      <c r="K55" s="3606" t="str">
        <f>IF(H59="非个人房产","——","个人所得税")</f>
        <v>个人所得税</v>
      </c>
      <c r="L55" s="3606"/>
      <c r="M55" s="2526">
        <f ca="1">D59</f>
        <v>5</v>
      </c>
      <c r="N55" s="2039" t="str">
        <f>E59</f>
        <v>差额计税</v>
      </c>
      <c r="O55" s="2527">
        <f>F59</f>
        <v>0.01</v>
      </c>
    </row>
    <row r="56" spans="1:35" ht="24.75">
      <c r="A56" s="3666" t="s">
        <v>1363</v>
      </c>
      <c r="B56" s="3644"/>
      <c r="C56" s="3644"/>
      <c r="D56" s="2323">
        <f ca="1">IF(H56="个人住宅",D57,D58)</f>
        <v>284</v>
      </c>
      <c r="E56" s="2333" t="s">
        <v>1364</v>
      </c>
      <c r="F56" s="2552" t="str">
        <f>IF(H56="正常",F58,"免征")</f>
        <v>免征</v>
      </c>
      <c r="G56" s="2555" t="s">
        <v>1365</v>
      </c>
      <c r="H56" s="2556"/>
      <c r="I56" s="1807"/>
      <c r="J56" s="2521" t="str">
        <f>IF(项目基本情况!K6="上海银行",IF(J55="",4,J55+1),"")</f>
        <v/>
      </c>
      <c r="K56" s="3587" t="str">
        <f>IF(项目基本情况!K6="上海银行","其他处置费用","")</f>
        <v/>
      </c>
      <c r="L56" s="3588"/>
      <c r="M56" s="2523" t="str">
        <f>IF(项目基本情况!K6="上海银行",M69,"")</f>
        <v/>
      </c>
      <c r="N56" s="3587" t="str">
        <f>IF(项目基本情况!K6="上海银行","包含处置中涉及的律师、诉讼、拍卖、评估等费用","")</f>
        <v/>
      </c>
      <c r="O56" s="3590"/>
    </row>
    <row r="57" spans="1:35" ht="12.75">
      <c r="A57" s="2334" t="s">
        <v>1341</v>
      </c>
      <c r="B57" s="3630" t="s">
        <v>1366</v>
      </c>
      <c r="C57" s="3631"/>
      <c r="D57" s="1589">
        <v>0</v>
      </c>
      <c r="E57" s="324" t="s">
        <v>1343</v>
      </c>
      <c r="F57" s="302"/>
      <c r="G57" s="2553"/>
      <c r="H57" s="2557"/>
      <c r="I57" s="1807"/>
      <c r="J57" s="3606">
        <f>IF(AND(J55="",J56=""),4,IF(项目基本情况!K6="上海银行",结果表!J56+1,结果表!J55+1))</f>
        <v>5</v>
      </c>
      <c r="K57" s="3606" t="s">
        <v>1367</v>
      </c>
      <c r="L57" s="2528" t="s">
        <v>1368</v>
      </c>
      <c r="M57" s="2529"/>
      <c r="N57" s="2530">
        <f ca="1">SUMIF(M52:M56,"&lt;9e307")</f>
        <v>289</v>
      </c>
      <c r="O57" s="2531"/>
      <c r="P57" s="2687">
        <f ca="1">N57/M49</f>
        <v>0.57799999999999996</v>
      </c>
    </row>
    <row r="58" spans="1:35" ht="24.75">
      <c r="A58" s="2334" t="s">
        <v>1352</v>
      </c>
      <c r="B58" s="3630" t="s">
        <v>1369</v>
      </c>
      <c r="C58" s="3629"/>
      <c r="D58" s="2323">
        <f ca="1">IF(H58="转让取得",C81,C97)</f>
        <v>284</v>
      </c>
      <c r="E58" s="2333" t="s">
        <v>1364</v>
      </c>
      <c r="F58" s="302" t="s">
        <v>28</v>
      </c>
      <c r="G58" s="2553"/>
      <c r="H58" s="2556"/>
      <c r="I58" s="1807"/>
      <c r="J58" s="3606"/>
      <c r="K58" s="3606"/>
      <c r="L58" s="2528" t="s">
        <v>1370</v>
      </c>
      <c r="M58" s="2532"/>
      <c r="N58" s="2533" t="str">
        <f ca="1">NUMBERSTRING(INT(N57*10000),2)&amp;"元整"</f>
        <v>贰佰捌拾玖万元整</v>
      </c>
      <c r="O58" s="2534"/>
    </row>
    <row r="59" spans="1:35" ht="24.75" thickBot="1">
      <c r="A59" s="3610" t="s">
        <v>1371</v>
      </c>
      <c r="B59" s="3611"/>
      <c r="C59" s="3611"/>
      <c r="D59" s="2558">
        <f ca="1">IF(H59="非个人房产","——",IF(H59="个人住宅（满五唯一有凭证）",0,IF(H59="个人其他（无凭证）",ROUND(D45*F59,0),ROUND(C67*F59,0))))</f>
        <v>5</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8">
        <f>J57+1</f>
        <v>6</v>
      </c>
      <c r="K59" s="3606" t="s">
        <v>1372</v>
      </c>
      <c r="L59" s="2521" t="s">
        <v>1368</v>
      </c>
      <c r="M59" s="2535"/>
      <c r="N59" s="2536">
        <f ca="1">M49-N57</f>
        <v>211</v>
      </c>
      <c r="O59" s="2537"/>
    </row>
    <row r="60" spans="1:35" ht="12" customHeight="1">
      <c r="A60" s="1808"/>
      <c r="B60" s="1746"/>
      <c r="C60" s="1746"/>
      <c r="D60" s="1746"/>
      <c r="E60" s="1577"/>
      <c r="F60" s="1807"/>
      <c r="G60" s="1807"/>
      <c r="H60" s="1809"/>
      <c r="I60" s="129"/>
      <c r="J60" s="3609"/>
      <c r="K60" s="3606"/>
      <c r="L60" s="2528" t="s">
        <v>1370</v>
      </c>
      <c r="M60" s="2532"/>
      <c r="N60" s="2533" t="str">
        <f ca="1">NUMBERSTRING(INT(N59*10000),2)&amp;"元整"</f>
        <v>贰佰壹拾壹万元整</v>
      </c>
      <c r="O60" s="2534"/>
    </row>
    <row r="61" spans="1:35" ht="13.5" thickBot="1">
      <c r="A61" s="3665" t="s">
        <v>1373</v>
      </c>
      <c r="B61" s="3665"/>
      <c r="C61" s="3665"/>
      <c r="D61" s="3665"/>
      <c r="E61" s="3665"/>
      <c r="F61" s="1807"/>
      <c r="G61" s="1807"/>
      <c r="H61" s="1809"/>
      <c r="I61" s="129"/>
      <c r="J61" s="2521">
        <f>J59+1</f>
        <v>7</v>
      </c>
      <c r="K61" s="3606" t="s">
        <v>1374</v>
      </c>
      <c r="L61" s="3606"/>
      <c r="M61" s="2538"/>
      <c r="N61" s="2539">
        <f ca="1">ROUND(N59*10000/'数据-汇总表'!E3,0)</f>
        <v>9387</v>
      </c>
      <c r="O61" s="2540"/>
    </row>
    <row r="62" spans="1:35" ht="12.75">
      <c r="A62" s="3625" t="s">
        <v>1375</v>
      </c>
      <c r="B62" s="3626"/>
      <c r="C62" s="2020"/>
      <c r="D62" s="2020" t="s">
        <v>1376</v>
      </c>
      <c r="E62" s="166" t="s">
        <v>1377</v>
      </c>
      <c r="F62" s="1807"/>
      <c r="G62" s="1807"/>
      <c r="H62" s="1809"/>
      <c r="I62" s="129"/>
    </row>
    <row r="63" spans="1:35" ht="12.75">
      <c r="A63" s="173" t="s">
        <v>330</v>
      </c>
      <c r="B63" s="167" t="s">
        <v>1378</v>
      </c>
      <c r="C63" s="2562">
        <f ca="1">ROUND((C64+C65)/(1+'数据-取费表'!C42),0)</f>
        <v>476</v>
      </c>
      <c r="D63" s="167"/>
      <c r="E63" s="168"/>
      <c r="F63" s="1807"/>
      <c r="G63" s="1807"/>
      <c r="H63" s="1809"/>
      <c r="I63" s="129"/>
      <c r="J63" s="3589" t="s">
        <v>1379</v>
      </c>
      <c r="K63" s="1331" t="s">
        <v>1380</v>
      </c>
      <c r="L63" s="1331">
        <f ca="1">IF(M49&gt;10000,M49*0.5%,IF(AND(M49&gt;1000,M49&lt;=10000),M49*1%,IF(AND(M49&gt;100,M49&lt;=1000),M49*3%,IF(AND(M49&gt;10,M49&lt;=100),M49*5%,M49*8%))))</f>
        <v>15</v>
      </c>
      <c r="M63" s="302">
        <f ca="1">ROUND(L63,1)</f>
        <v>15</v>
      </c>
      <c r="N63" s="2541"/>
      <c r="Z63" s="1751"/>
      <c r="AI63" s="1752"/>
    </row>
    <row r="64" spans="1:35" ht="14.25" customHeight="1">
      <c r="A64" s="169" t="s">
        <v>325</v>
      </c>
      <c r="B64" s="170" t="s">
        <v>1381</v>
      </c>
      <c r="C64" s="2563">
        <f ca="1">D45</f>
        <v>500</v>
      </c>
      <c r="D64" s="170" t="s">
        <v>26</v>
      </c>
      <c r="E64" s="172"/>
      <c r="F64" s="1807"/>
      <c r="G64" s="1807"/>
      <c r="H64" s="1809"/>
      <c r="I64" s="129"/>
      <c r="J64" s="3589"/>
      <c r="K64" s="1331" t="s">
        <v>1382</v>
      </c>
      <c r="L64" s="1331">
        <f ca="1">IF(M49&gt;2000,M49*0.5%,IF(AND(M49&gt;1000,M49&lt;=2000),M49*0.6%,IF(AND(M49&gt;500,M49&lt;=1000),M49*0.7%,IF(AND(M49&gt;200,M49&lt;=500),M49*0.8%,IF(AND(M49&gt;100,M49&lt;=200),M49*0.9%,IF(AND(M49&gt;50,M49&lt;=100),M49*1%,IF(AND(M49&gt;20,M49&lt;=50),M49*1.5%,IF(AND(M49&gt;10,M49&lt;=20),M49*2%,IF(AND(M49&gt;1,M49&lt;=10),M49*2.5%)))))))))</f>
        <v>4</v>
      </c>
      <c r="M64" s="302">
        <f t="shared" ref="M64:M65" ca="1" si="1">ROUND(L64,1)</f>
        <v>4</v>
      </c>
      <c r="N64" s="2542" t="s">
        <v>1383</v>
      </c>
      <c r="Z64" s="1751"/>
      <c r="AI64" s="1752"/>
    </row>
    <row r="65" spans="1:35" ht="14.25" customHeight="1">
      <c r="A65" s="169" t="s">
        <v>326</v>
      </c>
      <c r="B65" s="170" t="s">
        <v>1384</v>
      </c>
      <c r="C65" s="2564"/>
      <c r="D65" s="170"/>
      <c r="E65" s="172"/>
      <c r="F65" s="1807"/>
      <c r="G65" s="1807"/>
      <c r="H65" s="1809"/>
      <c r="I65" s="129"/>
      <c r="J65" s="3589"/>
      <c r="K65" s="1331" t="s">
        <v>1385</v>
      </c>
      <c r="L65" s="1331">
        <f ca="1">IF(M49&gt;1000,M49*0.1%,IF(AND(M49&gt;500,M49&lt;=1000),M49*0.5%,IF(AND(M49&gt;50,M49&lt;=500),M49*1%,IF(AND(M49&gt;1,M49&lt;=50),M49*1.5%))))</f>
        <v>5</v>
      </c>
      <c r="M65" s="302">
        <f t="shared" ca="1" si="1"/>
        <v>5</v>
      </c>
      <c r="N65" s="2542" t="s">
        <v>1383</v>
      </c>
      <c r="Z65" s="1751"/>
      <c r="AI65" s="1752"/>
    </row>
    <row r="66" spans="1:35" ht="14.25" customHeight="1">
      <c r="A66" s="173" t="s">
        <v>327</v>
      </c>
      <c r="B66" s="174" t="s">
        <v>1386</v>
      </c>
      <c r="C66" s="2565"/>
      <c r="D66" s="174" t="s">
        <v>26</v>
      </c>
      <c r="E66" s="1337" t="s">
        <v>671</v>
      </c>
      <c r="F66" s="1807"/>
      <c r="G66" s="1807"/>
      <c r="H66" s="1809"/>
      <c r="I66" s="129"/>
      <c r="J66" s="3589"/>
      <c r="K66" s="1331" t="s">
        <v>1387</v>
      </c>
      <c r="L66" s="1331">
        <f ca="1">M49*0.5%</f>
        <v>2.5</v>
      </c>
      <c r="M66" s="302">
        <f ca="1">IF(L66&gt;0.5,0.5,ROUND(L66,0))</f>
        <v>0.5</v>
      </c>
      <c r="N66" s="2542" t="s">
        <v>1388</v>
      </c>
      <c r="Z66" s="1751"/>
      <c r="AI66" s="1752"/>
    </row>
    <row r="67" spans="1:35" ht="14.25" customHeight="1">
      <c r="A67" s="173" t="s">
        <v>328</v>
      </c>
      <c r="B67" s="174" t="s">
        <v>1389</v>
      </c>
      <c r="C67" s="2566">
        <f ca="1">C63-C66</f>
        <v>476</v>
      </c>
      <c r="D67" s="170" t="s">
        <v>26</v>
      </c>
      <c r="E67" s="172"/>
      <c r="F67" s="1807"/>
      <c r="G67" s="1807"/>
      <c r="H67" s="1809"/>
      <c r="I67" s="129"/>
      <c r="J67" s="3589"/>
      <c r="K67" s="1331" t="s">
        <v>1390</v>
      </c>
      <c r="L67" s="1331">
        <f ca="1">IF(M49&gt;=10000,(8.25+(M49-10000)*0.01%),IF(AND(M49&gt;=8000,M49&lt;10000),(7.85+(M49-8000)*0.02%),IF(AND(M49&gt;=5000,M49&lt;8000),(6.65+(M49-5000)*0.04%),IF(AND(M49&gt;=2000,M49&lt;5000),(4.25+(PM49-2000)*0.08%),IF(AND(M49&gt;=1000,M49&lt;2000),(2.75+(M49-1000)*0.15%),IF(AND(M49&gt;=100,M49&lt;1000),(0.5+(M49-100)*0.25%),IF(AND(M49&gt;0,M49&lt;100),M49*0.5%)))))))</f>
        <v>1.5</v>
      </c>
      <c r="M67" s="302">
        <f ca="1">ROUND(L67*0.9,1)</f>
        <v>1.4</v>
      </c>
      <c r="N67" s="2541"/>
      <c r="Z67" s="1751"/>
      <c r="AI67" s="1752"/>
    </row>
    <row r="68" spans="1:35" ht="14.25" customHeight="1" thickBot="1">
      <c r="A68" s="176" t="s">
        <v>329</v>
      </c>
      <c r="B68" s="177" t="s">
        <v>1391</v>
      </c>
      <c r="C68" s="2567">
        <f ca="1">IF(C67&lt;=0,0,ROUND(C67*D68,0))</f>
        <v>26</v>
      </c>
      <c r="D68" s="2568">
        <f>'数据-取费表'!B41</f>
        <v>5.5000000000000007E-2</v>
      </c>
      <c r="E68" s="178"/>
      <c r="F68" s="1807"/>
      <c r="G68" s="1807"/>
      <c r="H68" s="1809"/>
      <c r="I68" s="129"/>
      <c r="J68" s="3589"/>
      <c r="K68" s="1331" t="s">
        <v>1392</v>
      </c>
      <c r="L68" s="1331">
        <f ca="1">IF(M49&gt;10000,M49*0.5%,IF(AND(M49&gt;5000,M49&lt;=10000),M49*1%,IF(AND(M49&gt;1000,M49&lt;=5000),M49*2%,IF(AND(M49&gt;200,M49&lt;=1000),M49*3%,M49*5%))))</f>
        <v>15</v>
      </c>
      <c r="M68" s="302">
        <f ca="1">ROUND(L68,1)</f>
        <v>15</v>
      </c>
      <c r="N68" s="2541"/>
      <c r="Z68" s="1751"/>
      <c r="AI68" s="1752"/>
    </row>
    <row r="69" spans="1:35" s="1771" customFormat="1" ht="16.5" customHeight="1">
      <c r="A69" s="1810"/>
      <c r="B69" s="1811"/>
      <c r="C69" s="1812"/>
      <c r="D69" s="1813"/>
      <c r="E69" s="1814"/>
      <c r="F69" s="1577"/>
      <c r="G69" s="1577"/>
      <c r="H69" s="1576"/>
      <c r="I69" s="1746"/>
      <c r="J69" s="3589"/>
      <c r="K69" s="1331" t="s">
        <v>1393</v>
      </c>
      <c r="L69" s="1331"/>
      <c r="M69" s="302">
        <f ca="1">ROUND(SUM(M63:M68),0)</f>
        <v>41</v>
      </c>
      <c r="N69" s="2543">
        <f ca="1">M69/M49</f>
        <v>8.2000000000000003E-2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3" t="s">
        <v>1394</v>
      </c>
      <c r="B70" s="3634"/>
      <c r="C70" s="3634"/>
      <c r="D70" s="3634"/>
      <c r="E70" s="3634"/>
      <c r="F70" s="3634"/>
      <c r="G70" s="3634"/>
      <c r="H70" s="3634"/>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5" t="s">
        <v>1375</v>
      </c>
      <c r="B71" s="3626"/>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476</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30" t="s">
        <v>1402</v>
      </c>
      <c r="F76" s="3629"/>
      <c r="G76" s="3629"/>
      <c r="H76" s="363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2</v>
      </c>
      <c r="D78" s="2575">
        <f>'数据-取费表'!B43</f>
        <v>5.000000000000001E-3</v>
      </c>
      <c r="E78" s="3622" t="s">
        <v>1406</v>
      </c>
      <c r="F78" s="3623"/>
      <c r="G78" s="3623"/>
      <c r="H78" s="362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474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237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284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3" t="s">
        <v>1410</v>
      </c>
      <c r="B83" s="3634"/>
      <c r="C83" s="3634"/>
      <c r="D83" s="3634"/>
      <c r="E83" s="3634"/>
      <c r="F83" s="3634"/>
      <c r="G83" s="3634"/>
      <c r="H83" s="363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5" t="s">
        <v>1375</v>
      </c>
      <c r="B84" s="362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476</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2</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91" t="s">
        <v>2128</v>
      </c>
      <c r="H90" s="3592"/>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22" t="s">
        <v>1419</v>
      </c>
      <c r="F91" s="3623"/>
      <c r="G91" s="362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22" t="s">
        <v>1422</v>
      </c>
      <c r="F92" s="3623"/>
      <c r="G92" s="3623"/>
      <c r="H92" s="3624"/>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2</v>
      </c>
      <c r="D93" s="2575">
        <f>'数据-取费表'!B43</f>
        <v>5.000000000000001E-3</v>
      </c>
      <c r="E93" s="3622" t="s">
        <v>1406</v>
      </c>
      <c r="F93" s="3623"/>
      <c r="G93" s="3623"/>
      <c r="H93" s="362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7" t="s">
        <v>1426</v>
      </c>
      <c r="F94" s="3668"/>
      <c r="G94" s="3668"/>
      <c r="H94" s="366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474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237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284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72" t="s">
        <v>1428</v>
      </c>
      <c r="B100" s="3573"/>
      <c r="C100" s="3573"/>
      <c r="D100" s="3607"/>
      <c r="E100" s="3573" t="s">
        <v>1429</v>
      </c>
      <c r="F100" s="3573"/>
      <c r="G100" s="3573"/>
      <c r="H100" s="3607"/>
      <c r="I100" s="129"/>
    </row>
    <row r="101" spans="1:35" ht="18.75" customHeight="1">
      <c r="A101" s="3615" t="s">
        <v>1430</v>
      </c>
      <c r="B101" s="3616"/>
      <c r="C101" s="2583" t="str">
        <f>C4</f>
        <v>比较法-商业</v>
      </c>
      <c r="D101" s="2584" t="str">
        <f>D4</f>
        <v>收益法 (元)</v>
      </c>
      <c r="E101" s="3585" t="s">
        <v>1431</v>
      </c>
      <c r="F101" s="3586"/>
      <c r="G101" s="1826" t="s">
        <v>1432</v>
      </c>
      <c r="H101" s="2593">
        <f ca="1">H118</f>
        <v>500</v>
      </c>
      <c r="I101" s="129"/>
    </row>
    <row r="102" spans="1:35" ht="18.75" customHeight="1">
      <c r="A102" s="3617" t="s">
        <v>1433</v>
      </c>
      <c r="B102" s="2582" t="s">
        <v>1432</v>
      </c>
      <c r="C102" s="2583">
        <f ca="1">IF(D32="楼面单价",ROUND(C19,0),C19)</f>
        <v>574</v>
      </c>
      <c r="D102" s="2584">
        <f ca="1">IF(D32="楼面单价",ROUND(D19,0),D19)</f>
        <v>388</v>
      </c>
      <c r="E102" s="3585"/>
      <c r="F102" s="3586"/>
      <c r="G102" s="1826" t="s">
        <v>1434</v>
      </c>
      <c r="H102" s="2553">
        <f ca="1">I118</f>
        <v>22231</v>
      </c>
      <c r="I102" s="129"/>
    </row>
    <row r="103" spans="1:35" ht="42.75" customHeight="1">
      <c r="A103" s="3617"/>
      <c r="B103" s="2582" t="s">
        <v>1434</v>
      </c>
      <c r="C103" s="2585">
        <f ca="1">C20</f>
        <v>25555</v>
      </c>
      <c r="D103" s="2586">
        <f ca="1">D20</f>
        <v>17246</v>
      </c>
      <c r="E103" s="3578" t="s">
        <v>1435</v>
      </c>
      <c r="F103" s="3579"/>
      <c r="G103" s="1827" t="s">
        <v>1436</v>
      </c>
      <c r="H103" s="2593">
        <f>IF(D36="正常操作",H104+H105+H106,H105+H106)</f>
        <v>0</v>
      </c>
      <c r="I103" s="129"/>
    </row>
    <row r="104" spans="1:35" ht="18.75" customHeight="1">
      <c r="A104" s="3617" t="s">
        <v>1437</v>
      </c>
      <c r="B104" s="2587" t="s">
        <v>1432</v>
      </c>
      <c r="C104" s="2588">
        <f ca="1">H118</f>
        <v>500</v>
      </c>
      <c r="D104" s="2589"/>
      <c r="E104" s="1673" t="s">
        <v>1438</v>
      </c>
      <c r="F104" s="1665"/>
      <c r="G104" s="1827" t="s">
        <v>1436</v>
      </c>
      <c r="H104" s="2594">
        <f>IF(D36="同一抵押权人同一抵押物续贷",C36&amp;"（续贷，未扣减，详见特别提示）",C36)</f>
        <v>0</v>
      </c>
      <c r="I104" s="129"/>
    </row>
    <row r="105" spans="1:35" ht="18.75" customHeight="1" thickBot="1">
      <c r="A105" s="3627"/>
      <c r="B105" s="2590" t="s">
        <v>1434</v>
      </c>
      <c r="C105" s="2591">
        <f ca="1">I118</f>
        <v>22231</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8" t="str">
        <f>IF(项目基本情况!E8="已注销","——","3.房地产抵押价值")</f>
        <v>3.房地产抵押价值</v>
      </c>
      <c r="F107" s="3586"/>
      <c r="G107" s="1826" t="s">
        <v>1432</v>
      </c>
      <c r="H107" s="2593">
        <f ca="1">IF(E107="——","——",H101-H103)</f>
        <v>500</v>
      </c>
      <c r="I107" s="129"/>
    </row>
    <row r="108" spans="1:35" ht="18.75" customHeight="1">
      <c r="A108" s="129"/>
      <c r="B108" s="129"/>
      <c r="C108" s="129"/>
      <c r="D108" s="129"/>
      <c r="E108" s="3618"/>
      <c r="F108" s="3586"/>
      <c r="G108" s="1826" t="s">
        <v>1434</v>
      </c>
      <c r="H108" s="2553">
        <f ca="1">IF(H107=H101,H102,ROUND(H107*10000/'数据-汇总表'!E3,0))</f>
        <v>22231</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6" t="s">
        <v>1432</v>
      </c>
      <c r="H109" s="2596" t="str">
        <f>IF(E109="——","——",H101-H105-H106)</f>
        <v>——</v>
      </c>
      <c r="I109" s="129"/>
    </row>
    <row r="110" spans="1:35" ht="18.75" customHeight="1">
      <c r="A110" s="129"/>
      <c r="B110" s="129"/>
      <c r="C110" s="129"/>
      <c r="D110" s="129"/>
      <c r="E110" s="3618"/>
      <c r="F110" s="3586"/>
      <c r="G110" s="1826" t="s">
        <v>1434</v>
      </c>
      <c r="H110" s="2553"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6" t="s">
        <v>1432</v>
      </c>
      <c r="H111" s="2593" t="str">
        <f>IF(E111="——","——",N59)</f>
        <v>——</v>
      </c>
      <c r="I111" s="129"/>
    </row>
    <row r="112" spans="1:35" ht="18.75" customHeight="1" thickBot="1">
      <c r="A112" s="129"/>
      <c r="B112" s="129"/>
      <c r="C112" s="129"/>
      <c r="D112" s="129"/>
      <c r="E112" s="3620"/>
      <c r="F112" s="3621"/>
      <c r="G112" s="1829" t="s">
        <v>1434</v>
      </c>
      <c r="H112" s="2597" t="str">
        <f>IF(E111="——","——",N61)</f>
        <v>——</v>
      </c>
      <c r="I112" s="129"/>
    </row>
    <row r="113" spans="1:27" ht="18.75" customHeight="1">
      <c r="A113" s="129"/>
      <c r="B113" s="129"/>
      <c r="C113" s="129"/>
      <c r="D113" s="129"/>
      <c r="E113" s="3628" t="s">
        <v>1440</v>
      </c>
      <c r="F113" s="3628"/>
      <c r="G113" s="3628"/>
      <c r="H113" s="3628"/>
      <c r="I113" s="129"/>
    </row>
    <row r="114" spans="1:27" ht="3.75" customHeight="1">
      <c r="A114" s="1746"/>
      <c r="B114" s="1746"/>
      <c r="C114" s="1746"/>
      <c r="D114" s="1746"/>
      <c r="E114" s="1808"/>
      <c r="F114" s="1808"/>
      <c r="G114" s="1808"/>
      <c r="H114" s="1808"/>
      <c r="I114" s="1746"/>
    </row>
    <row r="115" spans="1:27" ht="18.75" customHeight="1">
      <c r="A115" s="3636" t="s">
        <v>1442</v>
      </c>
      <c r="B115" s="3637"/>
      <c r="C115" s="3637"/>
      <c r="D115" s="3637"/>
      <c r="E115" s="3637"/>
      <c r="F115" s="3637"/>
      <c r="G115" s="3637"/>
      <c r="H115" s="3637"/>
      <c r="I115" s="3638"/>
    </row>
    <row r="116" spans="1:27" ht="27" customHeight="1">
      <c r="A116" s="3593" t="s">
        <v>1443</v>
      </c>
      <c r="B116" s="3597" t="s">
        <v>1444</v>
      </c>
      <c r="C116" s="3597" t="s">
        <v>1445</v>
      </c>
      <c r="D116" s="3603" t="s">
        <v>1446</v>
      </c>
      <c r="E116" s="3604"/>
      <c r="F116" s="3635" t="s">
        <v>1447</v>
      </c>
      <c r="G116" s="3635"/>
      <c r="H116" s="3593" t="s">
        <v>1448</v>
      </c>
      <c r="I116" s="3593"/>
    </row>
    <row r="117" spans="1:27" ht="18.75" customHeight="1">
      <c r="A117" s="3593"/>
      <c r="B117" s="3598"/>
      <c r="C117" s="3598"/>
      <c r="D117" s="2328" t="s">
        <v>1449</v>
      </c>
      <c r="E117" s="2328" t="s">
        <v>1450</v>
      </c>
      <c r="F117" s="2328" t="s">
        <v>1449</v>
      </c>
      <c r="G117" s="2328" t="s">
        <v>1451</v>
      </c>
      <c r="H117" s="2328" t="s">
        <v>1449</v>
      </c>
      <c r="I117" s="2328" t="s">
        <v>1451</v>
      </c>
    </row>
    <row r="118" spans="1:27" ht="24.75" customHeight="1">
      <c r="A118" s="2598" t="str">
        <f>项目基本情况!S2</f>
        <v>北京市昌平区七北路42号院2号楼2层201、202、206、210共4套商业用房房地产</v>
      </c>
      <c r="B118" s="2328">
        <f>M18</f>
        <v>224.79</v>
      </c>
      <c r="C118" s="2328">
        <f>M19</f>
        <v>0</v>
      </c>
      <c r="D118" s="2328">
        <f ca="1">ROUND(IF(D32="总价",C34,E118*B118/10000),0)</f>
        <v>355</v>
      </c>
      <c r="E118" s="2328">
        <f ca="1">ROUND(IF(C33="自定义",IF(D32="楼面单价",C34,D118*10000/B118),I118-G118),0)</f>
        <v>15806</v>
      </c>
      <c r="F118" s="2328">
        <f ca="1">ROUND(IF(D32="总价",C35,G118*B118/10000),0)</f>
        <v>144</v>
      </c>
      <c r="G118" s="2328">
        <f ca="1">ROUND(IF(D32="楼面单价",C35,F118*10000/B118),0)</f>
        <v>6425</v>
      </c>
      <c r="H118" s="2328">
        <f ca="1">ROUND(IF(D32="总价",C32,I118*B118/10000),0)</f>
        <v>500</v>
      </c>
      <c r="I118" s="2328">
        <f ca="1">ROUND(IF(D32="楼面单价",C32,H118*10000/B118),0)</f>
        <v>22231</v>
      </c>
    </row>
    <row r="119" spans="1:27" ht="18.75" customHeight="1">
      <c r="A119" s="3593" t="s">
        <v>1452</v>
      </c>
      <c r="B119" s="3593"/>
      <c r="C119" s="3593"/>
      <c r="D119" s="3599" t="str">
        <f ca="1">NUMBERSTRING(INT(D118*10000),2)&amp;"元整"</f>
        <v>叁佰伍拾伍万元整</v>
      </c>
      <c r="E119" s="3600"/>
      <c r="F119" s="3599" t="str">
        <f ca="1">NUMBERSTRING(INT(F118*10000),2)&amp;"元整"</f>
        <v>壹佰肆拾肆万元整</v>
      </c>
      <c r="G119" s="3600"/>
      <c r="H119" s="3599" t="str">
        <f ca="1">NUMBERSTRING(INT(H118*10000),2)&amp;"元整"</f>
        <v>伍佰万元整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9" t="s">
        <v>1452</v>
      </c>
      <c r="B121" s="3601"/>
      <c r="C121" s="3600"/>
      <c r="D121" s="3599" t="str">
        <f>IF(D120=0,"零元整",NUMBERSTRING(INT(D120*10000),2)&amp;"元整")</f>
        <v>零元整</v>
      </c>
      <c r="E121" s="3601"/>
      <c r="F121" s="3601"/>
      <c r="G121" s="3601"/>
      <c r="H121" s="3601"/>
      <c r="I121" s="3600"/>
      <c r="AA121" s="724"/>
    </row>
    <row r="122" spans="1:27" ht="18.75" customHeight="1">
      <c r="A122" s="3605" t="str">
        <f>IF(项目基本情况!B9="房地产市场价值","",MID(E107,3,LEN(E107)-2))</f>
        <v>房地产抵押价值</v>
      </c>
      <c r="B122" s="3605"/>
      <c r="C122" s="3605"/>
      <c r="D122" s="3594">
        <f ca="1">H107</f>
        <v>500</v>
      </c>
      <c r="E122" s="3595"/>
      <c r="F122" s="3595"/>
      <c r="G122" s="3595"/>
      <c r="H122" s="3595"/>
      <c r="I122" s="3596"/>
      <c r="AA122" s="724"/>
    </row>
    <row r="123" spans="1:27" ht="18.75" customHeight="1">
      <c r="A123" s="3593" t="s">
        <v>1452</v>
      </c>
      <c r="B123" s="3593"/>
      <c r="C123" s="3593"/>
      <c r="D123" s="3599" t="str">
        <f ca="1">NUMBERSTRING(INT(D122*10000),2)&amp;"元整"</f>
        <v>伍佰万元整</v>
      </c>
      <c r="E123" s="3601"/>
      <c r="F123" s="3601"/>
      <c r="G123" s="3601"/>
      <c r="H123" s="3601"/>
      <c r="I123" s="3600"/>
      <c r="AA123" s="724"/>
    </row>
    <row r="124" spans="1:27" ht="18.75" customHeight="1">
      <c r="A124" s="3605" t="str">
        <f>IF(项目基本情况!B9="房地产市场价值","",MID(E109,3,LEN(E109)-2))</f>
        <v/>
      </c>
      <c r="B124" s="3605"/>
      <c r="C124" s="3605"/>
      <c r="D124" s="3594" t="str">
        <f>H109</f>
        <v>——</v>
      </c>
      <c r="E124" s="3595"/>
      <c r="F124" s="3595"/>
      <c r="G124" s="3595"/>
      <c r="H124" s="3595"/>
      <c r="I124" s="3596"/>
      <c r="AA124" s="724"/>
    </row>
    <row r="125" spans="1:27" ht="18.75" customHeight="1">
      <c r="A125" s="3593" t="s">
        <v>1452</v>
      </c>
      <c r="B125" s="3593"/>
      <c r="C125" s="3593"/>
      <c r="D125" s="3599" t="e">
        <f>NUMBERSTRING(INT(D124*10000),2)&amp;"元整"</f>
        <v>#VALUE!</v>
      </c>
      <c r="E125" s="3601"/>
      <c r="F125" s="3601"/>
      <c r="G125" s="3601"/>
      <c r="H125" s="3601"/>
      <c r="I125" s="3600"/>
      <c r="AA125" s="724"/>
    </row>
    <row r="126" spans="1:27" ht="18.75" customHeight="1">
      <c r="A126" s="3605" t="str">
        <f>IF(项目基本情况!B9="房地产市场价值","",MID(E111,3,LEN(E111)-2))</f>
        <v/>
      </c>
      <c r="B126" s="3605"/>
      <c r="C126" s="3605"/>
      <c r="D126" s="3594" t="str">
        <f>H111</f>
        <v>——</v>
      </c>
      <c r="E126" s="3595"/>
      <c r="F126" s="3595"/>
      <c r="G126" s="3595"/>
      <c r="H126" s="3595"/>
      <c r="I126" s="3596"/>
      <c r="AA126" s="724"/>
    </row>
    <row r="127" spans="1:27" ht="18.75" customHeight="1">
      <c r="A127" s="3593" t="s">
        <v>1452</v>
      </c>
      <c r="B127" s="3593"/>
      <c r="C127" s="3593"/>
      <c r="D127" s="3599" t="e">
        <f>NUMBERSTRING(INT(D126*10000),2)&amp;"元整"</f>
        <v>#VALUE!</v>
      </c>
      <c r="E127" s="3601"/>
      <c r="F127" s="3601"/>
      <c r="G127" s="3601"/>
      <c r="H127" s="3601"/>
      <c r="I127" s="3600"/>
      <c r="AA127" s="724"/>
    </row>
    <row r="128" spans="1:27" ht="21.75" customHeight="1">
      <c r="A128" s="3602" t="s">
        <v>1453</v>
      </c>
      <c r="B128" s="3602"/>
      <c r="C128" s="3602"/>
      <c r="D128" s="3602"/>
      <c r="E128" s="3602"/>
      <c r="F128" s="3602"/>
      <c r="G128" s="3602"/>
      <c r="H128" s="3602"/>
      <c r="I128" s="360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115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5116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224.79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224.79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101</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9" t="s">
        <v>351</v>
      </c>
      <c r="B35" s="215" t="s">
        <v>1527</v>
      </c>
      <c r="C35" s="220">
        <f ca="1">ROUND(C34*F35,0)</f>
        <v>5</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224.79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72" t="s">
        <v>1544</v>
      </c>
    </row>
    <row r="43" spans="1:7" ht="13.5" customHeight="1">
      <c r="A43" s="779" t="s">
        <v>347</v>
      </c>
      <c r="B43" s="215" t="s">
        <v>1545</v>
      </c>
      <c r="C43" s="238">
        <f ca="1">ROUND(IF('数据-取费表'!B22&lt;=1,C39*F22*'数据-取费表'!B21/2,C39*(POWER((1+F22),'数据-取费表'!B21/2)-1)),0)</f>
        <v>0</v>
      </c>
      <c r="D43" s="238"/>
      <c r="E43" s="238"/>
      <c r="F43" s="239"/>
      <c r="G43" s="3673"/>
    </row>
    <row r="44" spans="1:7" ht="13.5" customHeight="1">
      <c r="A44" s="779" t="s">
        <v>348</v>
      </c>
      <c r="B44" s="215" t="s">
        <v>1546</v>
      </c>
      <c r="C44" s="238">
        <f ca="1">ROUND(IF('数据-取费表'!B22&lt;=1,C40*F22*'数据-取费表'!B21/2,C40*(POWER((1+F22),'数据-取费表'!B21/2)-1)),4)</f>
        <v>5.9999999999999995E-4</v>
      </c>
      <c r="D44" s="238"/>
      <c r="E44" s="238"/>
      <c r="F44" s="239"/>
      <c r="G44" s="3674"/>
    </row>
    <row r="45" spans="1:7" s="214" customFormat="1" ht="13.5" customHeight="1">
      <c r="A45" s="255" t="s">
        <v>1547</v>
      </c>
      <c r="B45" s="244" t="s">
        <v>1513</v>
      </c>
      <c r="C45" s="245">
        <f ca="1">C46</f>
        <v>16</v>
      </c>
      <c r="D45" s="235">
        <f ca="1">C47</f>
        <v>3.0000000000000001E-3</v>
      </c>
      <c r="E45" s="236" t="s">
        <v>1539</v>
      </c>
      <c r="F45" s="246">
        <f ca="1">F27</f>
        <v>0.15</v>
      </c>
      <c r="G45" s="247" t="s">
        <v>1548</v>
      </c>
    </row>
    <row r="46" spans="1:7" s="214" customFormat="1" ht="13.5" customHeight="1">
      <c r="A46" s="779" t="s">
        <v>346</v>
      </c>
      <c r="B46" s="248" t="s">
        <v>1549</v>
      </c>
      <c r="C46" s="249">
        <f ca="1">ROUND((C33+C39)*F27,0)</f>
        <v>16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133</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115</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9" t="str">
        <f>项目基本情况!B1</f>
        <v>北京市昌平区七北路42号院2号楼2层201、202、206、210共4套商业用房房地产抵押价值预评估</v>
      </c>
      <c r="C37" s="3489"/>
      <c r="D37" s="3489"/>
      <c r="E37" s="3489"/>
      <c r="F37" s="3489"/>
      <c r="G37" s="3489"/>
      <c r="H37" s="3489"/>
      <c r="I37" s="348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H52" sqref="H5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3429</v>
      </c>
      <c r="F1" s="1878" t="s">
        <v>3430</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41995</v>
      </c>
      <c r="C3" s="354" t="s">
        <v>1768</v>
      </c>
      <c r="D3" s="353">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96" t="s">
        <v>1770</v>
      </c>
      <c r="D4" s="3697"/>
      <c r="E4" s="3698" t="s">
        <v>1771</v>
      </c>
      <c r="F4" s="3699"/>
      <c r="G4" s="3696" t="s">
        <v>1772</v>
      </c>
      <c r="H4" s="3697"/>
      <c r="I4" s="3696" t="s">
        <v>1773</v>
      </c>
      <c r="J4" s="3697"/>
      <c r="K4" s="559" t="s">
        <v>1774</v>
      </c>
      <c r="L4" s="2712"/>
      <c r="M4" s="2713"/>
      <c r="N4" s="2713"/>
      <c r="O4" s="2713"/>
      <c r="P4" s="3700" t="s">
        <v>1775</v>
      </c>
      <c r="Q4" s="3701"/>
      <c r="R4" s="3680" t="s">
        <v>1771</v>
      </c>
      <c r="S4" s="3681"/>
      <c r="T4" s="3680" t="s">
        <v>1772</v>
      </c>
      <c r="U4" s="3681"/>
      <c r="V4" s="3708" t="s">
        <v>1773</v>
      </c>
      <c r="W4" s="3708"/>
      <c r="X4" s="1957"/>
      <c r="Y4" s="3680" t="s">
        <v>1775</v>
      </c>
      <c r="Z4" s="3681"/>
      <c r="AA4" s="3675" t="s">
        <v>1771</v>
      </c>
      <c r="AB4" s="3675" t="s">
        <v>1772</v>
      </c>
      <c r="AC4" s="3693" t="s">
        <v>1773</v>
      </c>
    </row>
    <row r="5" spans="1:29" ht="15">
      <c r="A5" s="358"/>
      <c r="B5" s="359"/>
      <c r="C5" s="3686" t="s">
        <v>3502</v>
      </c>
      <c r="D5" s="3687"/>
      <c r="E5" s="3684" t="s">
        <v>3501</v>
      </c>
      <c r="F5" s="3685"/>
      <c r="G5" s="3686" t="s">
        <v>3504</v>
      </c>
      <c r="H5" s="3687"/>
      <c r="I5" s="3686" t="s">
        <v>3505</v>
      </c>
      <c r="J5" s="3687"/>
      <c r="K5" s="559"/>
      <c r="L5" s="2712"/>
      <c r="M5" s="2713"/>
      <c r="N5" s="2713"/>
      <c r="O5" s="2713"/>
      <c r="P5" s="3702"/>
      <c r="Q5" s="3703"/>
      <c r="R5" s="3682"/>
      <c r="S5" s="3683"/>
      <c r="T5" s="3682"/>
      <c r="U5" s="3683"/>
      <c r="V5" s="3709"/>
      <c r="W5" s="3709"/>
      <c r="X5" s="1354"/>
      <c r="Y5" s="3682"/>
      <c r="Z5" s="3683"/>
      <c r="AA5" s="3676"/>
      <c r="AB5" s="3676"/>
      <c r="AC5" s="3694"/>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04"/>
      <c r="Q6" s="3705"/>
      <c r="R6" s="3682"/>
      <c r="S6" s="3683"/>
      <c r="T6" s="3706"/>
      <c r="U6" s="3707"/>
      <c r="V6" s="3709"/>
      <c r="W6" s="3709"/>
      <c r="X6" s="1354"/>
      <c r="Y6" s="3706"/>
      <c r="Z6" s="3707"/>
      <c r="AA6" s="3677"/>
      <c r="AB6" s="3677"/>
      <c r="AC6" s="3695"/>
    </row>
    <row r="7" spans="1:29" s="108" customFormat="1" ht="15.75" thickBot="1">
      <c r="A7" s="362" t="s">
        <v>1679</v>
      </c>
      <c r="B7" s="363"/>
      <c r="C7" s="364">
        <f>'数据-取费表'!B2</f>
        <v>45728</v>
      </c>
      <c r="D7" s="365">
        <v>100</v>
      </c>
      <c r="E7" s="366">
        <f>C7</f>
        <v>45728</v>
      </c>
      <c r="F7" s="367">
        <f>SUMIF(59:59,YEAR(E7)&amp;"-"&amp;MONTH(E7),60:60)</f>
        <v>100</v>
      </c>
      <c r="G7" s="366">
        <f>C7</f>
        <v>45728</v>
      </c>
      <c r="H7" s="365">
        <f>SUMIF(59:59,YEAR(G7)&amp;"-"&amp;MONTH(G7),60:60)</f>
        <v>100</v>
      </c>
      <c r="I7" s="366">
        <f>C7</f>
        <v>45728</v>
      </c>
      <c r="J7" s="365">
        <f>SUMIF(59:59,YEAR(I7)&amp;"-"&amp;MONTH(I7),60:60)</f>
        <v>100</v>
      </c>
      <c r="K7" s="560"/>
      <c r="L7" s="2714"/>
      <c r="M7" s="2715"/>
      <c r="N7" s="2715"/>
      <c r="O7" s="2715"/>
      <c r="P7" s="3710" t="s">
        <v>1680</v>
      </c>
      <c r="Q7" s="3711"/>
      <c r="R7" s="700" t="s">
        <v>14</v>
      </c>
      <c r="S7" s="701">
        <f t="shared" ref="S7:S15" si="0">F7</f>
        <v>100</v>
      </c>
      <c r="T7" s="700" t="s">
        <v>14</v>
      </c>
      <c r="U7" s="701">
        <f t="shared" ref="U7:U15" si="1">H7</f>
        <v>100</v>
      </c>
      <c r="V7" s="700" t="s">
        <v>14</v>
      </c>
      <c r="W7" s="701">
        <f t="shared" ref="W7:W15" si="2">J7</f>
        <v>100</v>
      </c>
      <c r="X7" s="702"/>
      <c r="Y7" s="3678" t="s">
        <v>1680</v>
      </c>
      <c r="Z7" s="3679"/>
      <c r="AA7" s="703">
        <f>D7/F7</f>
        <v>1</v>
      </c>
      <c r="AB7" s="703">
        <f>D7/H7</f>
        <v>1</v>
      </c>
      <c r="AC7" s="1958">
        <f>D7/J7</f>
        <v>1</v>
      </c>
    </row>
    <row r="8" spans="1:29" s="108" customFormat="1" ht="15.75" thickBot="1">
      <c r="A8" s="362" t="s">
        <v>1681</v>
      </c>
      <c r="B8" s="363"/>
      <c r="C8" s="368" t="s">
        <v>3431</v>
      </c>
      <c r="D8" s="365">
        <v>100</v>
      </c>
      <c r="E8" s="368" t="s">
        <v>3432</v>
      </c>
      <c r="F8" s="367">
        <f>SUMIF(62:62,E8,63:63)-SUMIF(62:62,C8,63:63)+100</f>
        <v>101</v>
      </c>
      <c r="G8" s="368" t="s">
        <v>3432</v>
      </c>
      <c r="H8" s="365">
        <f>SUMIF(62:62,G8,63:63)-SUMIF(62:62,C8,63:63)+100</f>
        <v>101</v>
      </c>
      <c r="I8" s="368" t="s">
        <v>3432</v>
      </c>
      <c r="J8" s="365">
        <f>SUMIF(62:62,I8,63:63)-SUMIF(62:62,C8,63:63)+100</f>
        <v>101</v>
      </c>
      <c r="K8" s="560"/>
      <c r="L8" s="2714"/>
      <c r="M8" s="2715"/>
      <c r="N8" s="2715"/>
      <c r="O8" s="2715"/>
      <c r="P8" s="3710" t="s">
        <v>1683</v>
      </c>
      <c r="Q8" s="3679"/>
      <c r="R8" s="700" t="s">
        <v>14</v>
      </c>
      <c r="S8" s="701">
        <f t="shared" si="0"/>
        <v>101</v>
      </c>
      <c r="T8" s="700" t="s">
        <v>14</v>
      </c>
      <c r="U8" s="701">
        <f t="shared" si="1"/>
        <v>101</v>
      </c>
      <c r="V8" s="700" t="s">
        <v>14</v>
      </c>
      <c r="W8" s="701">
        <f t="shared" si="2"/>
        <v>101</v>
      </c>
      <c r="X8" s="702"/>
      <c r="Y8" s="3678" t="s">
        <v>1683</v>
      </c>
      <c r="Z8" s="3679"/>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3467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E66</f>
        <v>30（含）-20</v>
      </c>
      <c r="H10" s="127">
        <f>SUMIF(66:66,G10,67:67)-SUMIF(66:66,C10,67:67)+100</f>
        <v>98</v>
      </c>
      <c r="I10" s="3431" t="str">
        <f>E66</f>
        <v>30（含）-20</v>
      </c>
      <c r="J10" s="127">
        <f>SUMIF(66:66,I10,67:67)-SUMIF(66:66,C10,67:67)+100</f>
        <v>98</v>
      </c>
      <c r="K10" s="560"/>
      <c r="L10" s="2716"/>
      <c r="M10" s="2717"/>
      <c r="N10" s="2717"/>
      <c r="O10" s="2717"/>
      <c r="P10" s="3692"/>
      <c r="Q10" s="1342" t="str">
        <f t="shared" si="6"/>
        <v>土地使用年限（年）</v>
      </c>
      <c r="R10" s="700" t="s">
        <v>14</v>
      </c>
      <c r="S10" s="701">
        <f t="shared" si="0"/>
        <v>100</v>
      </c>
      <c r="T10" s="700" t="s">
        <v>14</v>
      </c>
      <c r="U10" s="701">
        <f t="shared" si="1"/>
        <v>98</v>
      </c>
      <c r="V10" s="700" t="s">
        <v>14</v>
      </c>
      <c r="W10" s="701">
        <f t="shared" si="2"/>
        <v>98</v>
      </c>
      <c r="X10" s="702"/>
      <c r="Y10" s="3648"/>
      <c r="Z10" s="52" t="str">
        <f t="shared" si="7"/>
        <v>土地使用年限（年）</v>
      </c>
      <c r="AA10" s="703">
        <f t="shared" si="3"/>
        <v>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2"/>
      <c r="Q11" s="1342" t="str">
        <f t="shared" si="6"/>
        <v>容积率</v>
      </c>
      <c r="R11" s="700" t="s">
        <v>14</v>
      </c>
      <c r="S11" s="701">
        <f t="shared" si="0"/>
        <v>100</v>
      </c>
      <c r="T11" s="700" t="s">
        <v>14</v>
      </c>
      <c r="U11" s="701">
        <f t="shared" si="1"/>
        <v>100</v>
      </c>
      <c r="V11" s="700" t="s">
        <v>14</v>
      </c>
      <c r="W11" s="701">
        <f t="shared" si="2"/>
        <v>100</v>
      </c>
      <c r="X11" s="702"/>
      <c r="Y11" s="364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2"/>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2"/>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2"/>
      <c r="Q14" s="1342">
        <f t="shared" si="6"/>
        <v>111</v>
      </c>
      <c r="R14" s="700" t="s">
        <v>14</v>
      </c>
      <c r="S14" s="701">
        <f t="shared" si="0"/>
        <v>100</v>
      </c>
      <c r="T14" s="700" t="s">
        <v>14</v>
      </c>
      <c r="U14" s="701">
        <f t="shared" si="1"/>
        <v>100</v>
      </c>
      <c r="V14" s="700" t="s">
        <v>14</v>
      </c>
      <c r="W14" s="701">
        <f t="shared" si="2"/>
        <v>100</v>
      </c>
      <c r="X14" s="702"/>
      <c r="Y14" s="3648"/>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12" t="s">
        <v>1691</v>
      </c>
      <c r="Q15" s="1351" t="str">
        <f t="shared" si="6"/>
        <v>办公集聚程度</v>
      </c>
      <c r="R15" s="704" t="s">
        <v>14</v>
      </c>
      <c r="S15" s="705">
        <f t="shared" si="0"/>
        <v>100</v>
      </c>
      <c r="T15" s="704" t="s">
        <v>14</v>
      </c>
      <c r="U15" s="705">
        <f t="shared" si="1"/>
        <v>100</v>
      </c>
      <c r="V15" s="704" t="s">
        <v>14</v>
      </c>
      <c r="W15" s="705">
        <f t="shared" si="2"/>
        <v>100</v>
      </c>
      <c r="X15" s="1354"/>
      <c r="Y15" s="3714" t="s">
        <v>1691</v>
      </c>
      <c r="Z15" s="1355" t="str">
        <f t="shared" si="7"/>
        <v>办公集聚程度</v>
      </c>
      <c r="AA15" s="1352">
        <f t="shared" si="3"/>
        <v>1</v>
      </c>
      <c r="AB15" s="1352">
        <f t="shared" si="4"/>
        <v>1</v>
      </c>
      <c r="AC15" s="1961">
        <f t="shared" si="5"/>
        <v>1</v>
      </c>
    </row>
    <row r="16" spans="1:29" ht="15">
      <c r="A16" s="379"/>
      <c r="B16" s="578"/>
      <c r="C16" s="1903" t="s">
        <v>3423</v>
      </c>
      <c r="D16" s="399"/>
      <c r="E16" s="1903" t="s">
        <v>3423</v>
      </c>
      <c r="F16" s="399"/>
      <c r="G16" s="1903" t="s">
        <v>3423</v>
      </c>
      <c r="H16" s="401"/>
      <c r="I16" s="1903" t="s">
        <v>3423</v>
      </c>
      <c r="J16" s="399"/>
      <c r="K16" s="564"/>
      <c r="L16" s="2719"/>
      <c r="M16" s="2713"/>
      <c r="N16" s="2713"/>
      <c r="O16" s="2713"/>
      <c r="P16" s="3713"/>
      <c r="Q16" s="1351"/>
      <c r="R16" s="704"/>
      <c r="S16" s="705"/>
      <c r="T16" s="704"/>
      <c r="U16" s="705"/>
      <c r="V16" s="704"/>
      <c r="W16" s="705"/>
      <c r="X16" s="1354"/>
      <c r="Y16" s="3715"/>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3"/>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961">
        <f t="shared" si="5"/>
        <v>1</v>
      </c>
    </row>
    <row r="18" spans="1:29" ht="15">
      <c r="A18" s="379"/>
      <c r="B18" s="580"/>
      <c r="C18" s="1963" t="s">
        <v>3445</v>
      </c>
      <c r="D18" s="401"/>
      <c r="E18" s="1963" t="s">
        <v>3445</v>
      </c>
      <c r="F18" s="401"/>
      <c r="G18" s="1963" t="s">
        <v>3445</v>
      </c>
      <c r="H18" s="399"/>
      <c r="I18" s="1963" t="s">
        <v>3445</v>
      </c>
      <c r="J18" s="399"/>
      <c r="K18" s="564"/>
      <c r="L18" s="2719"/>
      <c r="M18" s="2713"/>
      <c r="N18" s="2713"/>
      <c r="O18" s="2713"/>
      <c r="P18" s="3713"/>
      <c r="Q18" s="1351"/>
      <c r="R18" s="704"/>
      <c r="S18" s="705"/>
      <c r="T18" s="704"/>
      <c r="U18" s="705"/>
      <c r="V18" s="704"/>
      <c r="W18" s="705"/>
      <c r="X18" s="1354"/>
      <c r="Y18" s="3715"/>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3"/>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961">
        <f t="shared" si="5"/>
        <v>1</v>
      </c>
    </row>
    <row r="20" spans="1:29" ht="15">
      <c r="A20" s="379"/>
      <c r="B20" s="580"/>
      <c r="C20" s="1903" t="s">
        <v>3423</v>
      </c>
      <c r="D20" s="399"/>
      <c r="E20" s="1903" t="s">
        <v>3423</v>
      </c>
      <c r="F20" s="399"/>
      <c r="G20" s="1903" t="s">
        <v>3423</v>
      </c>
      <c r="H20" s="399"/>
      <c r="I20" s="1903" t="s">
        <v>3423</v>
      </c>
      <c r="J20" s="399"/>
      <c r="K20" s="564"/>
      <c r="L20" s="2719"/>
      <c r="M20" s="2713"/>
      <c r="N20" s="2713"/>
      <c r="O20" s="2713"/>
      <c r="P20" s="3713"/>
      <c r="Q20" s="1351"/>
      <c r="R20" s="704"/>
      <c r="S20" s="705"/>
      <c r="T20" s="704"/>
      <c r="U20" s="705"/>
      <c r="V20" s="704"/>
      <c r="W20" s="705"/>
      <c r="X20" s="1354"/>
      <c r="Y20" s="3715"/>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13"/>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961">
        <f t="shared" ref="AC21" si="10">D21/J21</f>
        <v>1</v>
      </c>
    </row>
    <row r="22" spans="1:29" ht="15">
      <c r="A22" s="379"/>
      <c r="B22" s="581"/>
      <c r="C22" s="1963" t="s">
        <v>3439</v>
      </c>
      <c r="D22" s="399"/>
      <c r="E22" s="1963" t="s">
        <v>3439</v>
      </c>
      <c r="F22" s="399"/>
      <c r="G22" s="1963" t="s">
        <v>3439</v>
      </c>
      <c r="H22" s="399"/>
      <c r="I22" s="1963" t="s">
        <v>3439</v>
      </c>
      <c r="J22" s="399"/>
      <c r="K22" s="1129"/>
      <c r="L22" s="2719"/>
      <c r="M22" s="2713"/>
      <c r="N22" s="2713"/>
      <c r="O22" s="2713"/>
      <c r="P22" s="3713"/>
      <c r="Q22" s="1351"/>
      <c r="R22" s="704"/>
      <c r="S22" s="705"/>
      <c r="T22" s="704"/>
      <c r="U22" s="705"/>
      <c r="V22" s="704"/>
      <c r="W22" s="705"/>
      <c r="X22" s="1354"/>
      <c r="Y22" s="3715"/>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13"/>
      <c r="Q23" s="1351" t="str">
        <f>B23</f>
        <v>环境质量</v>
      </c>
      <c r="R23" s="704" t="s">
        <v>14</v>
      </c>
      <c r="S23" s="705">
        <f>F23</f>
        <v>100</v>
      </c>
      <c r="T23" s="704" t="s">
        <v>14</v>
      </c>
      <c r="U23" s="705">
        <f>H23</f>
        <v>100</v>
      </c>
      <c r="V23" s="704" t="s">
        <v>14</v>
      </c>
      <c r="W23" s="705">
        <f>J23</f>
        <v>100</v>
      </c>
      <c r="X23" s="1354"/>
      <c r="Y23" s="3715"/>
      <c r="Z23" s="1355" t="str">
        <f>Q23</f>
        <v>环境质量</v>
      </c>
      <c r="AA23" s="1352">
        <f t="shared" si="3"/>
        <v>1</v>
      </c>
      <c r="AB23" s="1352">
        <f t="shared" si="4"/>
        <v>1</v>
      </c>
      <c r="AC23" s="1961">
        <f t="shared" si="5"/>
        <v>1</v>
      </c>
    </row>
    <row r="24" spans="1:29" ht="15">
      <c r="A24" s="379"/>
      <c r="B24" s="581"/>
      <c r="C24" s="1903" t="s">
        <v>3423</v>
      </c>
      <c r="D24" s="399"/>
      <c r="E24" s="1903" t="s">
        <v>3423</v>
      </c>
      <c r="F24" s="399"/>
      <c r="G24" s="1903" t="s">
        <v>3423</v>
      </c>
      <c r="H24" s="399"/>
      <c r="I24" s="1903" t="s">
        <v>3423</v>
      </c>
      <c r="J24" s="399"/>
      <c r="K24" s="564"/>
      <c r="L24" s="2719"/>
      <c r="M24" s="2713"/>
      <c r="N24" s="2713"/>
      <c r="O24" s="2713"/>
      <c r="P24" s="3713"/>
      <c r="Q24" s="1351"/>
      <c r="R24" s="704"/>
      <c r="S24" s="705"/>
      <c r="T24" s="704"/>
      <c r="U24" s="705"/>
      <c r="V24" s="704"/>
      <c r="W24" s="705"/>
      <c r="X24" s="1354"/>
      <c r="Y24" s="3715"/>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3"/>
      <c r="Q25" s="1351" t="str">
        <f>B25</f>
        <v>毗邻道路的类型与等级</v>
      </c>
      <c r="R25" s="704" t="s">
        <v>14</v>
      </c>
      <c r="S25" s="705">
        <f>F25</f>
        <v>100</v>
      </c>
      <c r="T25" s="704" t="s">
        <v>14</v>
      </c>
      <c r="U25" s="705">
        <f>H25</f>
        <v>100</v>
      </c>
      <c r="V25" s="704" t="s">
        <v>14</v>
      </c>
      <c r="W25" s="705">
        <f>J25</f>
        <v>100</v>
      </c>
      <c r="X25" s="1354"/>
      <c r="Y25" s="3715"/>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13"/>
      <c r="Q26" s="1351"/>
      <c r="R26" s="704"/>
      <c r="S26" s="705"/>
      <c r="T26" s="704"/>
      <c r="U26" s="705"/>
      <c r="V26" s="704"/>
      <c r="W26" s="705"/>
      <c r="X26" s="1354"/>
      <c r="Y26" s="3715"/>
      <c r="Z26" s="1355"/>
      <c r="AA26" s="1352">
        <v>1</v>
      </c>
      <c r="AB26" s="1352">
        <v>1</v>
      </c>
      <c r="AC26" s="1961">
        <v>1</v>
      </c>
    </row>
    <row r="27" spans="1:29" ht="15">
      <c r="A27" s="379"/>
      <c r="B27" s="580" t="s">
        <v>1783</v>
      </c>
      <c r="C27" s="582" t="s">
        <v>3485</v>
      </c>
      <c r="D27" s="386">
        <v>100</v>
      </c>
      <c r="E27" s="565" t="s">
        <v>3485</v>
      </c>
      <c r="F27" s="386">
        <f>SUMIF(89:89,E27,90:90)-SUMIF(89:89,C27,90:90)+100</f>
        <v>100</v>
      </c>
      <c r="G27" s="582" t="s">
        <v>3494</v>
      </c>
      <c r="H27" s="386">
        <f>SUMIF(89:89,G27,90:90)-SUMIF(89:89,C27,90:90)+100</f>
        <v>101</v>
      </c>
      <c r="I27" s="565" t="s">
        <v>3494</v>
      </c>
      <c r="J27" s="386">
        <f>SUMIF(89:89,I27,90:90)-SUMIF(89:89,C27,90:90)+100</f>
        <v>101</v>
      </c>
      <c r="K27" s="561">
        <v>1</v>
      </c>
      <c r="L27" s="2719"/>
      <c r="M27" s="2713"/>
      <c r="N27" s="2713"/>
      <c r="O27" s="2713"/>
      <c r="P27" s="3713"/>
      <c r="Q27" s="1351" t="str">
        <f t="shared" ref="Q27:Q47" si="11">B27</f>
        <v>楼层</v>
      </c>
      <c r="R27" s="704" t="s">
        <v>14</v>
      </c>
      <c r="S27" s="705">
        <f>F27</f>
        <v>100</v>
      </c>
      <c r="T27" s="704" t="s">
        <v>14</v>
      </c>
      <c r="U27" s="705">
        <f>H27</f>
        <v>101</v>
      </c>
      <c r="V27" s="704" t="s">
        <v>14</v>
      </c>
      <c r="W27" s="705">
        <f>J27</f>
        <v>101</v>
      </c>
      <c r="X27" s="1354"/>
      <c r="Y27" s="3715"/>
      <c r="Z27" s="1355" t="str">
        <f>Q27</f>
        <v>楼层</v>
      </c>
      <c r="AA27" s="1352">
        <f t="shared" si="3"/>
        <v>1</v>
      </c>
      <c r="AB27" s="1352">
        <f t="shared" si="4"/>
        <v>0.99009900990099009</v>
      </c>
      <c r="AC27" s="1961">
        <f t="shared" si="5"/>
        <v>0.99009900990099009</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13"/>
      <c r="Q28" s="1342" t="str">
        <f t="shared" si="11"/>
        <v>朝向</v>
      </c>
      <c r="R28" s="700" t="s">
        <v>14</v>
      </c>
      <c r="S28" s="701">
        <f>F28</f>
        <v>100</v>
      </c>
      <c r="T28" s="700" t="s">
        <v>14</v>
      </c>
      <c r="U28" s="701">
        <f>H28</f>
        <v>100</v>
      </c>
      <c r="V28" s="700" t="s">
        <v>14</v>
      </c>
      <c r="W28" s="701">
        <f>J28</f>
        <v>100</v>
      </c>
      <c r="X28" s="702"/>
      <c r="Y28" s="3715"/>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13"/>
      <c r="Q29" s="1351">
        <f t="shared" si="11"/>
        <v>0</v>
      </c>
      <c r="R29" s="704" t="s">
        <v>14</v>
      </c>
      <c r="S29" s="705">
        <f t="shared" ref="S29:S47" si="12">F29</f>
        <v>100</v>
      </c>
      <c r="T29" s="704" t="s">
        <v>14</v>
      </c>
      <c r="U29" s="705">
        <f t="shared" ref="U29:U47" si="13">H29</f>
        <v>100</v>
      </c>
      <c r="V29" s="704" t="s">
        <v>14</v>
      </c>
      <c r="W29" s="705">
        <f t="shared" ref="W29:W47" si="14">J29</f>
        <v>100</v>
      </c>
      <c r="X29" s="1354"/>
      <c r="Y29" s="3715"/>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13"/>
      <c r="Q30" s="1351">
        <f t="shared" si="11"/>
        <v>111</v>
      </c>
      <c r="R30" s="704" t="s">
        <v>14</v>
      </c>
      <c r="S30" s="705">
        <f t="shared" si="12"/>
        <v>100</v>
      </c>
      <c r="T30" s="704" t="s">
        <v>14</v>
      </c>
      <c r="U30" s="705">
        <f t="shared" si="13"/>
        <v>100</v>
      </c>
      <c r="V30" s="704" t="s">
        <v>14</v>
      </c>
      <c r="W30" s="705">
        <f t="shared" si="14"/>
        <v>100</v>
      </c>
      <c r="X30" s="1354"/>
      <c r="Y30" s="3715"/>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13"/>
      <c r="Q31" s="1351">
        <f t="shared" si="11"/>
        <v>111</v>
      </c>
      <c r="R31" s="704" t="s">
        <v>14</v>
      </c>
      <c r="S31" s="705">
        <f t="shared" si="12"/>
        <v>100</v>
      </c>
      <c r="T31" s="704" t="s">
        <v>14</v>
      </c>
      <c r="U31" s="705">
        <f t="shared" si="13"/>
        <v>100</v>
      </c>
      <c r="V31" s="704" t="s">
        <v>14</v>
      </c>
      <c r="W31" s="705">
        <f t="shared" si="14"/>
        <v>100</v>
      </c>
      <c r="X31" s="1354"/>
      <c r="Y31" s="3715"/>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13"/>
      <c r="Q32" s="1351">
        <f t="shared" si="11"/>
        <v>111</v>
      </c>
      <c r="R32" s="704" t="s">
        <v>14</v>
      </c>
      <c r="S32" s="705">
        <f t="shared" si="12"/>
        <v>100</v>
      </c>
      <c r="T32" s="704" t="s">
        <v>14</v>
      </c>
      <c r="U32" s="705">
        <f t="shared" si="13"/>
        <v>100</v>
      </c>
      <c r="V32" s="704" t="s">
        <v>14</v>
      </c>
      <c r="W32" s="705">
        <f t="shared" si="14"/>
        <v>100</v>
      </c>
      <c r="X32" s="1354"/>
      <c r="Y32" s="3715"/>
      <c r="Z32" s="1355">
        <f t="shared" si="15"/>
        <v>111</v>
      </c>
      <c r="AA32" s="1352">
        <f t="shared" si="3"/>
        <v>1</v>
      </c>
      <c r="AB32" s="1352">
        <f t="shared" si="4"/>
        <v>1</v>
      </c>
      <c r="AC32" s="1961">
        <f t="shared" si="5"/>
        <v>1</v>
      </c>
    </row>
    <row r="33" spans="1:29" ht="15">
      <c r="A33" s="391" t="s">
        <v>1694</v>
      </c>
      <c r="B33" s="63" t="s">
        <v>1817</v>
      </c>
      <c r="C33" s="1966" t="s">
        <v>3481</v>
      </c>
      <c r="D33" s="418">
        <v>100</v>
      </c>
      <c r="E33" s="1966" t="s">
        <v>3481</v>
      </c>
      <c r="F33" s="412">
        <f>SUMIF(101:101,E33,102:102)-SUMIF(101:101,C33,102:102)+100</f>
        <v>100</v>
      </c>
      <c r="G33" s="1966" t="s">
        <v>3481</v>
      </c>
      <c r="H33" s="386">
        <f>SUMIF(101:101,G33,102:102)-SUMIF(101:101,C33,102:102)+100</f>
        <v>100</v>
      </c>
      <c r="I33" s="1966" t="s">
        <v>3481</v>
      </c>
      <c r="J33" s="418">
        <f>SUMIF(101:101,I33,102:102)-SUMIF(101:101,C33,102:102)+100</f>
        <v>100</v>
      </c>
      <c r="K33" s="561">
        <v>2</v>
      </c>
      <c r="L33" s="2719"/>
      <c r="M33" s="2713"/>
      <c r="N33" s="2713"/>
      <c r="O33" s="2713"/>
      <c r="P33" s="3716" t="s">
        <v>1696</v>
      </c>
      <c r="Q33" s="1351" t="str">
        <f t="shared" si="11"/>
        <v>建筑类型</v>
      </c>
      <c r="R33" s="704" t="s">
        <v>14</v>
      </c>
      <c r="S33" s="705">
        <f t="shared" si="12"/>
        <v>100</v>
      </c>
      <c r="T33" s="704" t="s">
        <v>14</v>
      </c>
      <c r="U33" s="705">
        <f t="shared" si="13"/>
        <v>100</v>
      </c>
      <c r="V33" s="704" t="s">
        <v>14</v>
      </c>
      <c r="W33" s="705">
        <f t="shared" si="14"/>
        <v>100</v>
      </c>
      <c r="X33" s="1354"/>
      <c r="Y33" s="371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224.79</v>
      </c>
      <c r="D34" s="127">
        <v>100</v>
      </c>
      <c r="E34" s="381">
        <v>215.8</v>
      </c>
      <c r="F34" s="376">
        <f>LOOKUP(E34,104:104,105:105)-LOOKUP(C34,104:104,105:105)+100</f>
        <v>100</v>
      </c>
      <c r="G34" s="380">
        <v>368.94</v>
      </c>
      <c r="H34" s="127">
        <f>LOOKUP(G34,104:104,105:105)-LOOKUP(C34,104:104,105:105)+100</f>
        <v>101</v>
      </c>
      <c r="I34" s="380">
        <v>108.74</v>
      </c>
      <c r="J34" s="127">
        <f>LOOKUP(I34,104:104,105:105)-LOOKUP(C34,104:104,105:105)+100</f>
        <v>100</v>
      </c>
      <c r="K34" s="562"/>
      <c r="L34" s="2718"/>
      <c r="M34" s="2720"/>
      <c r="N34" s="2720"/>
      <c r="O34" s="2720"/>
      <c r="P34" s="3717"/>
      <c r="Q34" s="706" t="str">
        <f t="shared" si="11"/>
        <v>项目建筑规模</v>
      </c>
      <c r="R34" s="707" t="s">
        <v>14</v>
      </c>
      <c r="S34" s="708">
        <f t="shared" si="12"/>
        <v>100</v>
      </c>
      <c r="T34" s="707" t="s">
        <v>14</v>
      </c>
      <c r="U34" s="708">
        <f t="shared" si="13"/>
        <v>101</v>
      </c>
      <c r="V34" s="707" t="s">
        <v>14</v>
      </c>
      <c r="W34" s="708">
        <f t="shared" si="14"/>
        <v>100</v>
      </c>
      <c r="X34" s="709"/>
      <c r="Y34" s="3719"/>
      <c r="Z34" s="710" t="str">
        <f t="shared" si="15"/>
        <v>项目建筑规模</v>
      </c>
      <c r="AA34" s="1352">
        <f t="shared" si="3"/>
        <v>1</v>
      </c>
      <c r="AB34" s="1352">
        <f t="shared" si="4"/>
        <v>0.99009900990099009</v>
      </c>
      <c r="AC34" s="1961">
        <f t="shared" si="5"/>
        <v>1</v>
      </c>
    </row>
    <row r="35" spans="1:29" ht="15">
      <c r="A35" s="423"/>
      <c r="B35" s="375" t="s">
        <v>1698</v>
      </c>
      <c r="C35" s="411" t="s">
        <v>3459</v>
      </c>
      <c r="D35" s="386">
        <v>100</v>
      </c>
      <c r="E35" s="411" t="s">
        <v>3459</v>
      </c>
      <c r="F35" s="412">
        <f>SUMIF(106:106,E35,107:107)-SUMIF(106:106,C35,107:107)+100</f>
        <v>100</v>
      </c>
      <c r="G35" s="411" t="s">
        <v>3459</v>
      </c>
      <c r="H35" s="386">
        <f>SUMIF(106:106,G35,107:107)-SUMIF(106:106,C35,107:107)+100</f>
        <v>100</v>
      </c>
      <c r="I35" s="411" t="s">
        <v>3459</v>
      </c>
      <c r="J35" s="386">
        <f>SUMIF(106:106,I35,107:107)-SUMIF(106:106,C35,107:107)+100</f>
        <v>100</v>
      </c>
      <c r="K35" s="561">
        <v>1</v>
      </c>
      <c r="L35" s="2719"/>
      <c r="M35" s="2713"/>
      <c r="N35" s="2713"/>
      <c r="O35" s="2713"/>
      <c r="P35" s="3717"/>
      <c r="Q35" s="1351" t="str">
        <f t="shared" si="11"/>
        <v>建筑结构</v>
      </c>
      <c r="R35" s="704" t="s">
        <v>14</v>
      </c>
      <c r="S35" s="705">
        <f t="shared" si="12"/>
        <v>100</v>
      </c>
      <c r="T35" s="704" t="s">
        <v>14</v>
      </c>
      <c r="U35" s="705">
        <f t="shared" si="13"/>
        <v>100</v>
      </c>
      <c r="V35" s="704" t="s">
        <v>14</v>
      </c>
      <c r="W35" s="705">
        <f t="shared" si="14"/>
        <v>100</v>
      </c>
      <c r="X35" s="1354"/>
      <c r="Y35" s="3719"/>
      <c r="Z35" s="1355" t="str">
        <f t="shared" si="15"/>
        <v>建筑结构</v>
      </c>
      <c r="AA35" s="1352">
        <f t="shared" si="3"/>
        <v>1</v>
      </c>
      <c r="AB35" s="1352">
        <f t="shared" si="4"/>
        <v>1</v>
      </c>
      <c r="AC35" s="1961">
        <f t="shared" si="5"/>
        <v>1</v>
      </c>
    </row>
    <row r="36" spans="1:29" ht="15">
      <c r="A36" s="423"/>
      <c r="B36" s="375" t="s">
        <v>1785</v>
      </c>
      <c r="C36" s="411" t="s">
        <v>3487</v>
      </c>
      <c r="D36" s="386">
        <v>100</v>
      </c>
      <c r="E36" s="411" t="s">
        <v>3487</v>
      </c>
      <c r="F36" s="412">
        <f>SUMIF(108:108,E36,109:109)-SUMIF(108:108,C36,109:109)+100</f>
        <v>100</v>
      </c>
      <c r="G36" s="411" t="s">
        <v>3487</v>
      </c>
      <c r="H36" s="386">
        <f>SUMIF(108:108,G36,109:109)-SUMIF(108:108,C36,109:109)+100</f>
        <v>100</v>
      </c>
      <c r="I36" s="411" t="s">
        <v>3487</v>
      </c>
      <c r="J36" s="386">
        <f>SUMIF(108:108,I36,109:109)-SUMIF(108:108,C36,109:109)+100</f>
        <v>100</v>
      </c>
      <c r="K36" s="561">
        <v>1</v>
      </c>
      <c r="L36" s="2719"/>
      <c r="M36" s="2713"/>
      <c r="N36" s="2713"/>
      <c r="O36" s="2713"/>
      <c r="P36" s="3717"/>
      <c r="Q36" s="1351" t="str">
        <f t="shared" si="11"/>
        <v>公共部分装修</v>
      </c>
      <c r="R36" s="704" t="s">
        <v>14</v>
      </c>
      <c r="S36" s="705">
        <f t="shared" si="12"/>
        <v>100</v>
      </c>
      <c r="T36" s="704" t="s">
        <v>14</v>
      </c>
      <c r="U36" s="705">
        <f t="shared" si="13"/>
        <v>100</v>
      </c>
      <c r="V36" s="704" t="s">
        <v>14</v>
      </c>
      <c r="W36" s="705">
        <f t="shared" si="14"/>
        <v>100</v>
      </c>
      <c r="X36" s="1354"/>
      <c r="Y36" s="3719"/>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v>0.67</v>
      </c>
      <c r="H37" s="412">
        <f>LOOKUP(G37,111:111,112:112)-LOOKUP(C37,111:111,112:112)+100</f>
        <v>96</v>
      </c>
      <c r="I37" s="425">
        <v>0.7</v>
      </c>
      <c r="J37" s="386">
        <f>LOOKUP(I37,111:111,112:112)-LOOKUP(C37,111:111,112:112)+100</f>
        <v>98</v>
      </c>
      <c r="K37" s="561">
        <v>2</v>
      </c>
      <c r="L37" s="2719"/>
      <c r="M37" s="2713"/>
      <c r="N37" s="2713"/>
      <c r="O37" s="2713"/>
      <c r="P37" s="3717"/>
      <c r="Q37" s="1351" t="str">
        <f t="shared" si="11"/>
        <v>成新度</v>
      </c>
      <c r="R37" s="704" t="s">
        <v>14</v>
      </c>
      <c r="S37" s="705">
        <f t="shared" si="12"/>
        <v>100</v>
      </c>
      <c r="T37" s="704" t="s">
        <v>14</v>
      </c>
      <c r="U37" s="705">
        <f t="shared" si="13"/>
        <v>96</v>
      </c>
      <c r="V37" s="704" t="s">
        <v>14</v>
      </c>
      <c r="W37" s="705">
        <f t="shared" si="14"/>
        <v>98</v>
      </c>
      <c r="X37" s="1354"/>
      <c r="Y37" s="3719"/>
      <c r="Z37" s="1355" t="str">
        <f t="shared" si="15"/>
        <v>成新度</v>
      </c>
      <c r="AA37" s="1352">
        <f t="shared" si="3"/>
        <v>1</v>
      </c>
      <c r="AB37" s="1352">
        <f t="shared" si="4"/>
        <v>1.0416666666666667</v>
      </c>
      <c r="AC37" s="1961">
        <f t="shared" si="5"/>
        <v>1.0204081632653061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7"/>
      <c r="Q38" s="1342" t="str">
        <f t="shared" si="11"/>
        <v>写字楼等级</v>
      </c>
      <c r="R38" s="700" t="s">
        <v>14</v>
      </c>
      <c r="S38" s="701">
        <f t="shared" si="12"/>
        <v>100</v>
      </c>
      <c r="T38" s="700" t="s">
        <v>14</v>
      </c>
      <c r="U38" s="701">
        <f t="shared" si="13"/>
        <v>100</v>
      </c>
      <c r="V38" s="700" t="s">
        <v>14</v>
      </c>
      <c r="W38" s="701">
        <f t="shared" si="14"/>
        <v>100</v>
      </c>
      <c r="X38" s="702"/>
      <c r="Y38" s="3719"/>
      <c r="Z38" s="52" t="str">
        <f t="shared" si="15"/>
        <v>写字楼等级</v>
      </c>
      <c r="AA38" s="703">
        <f t="shared" si="3"/>
        <v>1</v>
      </c>
      <c r="AB38" s="703">
        <f t="shared" si="4"/>
        <v>1</v>
      </c>
      <c r="AC38" s="1958">
        <f t="shared" si="5"/>
        <v>1</v>
      </c>
    </row>
    <row r="39" spans="1:29" ht="15">
      <c r="A39" s="423"/>
      <c r="B39" s="375" t="s">
        <v>1819</v>
      </c>
      <c r="C39" s="411" t="s">
        <v>3488</v>
      </c>
      <c r="D39" s="386">
        <v>100</v>
      </c>
      <c r="E39" s="411" t="s">
        <v>3488</v>
      </c>
      <c r="F39" s="412">
        <f>SUMIF(115:115,E39,116:116)-SUMIF(115:115,C39,116:116)+100</f>
        <v>100</v>
      </c>
      <c r="G39" s="411" t="s">
        <v>3488</v>
      </c>
      <c r="H39" s="386">
        <f>SUMIF(115:115,G39,116:116)-SUMIF(115:115,C39,116:116)+100</f>
        <v>100</v>
      </c>
      <c r="I39" s="411" t="s">
        <v>3488</v>
      </c>
      <c r="J39" s="386">
        <f>SUMIF(115:115,I39,116:116)-SUMIF(115:115,C39,116:116)+100</f>
        <v>100</v>
      </c>
      <c r="K39" s="561">
        <v>1</v>
      </c>
      <c r="L39" s="2719"/>
      <c r="M39" s="2713"/>
      <c r="N39" s="2713"/>
      <c r="O39" s="2713"/>
      <c r="P39" s="3717" t="s">
        <v>1696</v>
      </c>
      <c r="Q39" s="1351" t="str">
        <f t="shared" si="11"/>
        <v>物业管理</v>
      </c>
      <c r="R39" s="704" t="s">
        <v>14</v>
      </c>
      <c r="S39" s="705">
        <f t="shared" si="12"/>
        <v>100</v>
      </c>
      <c r="T39" s="704" t="s">
        <v>14</v>
      </c>
      <c r="U39" s="705">
        <f t="shared" si="13"/>
        <v>100</v>
      </c>
      <c r="V39" s="704" t="s">
        <v>14</v>
      </c>
      <c r="W39" s="705">
        <f t="shared" si="14"/>
        <v>100</v>
      </c>
      <c r="X39" s="1354"/>
      <c r="Y39" s="3719" t="s">
        <v>1696</v>
      </c>
      <c r="Z39" s="1355" t="str">
        <f t="shared" si="15"/>
        <v>物业管理</v>
      </c>
      <c r="AA39" s="1352">
        <f t="shared" si="3"/>
        <v>1</v>
      </c>
      <c r="AB39" s="1352">
        <f t="shared" si="4"/>
        <v>1</v>
      </c>
      <c r="AC39" s="1961">
        <f t="shared" si="5"/>
        <v>1</v>
      </c>
    </row>
    <row r="40" spans="1:29" ht="15">
      <c r="A40" s="423"/>
      <c r="B40" s="375" t="s">
        <v>1787</v>
      </c>
      <c r="C40" s="411" t="s">
        <v>3476</v>
      </c>
      <c r="D40" s="386">
        <v>100</v>
      </c>
      <c r="E40" s="411" t="s">
        <v>3476</v>
      </c>
      <c r="F40" s="412">
        <f>SUMIF(117:117,E40,118:118)-SUMIF(117:117,C40,118:118)+100</f>
        <v>100</v>
      </c>
      <c r="G40" s="411" t="s">
        <v>3476</v>
      </c>
      <c r="H40" s="386">
        <f>SUMIF(117:117,G40,118:118)-SUMIF(117:117,C40,118:118)+100</f>
        <v>100</v>
      </c>
      <c r="I40" s="411" t="s">
        <v>3476</v>
      </c>
      <c r="J40" s="386">
        <f>SUMIF(117:117,I40,118:118)-SUMIF(117:117,C40,118:118)+100</f>
        <v>100</v>
      </c>
      <c r="K40" s="561">
        <v>1</v>
      </c>
      <c r="L40" s="2719"/>
      <c r="M40" s="2713"/>
      <c r="N40" s="2713"/>
      <c r="O40" s="2713"/>
      <c r="P40" s="3717"/>
      <c r="Q40" s="1351" t="str">
        <f t="shared" si="11"/>
        <v>市政基础设施</v>
      </c>
      <c r="R40" s="704" t="s">
        <v>14</v>
      </c>
      <c r="S40" s="705">
        <f t="shared" si="12"/>
        <v>100</v>
      </c>
      <c r="T40" s="704" t="s">
        <v>14</v>
      </c>
      <c r="U40" s="705">
        <f t="shared" si="13"/>
        <v>100</v>
      </c>
      <c r="V40" s="704" t="s">
        <v>14</v>
      </c>
      <c r="W40" s="705">
        <f t="shared" si="14"/>
        <v>100</v>
      </c>
      <c r="X40" s="1354"/>
      <c r="Y40" s="3719"/>
      <c r="Z40" s="1355" t="str">
        <f t="shared" si="15"/>
        <v>市政基础设施</v>
      </c>
      <c r="AA40" s="1352">
        <f t="shared" si="3"/>
        <v>1</v>
      </c>
      <c r="AB40" s="1352">
        <f t="shared" si="4"/>
        <v>1</v>
      </c>
      <c r="AC40" s="1961">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1</v>
      </c>
      <c r="L41" s="2719"/>
      <c r="M41" s="2713"/>
      <c r="N41" s="2713"/>
      <c r="O41" s="2713"/>
      <c r="P41" s="3717"/>
      <c r="Q41" s="1351" t="str">
        <f t="shared" si="11"/>
        <v>层高</v>
      </c>
      <c r="R41" s="704" t="s">
        <v>14</v>
      </c>
      <c r="S41" s="705">
        <f t="shared" si="12"/>
        <v>100</v>
      </c>
      <c r="T41" s="704" t="s">
        <v>14</v>
      </c>
      <c r="U41" s="705">
        <f t="shared" si="13"/>
        <v>100</v>
      </c>
      <c r="V41" s="704" t="s">
        <v>14</v>
      </c>
      <c r="W41" s="705">
        <f t="shared" si="14"/>
        <v>100</v>
      </c>
      <c r="X41" s="1354"/>
      <c r="Y41" s="371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7"/>
      <c r="Q42" s="706" t="str">
        <f t="shared" si="11"/>
        <v>单套建筑面积</v>
      </c>
      <c r="R42" s="707" t="s">
        <v>14</v>
      </c>
      <c r="S42" s="708">
        <f t="shared" si="12"/>
        <v>100</v>
      </c>
      <c r="T42" s="707" t="s">
        <v>14</v>
      </c>
      <c r="U42" s="708">
        <f t="shared" si="13"/>
        <v>100</v>
      </c>
      <c r="V42" s="707" t="s">
        <v>14</v>
      </c>
      <c r="W42" s="708">
        <f t="shared" si="14"/>
        <v>100</v>
      </c>
      <c r="X42" s="709"/>
      <c r="Y42" s="3719"/>
      <c r="Z42" s="710" t="str">
        <f t="shared" si="15"/>
        <v>单套建筑面积</v>
      </c>
      <c r="AA42" s="1352">
        <f t="shared" si="3"/>
        <v>1</v>
      </c>
      <c r="AB42" s="1352">
        <f t="shared" si="4"/>
        <v>1</v>
      </c>
      <c r="AC42" s="1961">
        <f t="shared" si="5"/>
        <v>1</v>
      </c>
    </row>
    <row r="43" spans="1:29" ht="15">
      <c r="A43" s="423"/>
      <c r="B43" s="375" t="s">
        <v>1792</v>
      </c>
      <c r="C43" s="411" t="s">
        <v>3487</v>
      </c>
      <c r="D43" s="386">
        <v>100</v>
      </c>
      <c r="E43" s="411" t="s">
        <v>3500</v>
      </c>
      <c r="F43" s="412">
        <f>SUMIF(123:123,E43,124:124)-SUMIF(123:123,C43,124:124)+100</f>
        <v>97</v>
      </c>
      <c r="G43" s="411" t="s">
        <v>3503</v>
      </c>
      <c r="H43" s="386">
        <f>SUMIF(123:123,G43,124:124)-SUMIF(123:123,C43,124:124)+100</f>
        <v>98</v>
      </c>
      <c r="I43" s="411" t="s">
        <v>3487</v>
      </c>
      <c r="J43" s="386">
        <f>SUMIF(123:123,I43,124:124)-SUMIF(123:123,C43,124:124)+100</f>
        <v>100</v>
      </c>
      <c r="K43" s="561">
        <v>1</v>
      </c>
      <c r="L43" s="2719"/>
      <c r="M43" s="2713"/>
      <c r="N43" s="2713"/>
      <c r="O43" s="2713"/>
      <c r="P43" s="3717"/>
      <c r="Q43" s="1351" t="str">
        <f t="shared" si="11"/>
        <v>内部装修</v>
      </c>
      <c r="R43" s="704" t="s">
        <v>14</v>
      </c>
      <c r="S43" s="705">
        <f t="shared" si="12"/>
        <v>97</v>
      </c>
      <c r="T43" s="704" t="s">
        <v>14</v>
      </c>
      <c r="U43" s="705">
        <f t="shared" si="13"/>
        <v>98</v>
      </c>
      <c r="V43" s="704" t="s">
        <v>14</v>
      </c>
      <c r="W43" s="705">
        <f t="shared" si="14"/>
        <v>100</v>
      </c>
      <c r="X43" s="1354"/>
      <c r="Y43" s="3719"/>
      <c r="Z43" s="1355" t="str">
        <f t="shared" si="15"/>
        <v>内部装修</v>
      </c>
      <c r="AA43" s="1352">
        <f t="shared" si="3"/>
        <v>1.0309278350515463</v>
      </c>
      <c r="AB43" s="1352">
        <f t="shared" si="4"/>
        <v>1.0204081632653061</v>
      </c>
      <c r="AC43" s="1961">
        <f t="shared" si="5"/>
        <v>1</v>
      </c>
    </row>
    <row r="44" spans="1:29" ht="15">
      <c r="A44" s="423"/>
      <c r="B44" s="375" t="s">
        <v>1707</v>
      </c>
      <c r="C44" s="411" t="s">
        <v>3423</v>
      </c>
      <c r="D44" s="386">
        <v>100</v>
      </c>
      <c r="E44" s="411" t="s">
        <v>3423</v>
      </c>
      <c r="F44" s="412">
        <f>SUMIF(125:125,E44,126:126)-SUMIF(125:125,C44,126:126)+100</f>
        <v>100</v>
      </c>
      <c r="G44" s="411" t="s">
        <v>3423</v>
      </c>
      <c r="H44" s="386">
        <f>SUMIF(125:125,G44,126:126)-SUMIF(125:125,C44,126:126)+100</f>
        <v>100</v>
      </c>
      <c r="I44" s="411" t="s">
        <v>3423</v>
      </c>
      <c r="J44" s="386">
        <f>SUMIF(125:125,I44,126:126)-SUMIF(125:125,C44,126:126)+100</f>
        <v>100</v>
      </c>
      <c r="K44" s="561">
        <v>1</v>
      </c>
      <c r="L44" s="2719"/>
      <c r="M44" s="2713"/>
      <c r="N44" s="2713"/>
      <c r="O44" s="2713"/>
      <c r="P44" s="3717"/>
      <c r="Q44" s="1351" t="str">
        <f t="shared" si="11"/>
        <v>内部装修维护情况</v>
      </c>
      <c r="R44" s="704" t="s">
        <v>14</v>
      </c>
      <c r="S44" s="705">
        <f t="shared" si="12"/>
        <v>100</v>
      </c>
      <c r="T44" s="704" t="s">
        <v>14</v>
      </c>
      <c r="U44" s="705">
        <f t="shared" si="13"/>
        <v>100</v>
      </c>
      <c r="V44" s="704" t="s">
        <v>14</v>
      </c>
      <c r="W44" s="705">
        <f t="shared" si="14"/>
        <v>100</v>
      </c>
      <c r="X44" s="1354"/>
      <c r="Y44" s="3719"/>
      <c r="Z44" s="1355" t="str">
        <f t="shared" si="15"/>
        <v>内部装修维护情况</v>
      </c>
      <c r="AA44" s="1352">
        <f t="shared" si="3"/>
        <v>1</v>
      </c>
      <c r="AB44" s="1352">
        <f t="shared" si="4"/>
        <v>1</v>
      </c>
      <c r="AC44" s="1961">
        <f t="shared" si="5"/>
        <v>1</v>
      </c>
    </row>
    <row r="45" spans="1:29" s="108" customFormat="1" ht="15">
      <c r="A45" s="424"/>
      <c r="B45" s="3463" t="s">
        <v>3489</v>
      </c>
      <c r="C45" s="420">
        <f>'数据-取费表'!N18</f>
        <v>2015</v>
      </c>
      <c r="D45" s="127">
        <v>100</v>
      </c>
      <c r="E45" s="383">
        <v>2008</v>
      </c>
      <c r="F45" s="376">
        <f>SUMIF(127:127,E45,128:128)-SUMIF(127:127,C45,128:128)+100</f>
        <v>100</v>
      </c>
      <c r="G45" s="383">
        <v>2005</v>
      </c>
      <c r="H45" s="127">
        <f>SUMIF(127:127,G45,128:128)-SUMIF(127:127,C45,128:128)+100</f>
        <v>100</v>
      </c>
      <c r="I45" s="383">
        <v>2007</v>
      </c>
      <c r="J45" s="127">
        <f>SUMIF(127:127,I45,128:128)-SUMIF(127:127,C45,128:128)+100</f>
        <v>100</v>
      </c>
      <c r="K45" s="562"/>
      <c r="L45" s="2714"/>
      <c r="M45" s="2715"/>
      <c r="N45" s="2715"/>
      <c r="O45" s="2715"/>
      <c r="P45" s="3717"/>
      <c r="Q45" s="1342" t="str">
        <f t="shared" si="11"/>
        <v>建成年代</v>
      </c>
      <c r="R45" s="700" t="s">
        <v>14</v>
      </c>
      <c r="S45" s="701">
        <f t="shared" si="12"/>
        <v>100</v>
      </c>
      <c r="T45" s="700" t="s">
        <v>14</v>
      </c>
      <c r="U45" s="701">
        <f t="shared" si="13"/>
        <v>100</v>
      </c>
      <c r="V45" s="700" t="s">
        <v>14</v>
      </c>
      <c r="W45" s="701">
        <f t="shared" si="14"/>
        <v>100</v>
      </c>
      <c r="X45" s="702"/>
      <c r="Y45" s="3719"/>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7"/>
      <c r="Q46" s="1351">
        <f t="shared" si="11"/>
        <v>111</v>
      </c>
      <c r="R46" s="704" t="s">
        <v>14</v>
      </c>
      <c r="S46" s="705">
        <f t="shared" si="12"/>
        <v>100</v>
      </c>
      <c r="T46" s="704" t="s">
        <v>14</v>
      </c>
      <c r="U46" s="705">
        <f t="shared" si="13"/>
        <v>100</v>
      </c>
      <c r="V46" s="704" t="s">
        <v>14</v>
      </c>
      <c r="W46" s="705">
        <f t="shared" si="14"/>
        <v>100</v>
      </c>
      <c r="X46" s="1354"/>
      <c r="Y46" s="371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8"/>
      <c r="Q47" s="1351">
        <f t="shared" si="11"/>
        <v>111</v>
      </c>
      <c r="R47" s="704" t="s">
        <v>14</v>
      </c>
      <c r="S47" s="705">
        <f t="shared" si="12"/>
        <v>100</v>
      </c>
      <c r="T47" s="704" t="s">
        <v>14</v>
      </c>
      <c r="U47" s="705">
        <f t="shared" si="13"/>
        <v>100</v>
      </c>
      <c r="V47" s="704" t="s">
        <v>14</v>
      </c>
      <c r="W47" s="705">
        <f t="shared" si="14"/>
        <v>100</v>
      </c>
      <c r="X47" s="1354"/>
      <c r="Y47" s="3720"/>
      <c r="Z47" s="1355">
        <f t="shared" si="15"/>
        <v>111</v>
      </c>
      <c r="AA47" s="1352">
        <f t="shared" si="3"/>
        <v>1</v>
      </c>
      <c r="AB47" s="1352">
        <f t="shared" si="4"/>
        <v>1</v>
      </c>
      <c r="AC47" s="1961">
        <f t="shared" si="5"/>
        <v>1</v>
      </c>
    </row>
    <row r="48" spans="1:29" ht="15">
      <c r="A48" s="430" t="s">
        <v>1708</v>
      </c>
      <c r="B48" s="431"/>
      <c r="C48" s="1153" t="s">
        <v>0</v>
      </c>
      <c r="D48" s="1154"/>
      <c r="E48" s="1155">
        <v>41706</v>
      </c>
      <c r="F48" s="1156"/>
      <c r="G48" s="1155">
        <v>39113</v>
      </c>
      <c r="H48" s="1158"/>
      <c r="I48" s="1155">
        <v>41384</v>
      </c>
      <c r="J48" s="436"/>
      <c r="K48" s="713"/>
      <c r="L48" s="2721"/>
      <c r="M48" s="2713"/>
      <c r="N48" s="2713"/>
      <c r="O48" s="2713"/>
      <c r="P48" s="3692" t="str">
        <f>A48</f>
        <v>成交单价（元/平方米）</v>
      </c>
      <c r="Q48" s="3721"/>
      <c r="R48" s="3722">
        <f>E48</f>
        <v>41706</v>
      </c>
      <c r="S48" s="3722"/>
      <c r="T48" s="3722">
        <f>G48</f>
        <v>39113</v>
      </c>
      <c r="U48" s="3722"/>
      <c r="V48" s="3722">
        <f>I48</f>
        <v>41384</v>
      </c>
      <c r="W48" s="3722"/>
      <c r="X48" s="397"/>
      <c r="Y48" s="711"/>
      <c r="Z48" s="397"/>
      <c r="AA48" s="397"/>
      <c r="AB48" s="397"/>
      <c r="AC48" s="578"/>
    </row>
    <row r="49" spans="1:29" ht="15.75" thickBot="1">
      <c r="A49" s="437" t="s">
        <v>1793</v>
      </c>
      <c r="B49" s="438"/>
      <c r="C49" s="1159">
        <f>R50</f>
        <v>41995</v>
      </c>
      <c r="D49" s="2316" t="s">
        <v>2137</v>
      </c>
      <c r="E49" s="1160">
        <f>R49</f>
        <v>42570</v>
      </c>
      <c r="F49" s="2317"/>
      <c r="G49" s="1159">
        <f>T49</f>
        <v>41175</v>
      </c>
      <c r="H49" s="2317"/>
      <c r="I49" s="1160">
        <f>V49</f>
        <v>42241</v>
      </c>
      <c r="J49" s="2317"/>
      <c r="K49" s="2319">
        <f>F49+H49+J49</f>
        <v>0</v>
      </c>
      <c r="L49" s="2721"/>
      <c r="M49" s="2713"/>
      <c r="N49" s="2713"/>
      <c r="O49" s="2713"/>
      <c r="P49" s="3692" t="str">
        <f>A49</f>
        <v>比较价值（元/平方米）</v>
      </c>
      <c r="Q49" s="3721"/>
      <c r="R49" s="3722">
        <f>IF(F1="售价",ROUND(PRODUCT(R48,AA7:AA47),0),ROUND(PRODUCT(R48,AA7:AA47),1))</f>
        <v>42570</v>
      </c>
      <c r="S49" s="3722"/>
      <c r="T49" s="3722">
        <f>IF(F1="售价",ROUND(PRODUCT(T48,AB7:AB47),0),ROUND(PRODUCT(T48,AB7:AB47),1))</f>
        <v>41175</v>
      </c>
      <c r="U49" s="3722"/>
      <c r="V49" s="3722">
        <f>IF(F1="售价",ROUND(PRODUCT(V48,AC7:AC47),0),ROUND(PRODUCT(V48,AC7:AC47),1))</f>
        <v>42241</v>
      </c>
      <c r="W49" s="3722"/>
      <c r="X49" s="397"/>
      <c r="Y49" s="397"/>
      <c r="Z49" s="397"/>
      <c r="AA49" s="397"/>
      <c r="AB49" s="397"/>
      <c r="AC49" s="578"/>
    </row>
    <row r="50" spans="1:29" ht="15.75" thickBot="1">
      <c r="A50" s="441" t="s">
        <v>1794</v>
      </c>
      <c r="B50" s="442"/>
      <c r="C50" s="1162">
        <f>R50</f>
        <v>41995</v>
      </c>
      <c r="D50" s="1162"/>
      <c r="E50" s="1162"/>
      <c r="F50" s="1162"/>
      <c r="G50" s="1162"/>
      <c r="H50" s="1162"/>
      <c r="I50" s="1162"/>
      <c r="J50" s="443"/>
      <c r="K50" s="714"/>
      <c r="L50" s="2721"/>
      <c r="M50" s="2713"/>
      <c r="N50" s="2713"/>
      <c r="O50" s="2713"/>
      <c r="P50" s="3723" t="str">
        <f>A50</f>
        <v>估价对象XX用房的比较价值（楼面单价，元/平方米）</v>
      </c>
      <c r="Q50" s="3724"/>
      <c r="R50" s="3725">
        <f>IF(F1="售价",ROUND(IF(D49="简单平均",AVERAGE(R49:V49),R49*F49+T49*H49+V49*J49),0),ROUND(IF(D49="简单平均",AVERAGE(R49:V49),R49*F49+T49*H49+V49*J49),1))</f>
        <v>41995</v>
      </c>
      <c r="S50" s="3725"/>
      <c r="T50" s="3725"/>
      <c r="U50" s="3725"/>
      <c r="V50" s="3725"/>
      <c r="W50" s="372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2.0716443677168739E-2</v>
      </c>
      <c r="F53" s="449" t="str">
        <f>IF(OR(E53&gt;=0.3,E53&lt;=-0.3),"超过30%","")</f>
        <v/>
      </c>
      <c r="G53" s="448">
        <f>IF(G48&lt;G49,G49/G48-1,G48/G49-1)</f>
        <v>5.2719044818858141E-2</v>
      </c>
      <c r="H53" s="449" t="str">
        <f>IF(OR(G53&gt;=0.3,G53&lt;=-0.3),"超过30%","")</f>
        <v/>
      </c>
      <c r="I53" s="448">
        <f>IF(I48&lt;I49,I49/I48-1,I48/I49-1)</f>
        <v>2.0708486371544543E-2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3.3879781420764976E-2</v>
      </c>
      <c r="F54" s="449" t="str">
        <f>IF(OR(E54&gt;=0.2,E54&lt;=-0.2),"超过20%","")</f>
        <v/>
      </c>
      <c r="G54" s="448">
        <f>IF(G49&lt;I49,I49/G49-1,G49/I49-1)</f>
        <v>2.5889496053430383E-2</v>
      </c>
      <c r="H54" s="449" t="str">
        <f>IF(OR(G54&gt;=0.2,G54&lt;=-0.2),"超过20%","")</f>
        <v/>
      </c>
      <c r="I54" s="448">
        <f>IF(I49&lt;E49,E49/I49-1,I49/E49-1)</f>
        <v>7.7886413673917687E-3</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6.6295093702861019E-2</v>
      </c>
      <c r="F55" s="449" t="str">
        <f>IF(OR(E55&gt;=0.3,E55&lt;=-0.3),"超过30%","")</f>
        <v/>
      </c>
      <c r="G55" s="448">
        <f>IF(G48&lt;I48,I48/G48-1,G48/I48-1)</f>
        <v>5.8062536752486293E-2</v>
      </c>
      <c r="H55" s="449" t="str">
        <f>IF(OR(G55&gt;=0.3,G55&lt;=-0.3),"超过30%","")</f>
        <v/>
      </c>
      <c r="I55" s="448">
        <f>IF(I48&lt;E48,E48/I48-1,I48/E48-1)</f>
        <v>7.7807848443842698E-3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3466</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3465</v>
      </c>
      <c r="D66" s="532" t="s">
        <v>3435</v>
      </c>
      <c r="E66" s="532" t="s">
        <v>3436</v>
      </c>
      <c r="F66" s="532" t="s">
        <v>3437</v>
      </c>
      <c r="G66" s="532" t="s">
        <v>3438</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3483</v>
      </c>
      <c r="D89" s="3465" t="s">
        <v>3484</v>
      </c>
      <c r="E89" s="3465" t="s">
        <v>3486</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3482</v>
      </c>
      <c r="D101" s="3476" t="s">
        <v>3480</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3468</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3469</v>
      </c>
      <c r="D108" s="3465" t="s">
        <v>3470</v>
      </c>
      <c r="E108" s="3465" t="s">
        <v>3471</v>
      </c>
      <c r="F108" s="3477" t="s">
        <v>3472</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3478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3474</v>
      </c>
      <c r="D117" s="3465" t="s">
        <v>3475</v>
      </c>
      <c r="E117" s="3465" t="s">
        <v>3477</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3473</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3469</v>
      </c>
      <c r="D123" s="3465" t="s">
        <v>3470</v>
      </c>
      <c r="E123" s="3465" t="s">
        <v>3471</v>
      </c>
      <c r="F123" s="3477" t="s">
        <v>3472</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90" zoomScaleNormal="70" zoomScaleSheetLayoutView="90" workbookViewId="0">
      <selection activeCell="F63" sqref="F6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3515</v>
      </c>
      <c r="E1" s="3423" t="s">
        <v>3429</v>
      </c>
      <c r="F1" s="1878" t="s">
        <v>3430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574.45079999999996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25555</v>
      </c>
      <c r="C3" s="354" t="s">
        <v>1768</v>
      </c>
      <c r="D3" s="353">
        <f>IF(D1="",'数据-汇总表'!E3,SUMIF('数据-汇总表'!$C19:$C33,D1,'数据-汇总表'!$E19:$E33))</f>
        <v>224.79</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696" t="s">
        <v>1770</v>
      </c>
      <c r="D4" s="3697"/>
      <c r="E4" s="3698" t="s">
        <v>1771</v>
      </c>
      <c r="F4" s="3699"/>
      <c r="G4" s="3696" t="s">
        <v>1772</v>
      </c>
      <c r="H4" s="3697"/>
      <c r="I4" s="3696" t="s">
        <v>1773</v>
      </c>
      <c r="J4" s="3697"/>
      <c r="K4" s="559" t="s">
        <v>1774</v>
      </c>
      <c r="L4" s="2712"/>
      <c r="M4" s="2713"/>
      <c r="N4" s="2713"/>
      <c r="O4" s="2713"/>
      <c r="P4" s="3730" t="s">
        <v>1775</v>
      </c>
      <c r="Q4" s="3731"/>
      <c r="R4" s="3727" t="s">
        <v>1771</v>
      </c>
      <c r="S4" s="3728"/>
      <c r="T4" s="3727" t="s">
        <v>1772</v>
      </c>
      <c r="U4" s="3728"/>
      <c r="V4" s="3709" t="s">
        <v>1773</v>
      </c>
      <c r="W4" s="3709"/>
      <c r="X4" s="1354"/>
      <c r="Y4" s="3727" t="s">
        <v>1775</v>
      </c>
      <c r="Z4" s="3728"/>
      <c r="AA4" s="3726" t="s">
        <v>1771</v>
      </c>
      <c r="AB4" s="3709" t="s">
        <v>1772</v>
      </c>
      <c r="AC4" s="3726" t="s">
        <v>1773</v>
      </c>
    </row>
    <row r="5" spans="1:29" ht="15">
      <c r="A5" s="358"/>
      <c r="B5" s="359"/>
      <c r="C5" s="3686" t="s">
        <v>3517</v>
      </c>
      <c r="D5" s="3687"/>
      <c r="E5" s="3684" t="s">
        <v>3538</v>
      </c>
      <c r="F5" s="3685"/>
      <c r="G5" s="3686" t="s">
        <v>3548</v>
      </c>
      <c r="H5" s="3687"/>
      <c r="I5" s="3686" t="s">
        <v>3563</v>
      </c>
      <c r="J5" s="3687"/>
      <c r="K5" s="559"/>
      <c r="L5" s="2712"/>
      <c r="M5" s="2713"/>
      <c r="N5" s="2713"/>
      <c r="O5" s="2713"/>
      <c r="P5" s="3732"/>
      <c r="Q5" s="3703"/>
      <c r="R5" s="3682"/>
      <c r="S5" s="3683"/>
      <c r="T5" s="3682"/>
      <c r="U5" s="3683"/>
      <c r="V5" s="3709"/>
      <c r="W5" s="3709"/>
      <c r="X5" s="1354"/>
      <c r="Y5" s="3682"/>
      <c r="Z5" s="3683"/>
      <c r="AA5" s="3676"/>
      <c r="AB5" s="3709"/>
      <c r="AC5" s="3676"/>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33"/>
      <c r="Q6" s="3705"/>
      <c r="R6" s="3682"/>
      <c r="S6" s="3683"/>
      <c r="T6" s="3706"/>
      <c r="U6" s="3707"/>
      <c r="V6" s="3709"/>
      <c r="W6" s="3709"/>
      <c r="X6" s="1354"/>
      <c r="Y6" s="3706"/>
      <c r="Z6" s="3707"/>
      <c r="AA6" s="3677"/>
      <c r="AB6" s="3709"/>
      <c r="AC6" s="3677"/>
    </row>
    <row r="7" spans="1:29" s="108" customFormat="1" ht="15.75" thickBot="1">
      <c r="A7" s="362" t="s">
        <v>1679</v>
      </c>
      <c r="B7" s="363"/>
      <c r="C7" s="364">
        <f>'数据-取费表'!B2</f>
        <v>45728</v>
      </c>
      <c r="D7" s="365">
        <v>100</v>
      </c>
      <c r="E7" s="366">
        <f>C7</f>
        <v>45728</v>
      </c>
      <c r="F7" s="367">
        <f>SUMIF(58:58,YEAR(E7)&amp;"-"&amp;MONTH(E7),59:59)</f>
        <v>100</v>
      </c>
      <c r="G7" s="366">
        <f>C7</f>
        <v>45728</v>
      </c>
      <c r="H7" s="365">
        <f>SUMIF(58:58,YEAR(G7)&amp;"-"&amp;MONTH(G7),59:59)</f>
        <v>100</v>
      </c>
      <c r="I7" s="366">
        <f>C7</f>
        <v>45728</v>
      </c>
      <c r="J7" s="365">
        <f>SUMIF(58:58,YEAR(I7)&amp;"-"&amp;MONTH(I7),59:59)</f>
        <v>100</v>
      </c>
      <c r="K7" s="560"/>
      <c r="L7" s="2714"/>
      <c r="M7" s="2715"/>
      <c r="N7" s="2715"/>
      <c r="O7" s="2715"/>
      <c r="P7" s="3678" t="s">
        <v>1680</v>
      </c>
      <c r="Q7" s="3711"/>
      <c r="R7" s="700" t="s">
        <v>14</v>
      </c>
      <c r="S7" s="701">
        <f t="shared" ref="S7:S15" si="0">F7</f>
        <v>100</v>
      </c>
      <c r="T7" s="700" t="s">
        <v>14</v>
      </c>
      <c r="U7" s="701">
        <f t="shared" ref="U7:U15" si="1">H7</f>
        <v>100</v>
      </c>
      <c r="V7" s="700" t="s">
        <v>14</v>
      </c>
      <c r="W7" s="701">
        <f t="shared" ref="W7:W15" si="2">J7</f>
        <v>100</v>
      </c>
      <c r="X7" s="702"/>
      <c r="Y7" s="3678" t="s">
        <v>1680</v>
      </c>
      <c r="Z7" s="3679"/>
      <c r="AA7" s="703">
        <f>D7/F7</f>
        <v>1</v>
      </c>
      <c r="AB7" s="703">
        <f>D7/H7</f>
        <v>1</v>
      </c>
      <c r="AC7" s="703">
        <f>D7/J7</f>
        <v>1</v>
      </c>
    </row>
    <row r="8" spans="1:29" s="108" customFormat="1" ht="15.75" thickBot="1">
      <c r="A8" s="362" t="s">
        <v>1681</v>
      </c>
      <c r="B8" s="363"/>
      <c r="C8" s="368" t="s">
        <v>3431</v>
      </c>
      <c r="D8" s="365">
        <v>100</v>
      </c>
      <c r="E8" s="368" t="s">
        <v>3432</v>
      </c>
      <c r="F8" s="367">
        <f>SUMIF(61:61,E8,62:62)-SUMIF(61:61,C8,62:62)+100</f>
        <v>103</v>
      </c>
      <c r="G8" s="368" t="s">
        <v>3432</v>
      </c>
      <c r="H8" s="365">
        <f>SUMIF(61:61,G8,62:62)-SUMIF(61:61,C8,62:62)+100</f>
        <v>103</v>
      </c>
      <c r="I8" s="368" t="s">
        <v>3432</v>
      </c>
      <c r="J8" s="365">
        <f>SUMIF(61:61,I8,62:62)-SUMIF(61:61,C8,62:62)+100</f>
        <v>103</v>
      </c>
      <c r="K8" s="560"/>
      <c r="L8" s="2714"/>
      <c r="M8" s="2715"/>
      <c r="N8" s="2715"/>
      <c r="O8" s="2715"/>
      <c r="P8" s="3678" t="s">
        <v>1683</v>
      </c>
      <c r="Q8" s="3679"/>
      <c r="R8" s="700" t="s">
        <v>14</v>
      </c>
      <c r="S8" s="701">
        <f t="shared" si="0"/>
        <v>103</v>
      </c>
      <c r="T8" s="700" t="s">
        <v>14</v>
      </c>
      <c r="U8" s="701">
        <f t="shared" si="1"/>
        <v>103</v>
      </c>
      <c r="V8" s="700" t="s">
        <v>14</v>
      </c>
      <c r="W8" s="701">
        <f t="shared" si="2"/>
        <v>103</v>
      </c>
      <c r="X8" s="702"/>
      <c r="Y8" s="3678" t="s">
        <v>1683</v>
      </c>
      <c r="Z8" s="3679"/>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3434</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703">
        <f t="shared" si="5"/>
        <v>1</v>
      </c>
    </row>
    <row r="10" spans="1:29" s="378" customFormat="1" ht="27">
      <c r="A10" s="374"/>
      <c r="B10" s="375" t="s">
        <v>1688</v>
      </c>
      <c r="C10" s="3431" t="str">
        <f>D65</f>
        <v>30（含）-20</v>
      </c>
      <c r="D10" s="127">
        <v>100</v>
      </c>
      <c r="E10" s="3432" t="str">
        <f>E65</f>
        <v>20（含）-10</v>
      </c>
      <c r="F10" s="376">
        <f>SUMIF(65:65,E10,66:66)-SUMIF(65:65,C10,66:66)+100</f>
        <v>98</v>
      </c>
      <c r="G10" s="3431" t="str">
        <f>E65</f>
        <v>20（含）-10</v>
      </c>
      <c r="H10" s="127">
        <f>SUMIF(65:65,G10,66:66)-SUMIF(65:65,C10,66:66)+100</f>
        <v>98</v>
      </c>
      <c r="I10" s="3431" t="str">
        <f>D65</f>
        <v>30（含）-20</v>
      </c>
      <c r="J10" s="127">
        <f>SUMIF(65:65,I10,66:66)-SUMIF(65:65,C10,66:66)+100</f>
        <v>100</v>
      </c>
      <c r="K10" s="560"/>
      <c r="L10" s="2716"/>
      <c r="M10" s="2717"/>
      <c r="N10" s="2717"/>
      <c r="O10" s="2717"/>
      <c r="P10" s="3692"/>
      <c r="Q10" s="1342" t="str">
        <f t="shared" si="6"/>
        <v>土地使用年限（年）</v>
      </c>
      <c r="R10" s="700" t="s">
        <v>14</v>
      </c>
      <c r="S10" s="701">
        <f t="shared" si="0"/>
        <v>98</v>
      </c>
      <c r="T10" s="700" t="s">
        <v>14</v>
      </c>
      <c r="U10" s="701">
        <f t="shared" si="1"/>
        <v>98</v>
      </c>
      <c r="V10" s="700" t="s">
        <v>14</v>
      </c>
      <c r="W10" s="701">
        <f t="shared" si="2"/>
        <v>100</v>
      </c>
      <c r="X10" s="702"/>
      <c r="Y10" s="3648"/>
      <c r="Z10" s="52" t="str">
        <f t="shared" si="7"/>
        <v>土地使用年限（年）</v>
      </c>
      <c r="AA10" s="703">
        <f t="shared" si="3"/>
        <v>1.0204081632653061</v>
      </c>
      <c r="AB10" s="703">
        <f t="shared" si="4"/>
        <v>1.0204081632653061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2"/>
      <c r="Q11" s="1342" t="str">
        <f t="shared" si="6"/>
        <v>容积率</v>
      </c>
      <c r="R11" s="700" t="s">
        <v>14</v>
      </c>
      <c r="S11" s="701">
        <f t="shared" si="0"/>
        <v>100</v>
      </c>
      <c r="T11" s="700" t="s">
        <v>14</v>
      </c>
      <c r="U11" s="701">
        <f t="shared" si="1"/>
        <v>100</v>
      </c>
      <c r="V11" s="700" t="s">
        <v>14</v>
      </c>
      <c r="W11" s="701">
        <f t="shared" si="2"/>
        <v>100</v>
      </c>
      <c r="X11" s="702"/>
      <c r="Y11" s="364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2"/>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2"/>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2"/>
      <c r="Q14" s="1342">
        <f t="shared" si="6"/>
        <v>111</v>
      </c>
      <c r="R14" s="700" t="s">
        <v>14</v>
      </c>
      <c r="S14" s="701">
        <f t="shared" si="0"/>
        <v>100</v>
      </c>
      <c r="T14" s="700" t="s">
        <v>14</v>
      </c>
      <c r="U14" s="701">
        <f t="shared" si="1"/>
        <v>100</v>
      </c>
      <c r="V14" s="700" t="s">
        <v>14</v>
      </c>
      <c r="W14" s="701">
        <f t="shared" si="2"/>
        <v>100</v>
      </c>
      <c r="X14" s="702"/>
      <c r="Y14" s="364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12" t="s">
        <v>1691</v>
      </c>
      <c r="Q15" s="1351" t="str">
        <f t="shared" si="6"/>
        <v>商业繁华度</v>
      </c>
      <c r="R15" s="704" t="s">
        <v>14</v>
      </c>
      <c r="S15" s="705">
        <f t="shared" si="0"/>
        <v>102</v>
      </c>
      <c r="T15" s="704" t="s">
        <v>14</v>
      </c>
      <c r="U15" s="705">
        <f t="shared" si="1"/>
        <v>102</v>
      </c>
      <c r="V15" s="704" t="s">
        <v>14</v>
      </c>
      <c r="W15" s="705">
        <f t="shared" si="2"/>
        <v>102</v>
      </c>
      <c r="X15" s="1354"/>
      <c r="Y15" s="3714" t="s">
        <v>1691</v>
      </c>
      <c r="Z15" s="1355" t="str">
        <f t="shared" si="7"/>
        <v>商业繁华度</v>
      </c>
      <c r="AA15" s="1352">
        <f t="shared" si="3"/>
        <v>0.98039215686274506</v>
      </c>
      <c r="AB15" s="1352">
        <f t="shared" si="4"/>
        <v>0.98039215686274506</v>
      </c>
      <c r="AC15" s="1352">
        <f t="shared" si="5"/>
        <v>0.98039215686274506</v>
      </c>
    </row>
    <row r="16" spans="1:29" ht="15">
      <c r="A16" s="379"/>
      <c r="B16" s="397"/>
      <c r="C16" s="398" t="s">
        <v>3444</v>
      </c>
      <c r="D16" s="399"/>
      <c r="E16" s="398" t="s">
        <v>3424</v>
      </c>
      <c r="F16" s="400"/>
      <c r="G16" s="398" t="s">
        <v>3424</v>
      </c>
      <c r="H16" s="401"/>
      <c r="I16" s="398" t="s">
        <v>3424</v>
      </c>
      <c r="J16" s="399"/>
      <c r="K16" s="564"/>
      <c r="L16" s="2719"/>
      <c r="M16" s="2713"/>
      <c r="N16" s="2713"/>
      <c r="O16" s="2713"/>
      <c r="P16" s="3713"/>
      <c r="Q16" s="1351"/>
      <c r="R16" s="704"/>
      <c r="S16" s="705"/>
      <c r="T16" s="704"/>
      <c r="U16" s="705"/>
      <c r="V16" s="704"/>
      <c r="W16" s="705"/>
      <c r="X16" s="1354"/>
      <c r="Y16" s="3715"/>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102</v>
      </c>
      <c r="I17" s="403"/>
      <c r="J17" s="406">
        <f>SUMIF(78:78,I18,79:79)-SUMIF(78:78,C18,79:79)+100</f>
        <v>100</v>
      </c>
      <c r="K17" s="563">
        <v>2</v>
      </c>
      <c r="L17" s="2719"/>
      <c r="M17" s="2713"/>
      <c r="N17" s="2713"/>
      <c r="O17" s="2713"/>
      <c r="P17" s="3713"/>
      <c r="Q17" s="1351" t="str">
        <f>B17</f>
        <v>交通便捷度</v>
      </c>
      <c r="R17" s="704" t="s">
        <v>14</v>
      </c>
      <c r="S17" s="705">
        <f>F17</f>
        <v>102</v>
      </c>
      <c r="T17" s="704" t="s">
        <v>14</v>
      </c>
      <c r="U17" s="705">
        <f>H17</f>
        <v>102</v>
      </c>
      <c r="V17" s="704" t="s">
        <v>14</v>
      </c>
      <c r="W17" s="705">
        <f>J17</f>
        <v>100</v>
      </c>
      <c r="X17" s="1354"/>
      <c r="Y17" s="3715"/>
      <c r="Z17" s="1355" t="str">
        <f>Q17</f>
        <v>交通便捷度</v>
      </c>
      <c r="AA17" s="1352">
        <f t="shared" si="3"/>
        <v>0.98039215686274506</v>
      </c>
      <c r="AB17" s="1352">
        <f t="shared" si="4"/>
        <v>0.98039215686274506</v>
      </c>
      <c r="AC17" s="1352">
        <f t="shared" si="5"/>
        <v>1</v>
      </c>
    </row>
    <row r="18" spans="1:29" ht="15">
      <c r="A18" s="379"/>
      <c r="B18" s="407"/>
      <c r="C18" s="1900" t="s">
        <v>3424</v>
      </c>
      <c r="D18" s="401"/>
      <c r="E18" s="1900" t="s">
        <v>3423</v>
      </c>
      <c r="F18" s="404"/>
      <c r="G18" s="1900" t="s">
        <v>3423</v>
      </c>
      <c r="H18" s="399"/>
      <c r="I18" s="1900" t="s">
        <v>3424</v>
      </c>
      <c r="J18" s="399"/>
      <c r="K18" s="564"/>
      <c r="L18" s="2719"/>
      <c r="M18" s="2713"/>
      <c r="N18" s="2713"/>
      <c r="O18" s="2713"/>
      <c r="P18" s="3713"/>
      <c r="Q18" s="1351"/>
      <c r="R18" s="704"/>
      <c r="S18" s="705"/>
      <c r="T18" s="704"/>
      <c r="U18" s="705"/>
      <c r="V18" s="704"/>
      <c r="W18" s="705"/>
      <c r="X18" s="1354"/>
      <c r="Y18" s="3715"/>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3"/>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352">
        <f t="shared" si="5"/>
        <v>1</v>
      </c>
    </row>
    <row r="20" spans="1:29" ht="15">
      <c r="A20" s="379"/>
      <c r="B20" s="407"/>
      <c r="C20" s="398" t="s">
        <v>3423</v>
      </c>
      <c r="D20" s="399"/>
      <c r="E20" s="398" t="s">
        <v>3423</v>
      </c>
      <c r="F20" s="400"/>
      <c r="G20" s="398" t="s">
        <v>3423</v>
      </c>
      <c r="H20" s="399"/>
      <c r="I20" s="398" t="s">
        <v>3423</v>
      </c>
      <c r="J20" s="399"/>
      <c r="K20" s="564"/>
      <c r="L20" s="2719"/>
      <c r="M20" s="2713"/>
      <c r="N20" s="2713"/>
      <c r="O20" s="2713"/>
      <c r="P20" s="3713"/>
      <c r="Q20" s="1351"/>
      <c r="R20" s="704"/>
      <c r="S20" s="705"/>
      <c r="T20" s="704"/>
      <c r="U20" s="705"/>
      <c r="V20" s="704"/>
      <c r="W20" s="705"/>
      <c r="X20" s="1354"/>
      <c r="Y20" s="3715"/>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13"/>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9"/>
      <c r="B22" s="1130"/>
      <c r="C22" s="1900" t="s">
        <v>3439</v>
      </c>
      <c r="D22" s="399"/>
      <c r="E22" s="1900" t="s">
        <v>3439</v>
      </c>
      <c r="F22" s="400"/>
      <c r="G22" s="1900" t="s">
        <v>3439</v>
      </c>
      <c r="H22" s="399"/>
      <c r="I22" s="1900" t="s">
        <v>3439</v>
      </c>
      <c r="J22" s="399"/>
      <c r="K22" s="1129"/>
      <c r="L22" s="2719"/>
      <c r="M22" s="2713"/>
      <c r="N22" s="2713"/>
      <c r="O22" s="2713"/>
      <c r="P22" s="3713"/>
      <c r="Q22" s="1351"/>
      <c r="R22" s="704"/>
      <c r="S22" s="705"/>
      <c r="T22" s="704"/>
      <c r="U22" s="705"/>
      <c r="V22" s="704"/>
      <c r="W22" s="705"/>
      <c r="X22" s="1354"/>
      <c r="Y22" s="3715"/>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102</v>
      </c>
      <c r="G23" s="405"/>
      <c r="H23" s="401">
        <f>SUMIF(84:84,G24,85:85)-SUMIF(84:84,C24,85:85)+100</f>
        <v>102</v>
      </c>
      <c r="I23" s="403"/>
      <c r="J23" s="401">
        <f>SUMIF(84:84,I24,85:85)-SUMIF(84:84,C24,85:85)+100</f>
        <v>102</v>
      </c>
      <c r="K23" s="563">
        <v>2</v>
      </c>
      <c r="L23" s="2719"/>
      <c r="M23" s="2713"/>
      <c r="N23" s="2713"/>
      <c r="O23" s="2713"/>
      <c r="P23" s="3713"/>
      <c r="Q23" s="1351" t="str">
        <f>B23</f>
        <v>自然及人文环境</v>
      </c>
      <c r="R23" s="704" t="s">
        <v>14</v>
      </c>
      <c r="S23" s="705">
        <f>F23</f>
        <v>102</v>
      </c>
      <c r="T23" s="704" t="s">
        <v>14</v>
      </c>
      <c r="U23" s="705">
        <f>H23</f>
        <v>102</v>
      </c>
      <c r="V23" s="704" t="s">
        <v>14</v>
      </c>
      <c r="W23" s="705">
        <f>J23</f>
        <v>102</v>
      </c>
      <c r="X23" s="1354"/>
      <c r="Y23" s="3715"/>
      <c r="Z23" s="1355" t="str">
        <f>Q23</f>
        <v>自然及人文环境</v>
      </c>
      <c r="AA23" s="1352">
        <f t="shared" si="3"/>
        <v>0.98039215686274506</v>
      </c>
      <c r="AB23" s="1352">
        <f t="shared" si="4"/>
        <v>0.98039215686274506</v>
      </c>
      <c r="AC23" s="1352">
        <f t="shared" si="5"/>
        <v>0.98039215686274506</v>
      </c>
    </row>
    <row r="24" spans="1:29" ht="15">
      <c r="A24" s="379"/>
      <c r="B24" s="407"/>
      <c r="C24" s="398" t="s">
        <v>3424</v>
      </c>
      <c r="D24" s="399"/>
      <c r="E24" s="398" t="s">
        <v>3423</v>
      </c>
      <c r="F24" s="400"/>
      <c r="G24" s="398" t="s">
        <v>3423</v>
      </c>
      <c r="H24" s="399"/>
      <c r="I24" s="398" t="s">
        <v>3423</v>
      </c>
      <c r="J24" s="399"/>
      <c r="K24" s="564"/>
      <c r="L24" s="2719"/>
      <c r="M24" s="2713"/>
      <c r="N24" s="2713"/>
      <c r="O24" s="2713"/>
      <c r="P24" s="3713"/>
      <c r="Q24" s="1351"/>
      <c r="R24" s="704"/>
      <c r="S24" s="705"/>
      <c r="T24" s="704"/>
      <c r="U24" s="705"/>
      <c r="V24" s="704"/>
      <c r="W24" s="705"/>
      <c r="X24" s="1354"/>
      <c r="Y24" s="3715"/>
      <c r="Z24" s="1355"/>
      <c r="AA24" s="1352">
        <v>1</v>
      </c>
      <c r="AB24" s="1352">
        <v>1</v>
      </c>
      <c r="AC24" s="1352">
        <v>1</v>
      </c>
    </row>
    <row r="25" spans="1:29" ht="15">
      <c r="A25" s="379"/>
      <c r="B25" s="375" t="s">
        <v>1780</v>
      </c>
      <c r="C25" s="565" t="s">
        <v>3442</v>
      </c>
      <c r="D25" s="386">
        <v>100</v>
      </c>
      <c r="E25" s="565" t="s">
        <v>3440</v>
      </c>
      <c r="F25" s="412">
        <f>SUMIF(86:86,E25,87:87)-SUMIF(86:86,C25,87:87)+100</f>
        <v>103</v>
      </c>
      <c r="G25" s="565" t="s">
        <v>3442</v>
      </c>
      <c r="H25" s="386">
        <f>SUMIF(86:86,G25,87:87)-SUMIF(86:86,C25,87:87)+100</f>
        <v>100</v>
      </c>
      <c r="I25" s="565" t="s">
        <v>3440</v>
      </c>
      <c r="J25" s="386">
        <f>SUMIF(86:86,I25,87:87)-SUMIF(86:86,C25,87:87)+100</f>
        <v>103</v>
      </c>
      <c r="K25" s="561">
        <v>3</v>
      </c>
      <c r="L25" s="2719"/>
      <c r="M25" s="2713"/>
      <c r="N25" s="2713"/>
      <c r="O25" s="2713"/>
      <c r="P25" s="3713"/>
      <c r="Q25" s="1351" t="str">
        <f t="shared" ref="Q25:Q46" si="11">B25</f>
        <v>临街状况</v>
      </c>
      <c r="R25" s="704" t="s">
        <v>14</v>
      </c>
      <c r="S25" s="705">
        <f>F25</f>
        <v>103</v>
      </c>
      <c r="T25" s="704" t="s">
        <v>14</v>
      </c>
      <c r="U25" s="705">
        <f>H25</f>
        <v>100</v>
      </c>
      <c r="V25" s="704" t="s">
        <v>14</v>
      </c>
      <c r="W25" s="705">
        <f>J25</f>
        <v>103</v>
      </c>
      <c r="X25" s="1354"/>
      <c r="Y25" s="3715"/>
      <c r="Z25" s="1355" t="str">
        <f>Q25</f>
        <v>临街状况</v>
      </c>
      <c r="AA25" s="1352">
        <f t="shared" si="3"/>
        <v>0.970873786407767</v>
      </c>
      <c r="AB25" s="1352">
        <f t="shared" si="4"/>
        <v>1</v>
      </c>
      <c r="AC25" s="1352">
        <f t="shared" si="5"/>
        <v>0.970873786407767</v>
      </c>
    </row>
    <row r="26" spans="1:29" ht="15">
      <c r="A26" s="379"/>
      <c r="B26" s="1132" t="s">
        <v>1781</v>
      </c>
      <c r="C26" s="3464" t="s">
        <v>3509</v>
      </c>
      <c r="D26" s="386">
        <v>100</v>
      </c>
      <c r="E26" s="3464" t="s">
        <v>3452</v>
      </c>
      <c r="F26" s="412">
        <f>SUMIF(88:88,E26,89:89)-SUMIF(88:88,C26,89:89)+100</f>
        <v>103</v>
      </c>
      <c r="G26" s="3464" t="s">
        <v>3509</v>
      </c>
      <c r="H26" s="386">
        <f>SUMIF(88:88,G26,89:89)-SUMIF(88:88,C26,89:89)+100</f>
        <v>100</v>
      </c>
      <c r="I26" s="3464" t="s">
        <v>3452</v>
      </c>
      <c r="J26" s="386">
        <f>SUMIF(88:88,I26,89:89)-SUMIF(88:88,C26,89:89)+100</f>
        <v>103</v>
      </c>
      <c r="K26" s="562"/>
      <c r="L26" s="2719"/>
      <c r="M26" s="2713"/>
      <c r="N26" s="2713"/>
      <c r="O26" s="2713"/>
      <c r="P26" s="3713"/>
      <c r="Q26" s="1351" t="str">
        <f t="shared" si="11"/>
        <v>平面位置/可视性</v>
      </c>
      <c r="R26" s="704" t="s">
        <v>14</v>
      </c>
      <c r="S26" s="705">
        <f>F26</f>
        <v>103</v>
      </c>
      <c r="T26" s="704" t="s">
        <v>14</v>
      </c>
      <c r="U26" s="705">
        <f>H26</f>
        <v>100</v>
      </c>
      <c r="V26" s="704" t="s">
        <v>14</v>
      </c>
      <c r="W26" s="705">
        <f>J26</f>
        <v>103</v>
      </c>
      <c r="X26" s="1354"/>
      <c r="Y26" s="3715"/>
      <c r="Z26" s="1355" t="str">
        <f>Q26</f>
        <v>平面位置/可视性</v>
      </c>
      <c r="AA26" s="1352">
        <f t="shared" si="3"/>
        <v>0.970873786407767</v>
      </c>
      <c r="AB26" s="1352">
        <f t="shared" si="4"/>
        <v>1</v>
      </c>
      <c r="AC26" s="1352">
        <f t="shared" si="5"/>
        <v>0.970873786407767</v>
      </c>
    </row>
    <row r="27" spans="1:29" s="108" customFormat="1" ht="15">
      <c r="A27" s="382"/>
      <c r="B27" s="402" t="s">
        <v>1782</v>
      </c>
      <c r="C27" s="1955" t="s">
        <v>3553</v>
      </c>
      <c r="D27" s="413">
        <v>100</v>
      </c>
      <c r="E27" s="1955" t="s">
        <v>3424</v>
      </c>
      <c r="F27" s="415">
        <f>SUMIF(90:90,E27,91:91)-SUMIF(90:90,C27,91:91)+100</f>
        <v>102</v>
      </c>
      <c r="G27" s="1955" t="s">
        <v>3424</v>
      </c>
      <c r="H27" s="413">
        <f>SUMIF(90:90,G27,91:91)-SUMIF(90:90,C27,91:91)+100</f>
        <v>102</v>
      </c>
      <c r="I27" s="1955" t="s">
        <v>3424</v>
      </c>
      <c r="J27" s="413">
        <f>SUMIF(90:90,I27,91:91)-SUMIF(90:90,C27,91:91)+100</f>
        <v>102</v>
      </c>
      <c r="K27" s="561">
        <v>2</v>
      </c>
      <c r="L27" s="2714"/>
      <c r="M27" s="2715"/>
      <c r="N27" s="2715"/>
      <c r="O27" s="2715"/>
      <c r="P27" s="3713"/>
      <c r="Q27" s="1342" t="str">
        <f t="shared" si="11"/>
        <v>人流量</v>
      </c>
      <c r="R27" s="700" t="s">
        <v>14</v>
      </c>
      <c r="S27" s="701">
        <f>F27</f>
        <v>102</v>
      </c>
      <c r="T27" s="700" t="s">
        <v>14</v>
      </c>
      <c r="U27" s="701">
        <f>H27</f>
        <v>102</v>
      </c>
      <c r="V27" s="700" t="s">
        <v>14</v>
      </c>
      <c r="W27" s="701">
        <f>J27</f>
        <v>102</v>
      </c>
      <c r="X27" s="702"/>
      <c r="Y27" s="3715"/>
      <c r="Z27" s="52" t="str">
        <f>Q27</f>
        <v>人流量</v>
      </c>
      <c r="AA27" s="1352">
        <f>D27/F27</f>
        <v>0.98039215686274506</v>
      </c>
      <c r="AB27" s="1352">
        <f>D27/H27</f>
        <v>0.98039215686274506</v>
      </c>
      <c r="AC27" s="1352">
        <f>D27/J27</f>
        <v>0.98039215686274506</v>
      </c>
    </row>
    <row r="28" spans="1:29" ht="15">
      <c r="A28" s="379"/>
      <c r="B28" s="375" t="s">
        <v>1783</v>
      </c>
      <c r="C28" s="385" t="s">
        <v>3510</v>
      </c>
      <c r="D28" s="386">
        <v>100</v>
      </c>
      <c r="E28" s="565" t="s">
        <v>3510</v>
      </c>
      <c r="F28" s="412">
        <f>SUMIF(92:92,E28,93:93)-SUMIF(92:92,C28,93:93)+100</f>
        <v>100</v>
      </c>
      <c r="G28" s="3831" t="s">
        <v>3510</v>
      </c>
      <c r="H28" s="386">
        <f>SUMIF(92:92,G28,93:93)-SUMIF(92:92,C28,93:93)+100</f>
        <v>100</v>
      </c>
      <c r="I28" s="3831" t="s">
        <v>3510</v>
      </c>
      <c r="J28" s="386">
        <f>SUMIF(92:92,I28,93:93)-SUMIF(92:92,C28,93:93)+100</f>
        <v>100</v>
      </c>
      <c r="K28" s="562"/>
      <c r="L28" s="2719"/>
      <c r="M28" s="2713"/>
      <c r="N28" s="2713"/>
      <c r="O28" s="2713"/>
      <c r="P28" s="371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5"/>
      <c r="Z28" s="1355" t="str">
        <f t="shared" ref="Z28:Z46" si="15">Q28</f>
        <v>楼层</v>
      </c>
      <c r="AA28" s="1352">
        <f t="shared" si="3"/>
        <v>1</v>
      </c>
      <c r="AB28" s="1352">
        <f t="shared" si="4"/>
        <v>1</v>
      </c>
      <c r="AC28" s="1352">
        <f t="shared" si="5"/>
        <v>1</v>
      </c>
    </row>
    <row r="29" spans="1:29" ht="15">
      <c r="A29" s="379"/>
      <c r="B29" s="3463" t="s">
        <v>3522</v>
      </c>
      <c r="C29" s="3464"/>
      <c r="D29" s="386">
        <v>100</v>
      </c>
      <c r="E29" s="3464"/>
      <c r="F29" s="412">
        <f>SUMIF(94:94,E29,95:95)-SUMIF(94:94,C29,95:95)+100</f>
        <v>100</v>
      </c>
      <c r="G29" s="3464"/>
      <c r="H29" s="386">
        <f>SUMIF(94:94,G29,95:95)-SUMIF(94:94,C29,95:95)+100</f>
        <v>100</v>
      </c>
      <c r="I29" s="3464"/>
      <c r="J29" s="386">
        <f>SUMIF(94:94,I29,95:95)-SUMIF(94:94,C29,95:95)+100</f>
        <v>100</v>
      </c>
      <c r="K29" s="562"/>
      <c r="L29" s="2719"/>
      <c r="M29" s="2713"/>
      <c r="N29" s="2713"/>
      <c r="O29" s="2713"/>
      <c r="P29" s="3713"/>
      <c r="Q29" s="1351" t="str">
        <f t="shared" si="11"/>
        <v>修正系数</v>
      </c>
      <c r="R29" s="704" t="s">
        <v>14</v>
      </c>
      <c r="S29" s="705">
        <f t="shared" si="12"/>
        <v>100</v>
      </c>
      <c r="T29" s="704" t="s">
        <v>14</v>
      </c>
      <c r="U29" s="705">
        <f t="shared" si="13"/>
        <v>100</v>
      </c>
      <c r="V29" s="704" t="s">
        <v>14</v>
      </c>
      <c r="W29" s="705">
        <f t="shared" si="14"/>
        <v>100</v>
      </c>
      <c r="X29" s="1354"/>
      <c r="Y29" s="3715"/>
      <c r="Z29" s="1355" t="str">
        <f t="shared" si="15"/>
        <v>修正系数</v>
      </c>
      <c r="AA29" s="1352">
        <f t="shared" si="3"/>
        <v>1</v>
      </c>
      <c r="AB29" s="1352">
        <f t="shared" si="4"/>
        <v>1</v>
      </c>
      <c r="AC29" s="1352">
        <f t="shared" si="5"/>
        <v>1</v>
      </c>
    </row>
    <row r="30" spans="1:29" ht="15">
      <c r="A30" s="379"/>
      <c r="B30" s="3463" t="s">
        <v>3546</v>
      </c>
      <c r="C30" s="385"/>
      <c r="D30" s="386">
        <v>100</v>
      </c>
      <c r="E30" s="385" t="s">
        <v>3545</v>
      </c>
      <c r="F30" s="412">
        <f>SUMIF(96:96,E30,97:97)-SUMIF(96:96,C30,97:97)+100</f>
        <v>100</v>
      </c>
      <c r="G30" s="385" t="s">
        <v>3545</v>
      </c>
      <c r="H30" s="386">
        <f>SUMIF(96:96,G30,97:97)-SUMIF(96:96,C30,97:97)+100</f>
        <v>100</v>
      </c>
      <c r="I30" s="385" t="s">
        <v>3545</v>
      </c>
      <c r="J30" s="386">
        <f>SUMIF(96:96,I30,97:97)-SUMIF(96:96,C30,97:97)+100</f>
        <v>100</v>
      </c>
      <c r="K30" s="562"/>
      <c r="L30" s="2719"/>
      <c r="M30" s="2713"/>
      <c r="N30" s="2713"/>
      <c r="O30" s="2713"/>
      <c r="P30" s="3713"/>
      <c r="Q30" s="1351" t="str">
        <f t="shared" si="11"/>
        <v>实际楼层</v>
      </c>
      <c r="R30" s="704" t="s">
        <v>14</v>
      </c>
      <c r="S30" s="705">
        <f t="shared" si="12"/>
        <v>100</v>
      </c>
      <c r="T30" s="704" t="s">
        <v>14</v>
      </c>
      <c r="U30" s="705">
        <f t="shared" si="13"/>
        <v>100</v>
      </c>
      <c r="V30" s="704" t="s">
        <v>14</v>
      </c>
      <c r="W30" s="705">
        <f t="shared" si="14"/>
        <v>100</v>
      </c>
      <c r="X30" s="1354"/>
      <c r="Y30" s="3715"/>
      <c r="Z30" s="1355" t="str">
        <f t="shared" si="15"/>
        <v>实际楼层</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1">
        <f t="shared" si="11"/>
        <v>111</v>
      </c>
      <c r="R31" s="704" t="s">
        <v>14</v>
      </c>
      <c r="S31" s="705">
        <f t="shared" si="12"/>
        <v>100</v>
      </c>
      <c r="T31" s="704" t="s">
        <v>14</v>
      </c>
      <c r="U31" s="705">
        <f t="shared" si="13"/>
        <v>100</v>
      </c>
      <c r="V31" s="704" t="s">
        <v>14</v>
      </c>
      <c r="W31" s="705">
        <f t="shared" si="14"/>
        <v>100</v>
      </c>
      <c r="X31" s="1354"/>
      <c r="Y31" s="3715"/>
      <c r="Z31" s="1355">
        <f t="shared" si="15"/>
        <v>111</v>
      </c>
      <c r="AA31" s="1352">
        <f t="shared" si="3"/>
        <v>1</v>
      </c>
      <c r="AB31" s="1352">
        <f t="shared" si="4"/>
        <v>1</v>
      </c>
      <c r="AC31" s="1352">
        <f t="shared" si="5"/>
        <v>1</v>
      </c>
    </row>
    <row r="32" spans="1:29" ht="15">
      <c r="A32" s="391" t="s">
        <v>1694</v>
      </c>
      <c r="B32" s="63" t="s">
        <v>1784</v>
      </c>
      <c r="C32" s="1909" t="s">
        <v>3518</v>
      </c>
      <c r="D32" s="418">
        <v>100</v>
      </c>
      <c r="E32" s="1909" t="s">
        <v>3543</v>
      </c>
      <c r="F32" s="412">
        <f>SUMIF(100:100,E32,101:101)-SUMIF(100:100,C32,101:101)+100</f>
        <v>98</v>
      </c>
      <c r="G32" s="1909" t="s">
        <v>3543</v>
      </c>
      <c r="H32" s="386">
        <f>SUMIF(100:100,G32,101:101)-SUMIF(100:100,C32,101:101)+100</f>
        <v>98</v>
      </c>
      <c r="I32" s="1909" t="s">
        <v>3543</v>
      </c>
      <c r="J32" s="418">
        <f>SUMIF(100:100,I32,101:101)-SUMIF(100:100,C32,101:101)+100</f>
        <v>98</v>
      </c>
      <c r="K32" s="561">
        <v>2</v>
      </c>
      <c r="L32" s="2719"/>
      <c r="M32" s="2713"/>
      <c r="N32" s="2713"/>
      <c r="O32" s="2713"/>
      <c r="P32" s="3716" t="s">
        <v>1696</v>
      </c>
      <c r="Q32" s="1351" t="str">
        <f t="shared" si="11"/>
        <v>商业类型</v>
      </c>
      <c r="R32" s="704" t="s">
        <v>14</v>
      </c>
      <c r="S32" s="705">
        <f t="shared" si="12"/>
        <v>98</v>
      </c>
      <c r="T32" s="704" t="s">
        <v>14</v>
      </c>
      <c r="U32" s="705">
        <f t="shared" si="13"/>
        <v>98</v>
      </c>
      <c r="V32" s="704" t="s">
        <v>14</v>
      </c>
      <c r="W32" s="705">
        <f t="shared" si="14"/>
        <v>98</v>
      </c>
      <c r="X32" s="1354"/>
      <c r="Y32" s="3719" t="s">
        <v>1696</v>
      </c>
      <c r="Z32" s="1355" t="str">
        <f t="shared" si="15"/>
        <v>商业类型</v>
      </c>
      <c r="AA32" s="1352">
        <f t="shared" si="3"/>
        <v>1.0204081632653061</v>
      </c>
      <c r="AB32" s="1352">
        <f t="shared" si="4"/>
        <v>1.0204081632653061</v>
      </c>
      <c r="AC32" s="1352">
        <f t="shared" si="5"/>
        <v>1.0204081632653061</v>
      </c>
    </row>
    <row r="33" spans="1:29" s="422" customFormat="1" ht="15">
      <c r="A33" s="419"/>
      <c r="B33" s="375" t="s">
        <v>1697</v>
      </c>
      <c r="C33" s="420">
        <f>'数据-基础表'!I13</f>
        <v>224.79</v>
      </c>
      <c r="D33" s="127">
        <v>100</v>
      </c>
      <c r="E33" s="381">
        <v>93.81</v>
      </c>
      <c r="F33" s="376">
        <f>LOOKUP(E33,103:103,104:104)-LOOKUP(C33,103:103,104:104)+100</f>
        <v>102</v>
      </c>
      <c r="G33" s="380">
        <v>88.07</v>
      </c>
      <c r="H33" s="127">
        <f>LOOKUP(G33,103:103,104:104)-LOOKUP(C33,103:103,104:104)+100</f>
        <v>102</v>
      </c>
      <c r="I33" s="380">
        <v>182</v>
      </c>
      <c r="J33" s="127">
        <f>LOOKUP(I33,103:103,104:104)-LOOKUP(C33,103:103,104:104)+100</f>
        <v>101</v>
      </c>
      <c r="K33" s="562"/>
      <c r="L33" s="2718"/>
      <c r="M33" s="2720"/>
      <c r="N33" s="2720"/>
      <c r="O33" s="2720"/>
      <c r="P33" s="3717"/>
      <c r="Q33" s="706" t="str">
        <f t="shared" si="11"/>
        <v>项目建筑规模</v>
      </c>
      <c r="R33" s="707" t="s">
        <v>14</v>
      </c>
      <c r="S33" s="708">
        <f t="shared" si="12"/>
        <v>102</v>
      </c>
      <c r="T33" s="707" t="s">
        <v>14</v>
      </c>
      <c r="U33" s="708">
        <f t="shared" si="13"/>
        <v>102</v>
      </c>
      <c r="V33" s="707" t="s">
        <v>14</v>
      </c>
      <c r="W33" s="708">
        <f t="shared" si="14"/>
        <v>101</v>
      </c>
      <c r="X33" s="709"/>
      <c r="Y33" s="3719"/>
      <c r="Z33" s="710" t="str">
        <f t="shared" si="15"/>
        <v>项目建筑规模</v>
      </c>
      <c r="AA33" s="1352">
        <f t="shared" si="3"/>
        <v>0.98039215686274506</v>
      </c>
      <c r="AB33" s="1352">
        <f t="shared" si="4"/>
        <v>0.98039215686274506</v>
      </c>
      <c r="AC33" s="1352">
        <f t="shared" si="5"/>
        <v>0.99009900990099009</v>
      </c>
    </row>
    <row r="34" spans="1:29" ht="15">
      <c r="A34" s="423"/>
      <c r="B34" s="375" t="s">
        <v>1698</v>
      </c>
      <c r="C34" s="1911" t="s">
        <v>3459</v>
      </c>
      <c r="D34" s="386">
        <v>100</v>
      </c>
      <c r="E34" s="1911" t="s">
        <v>3459</v>
      </c>
      <c r="F34" s="412">
        <f>SUMIF(105:105,E34,106:106)-SUMIF(105:105,C34,106:106)+100</f>
        <v>100</v>
      </c>
      <c r="G34" s="1911" t="s">
        <v>3459</v>
      </c>
      <c r="H34" s="386">
        <f>SUMIF(105:105,G34,106:106)-SUMIF(105:105,C34,106:106)+100</f>
        <v>100</v>
      </c>
      <c r="I34" s="1911" t="s">
        <v>3459</v>
      </c>
      <c r="J34" s="386">
        <f>SUMIF(105:105,I34,106:106)-SUMIF(105:105,C34,106:106)+100</f>
        <v>100</v>
      </c>
      <c r="K34" s="561">
        <v>1</v>
      </c>
      <c r="L34" s="2719"/>
      <c r="M34" s="2713"/>
      <c r="N34" s="2713"/>
      <c r="O34" s="2713"/>
      <c r="P34" s="3717"/>
      <c r="Q34" s="1351" t="str">
        <f t="shared" si="11"/>
        <v>建筑结构</v>
      </c>
      <c r="R34" s="704" t="s">
        <v>14</v>
      </c>
      <c r="S34" s="705">
        <f t="shared" si="12"/>
        <v>100</v>
      </c>
      <c r="T34" s="704" t="s">
        <v>14</v>
      </c>
      <c r="U34" s="705">
        <f t="shared" si="13"/>
        <v>100</v>
      </c>
      <c r="V34" s="704" t="s">
        <v>14</v>
      </c>
      <c r="W34" s="705">
        <f t="shared" si="14"/>
        <v>100</v>
      </c>
      <c r="X34" s="1354"/>
      <c r="Y34" s="3719"/>
      <c r="Z34" s="1355" t="str">
        <f t="shared" si="15"/>
        <v>建筑结构</v>
      </c>
      <c r="AA34" s="1352">
        <f t="shared" si="3"/>
        <v>1</v>
      </c>
      <c r="AB34" s="1352">
        <f t="shared" si="4"/>
        <v>1</v>
      </c>
      <c r="AC34" s="1352">
        <f t="shared" si="5"/>
        <v>1</v>
      </c>
    </row>
    <row r="35" spans="1:29" ht="15">
      <c r="A35" s="423"/>
      <c r="B35" s="375" t="s">
        <v>1785</v>
      </c>
      <c r="C35" s="1905" t="s">
        <v>3487</v>
      </c>
      <c r="D35" s="386">
        <v>100</v>
      </c>
      <c r="E35" s="1905" t="s">
        <v>3487</v>
      </c>
      <c r="F35" s="412">
        <f>SUMIF(107:107,E35,108:108)-SUMIF(107:107,C35,108:108)+100</f>
        <v>100</v>
      </c>
      <c r="G35" s="1905" t="s">
        <v>3487</v>
      </c>
      <c r="H35" s="386">
        <f>SUMIF(107:107,G35,108:108)-SUMIF(107:107,C35,108:108)+100</f>
        <v>100</v>
      </c>
      <c r="I35" s="1905" t="s">
        <v>3487</v>
      </c>
      <c r="J35" s="386">
        <f>SUMIF(107:107,I35,108:108)-SUMIF(107:107,C35,108:108)+100</f>
        <v>100</v>
      </c>
      <c r="K35" s="561">
        <v>1</v>
      </c>
      <c r="L35" s="2719"/>
      <c r="M35" s="2713"/>
      <c r="N35" s="2713"/>
      <c r="O35" s="2713"/>
      <c r="P35" s="3717"/>
      <c r="Q35" s="1351" t="str">
        <f t="shared" si="11"/>
        <v>公共部分装修</v>
      </c>
      <c r="R35" s="704" t="s">
        <v>14</v>
      </c>
      <c r="S35" s="705">
        <f t="shared" si="12"/>
        <v>100</v>
      </c>
      <c r="T35" s="704" t="s">
        <v>14</v>
      </c>
      <c r="U35" s="705">
        <f t="shared" si="13"/>
        <v>100</v>
      </c>
      <c r="V35" s="704" t="s">
        <v>14</v>
      </c>
      <c r="W35" s="705">
        <f t="shared" si="14"/>
        <v>100</v>
      </c>
      <c r="X35" s="1354"/>
      <c r="Y35" s="3719"/>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v>0.7</v>
      </c>
      <c r="F36" s="412">
        <f>LOOKUP(E36,110:110,111:111)-LOOKUP(C36,110:110,111:111)+100</f>
        <v>99</v>
      </c>
      <c r="G36" s="425">
        <v>0.62</v>
      </c>
      <c r="H36" s="412">
        <f>LOOKUP(G36,110:110,111:111)-LOOKUP(C36,110:110,111:111)+100</f>
        <v>98</v>
      </c>
      <c r="I36" s="425">
        <v>0.73</v>
      </c>
      <c r="J36" s="386">
        <f>LOOKUP(I36,110:110,111:111)-LOOKUP(C36,110:110,111:111)+100</f>
        <v>99</v>
      </c>
      <c r="K36" s="561">
        <v>1</v>
      </c>
      <c r="L36" s="2719"/>
      <c r="M36" s="2713"/>
      <c r="N36" s="2713"/>
      <c r="O36" s="2713"/>
      <c r="P36" s="3717"/>
      <c r="Q36" s="1351" t="str">
        <f t="shared" si="11"/>
        <v>成新度</v>
      </c>
      <c r="R36" s="704" t="s">
        <v>14</v>
      </c>
      <c r="S36" s="705">
        <f t="shared" si="12"/>
        <v>99</v>
      </c>
      <c r="T36" s="704" t="s">
        <v>14</v>
      </c>
      <c r="U36" s="705">
        <f t="shared" si="13"/>
        <v>98</v>
      </c>
      <c r="V36" s="704" t="s">
        <v>14</v>
      </c>
      <c r="W36" s="705">
        <f t="shared" si="14"/>
        <v>99</v>
      </c>
      <c r="X36" s="1354"/>
      <c r="Y36" s="3719"/>
      <c r="Z36" s="1355" t="str">
        <f t="shared" si="15"/>
        <v>成新度</v>
      </c>
      <c r="AA36" s="1352">
        <f t="shared" si="3"/>
        <v>1.0101010101010102</v>
      </c>
      <c r="AB36" s="1352">
        <f t="shared" si="4"/>
        <v>1.0204081632653061</v>
      </c>
      <c r="AC36" s="1352">
        <f t="shared" si="5"/>
        <v>1.0101010101010102</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7"/>
      <c r="Q37" s="1342" t="str">
        <f t="shared" si="11"/>
        <v>市政基础设施</v>
      </c>
      <c r="R37" s="700" t="s">
        <v>14</v>
      </c>
      <c r="S37" s="701">
        <f t="shared" si="12"/>
        <v>100</v>
      </c>
      <c r="T37" s="700" t="s">
        <v>14</v>
      </c>
      <c r="U37" s="701">
        <f t="shared" si="13"/>
        <v>100</v>
      </c>
      <c r="V37" s="700" t="s">
        <v>14</v>
      </c>
      <c r="W37" s="701">
        <f t="shared" si="14"/>
        <v>100</v>
      </c>
      <c r="X37" s="702"/>
      <c r="Y37" s="3719"/>
      <c r="Z37" s="52" t="str">
        <f t="shared" si="15"/>
        <v>市政基础设施</v>
      </c>
      <c r="AA37" s="703">
        <f t="shared" si="3"/>
        <v>1</v>
      </c>
      <c r="AB37" s="703">
        <f t="shared" si="4"/>
        <v>1</v>
      </c>
      <c r="AC37" s="703">
        <f t="shared" si="5"/>
        <v>1</v>
      </c>
    </row>
    <row r="38" spans="1:29" ht="15">
      <c r="A38" s="423"/>
      <c r="B38" s="375" t="s">
        <v>1788</v>
      </c>
      <c r="C38" s="1905" t="s">
        <v>3455</v>
      </c>
      <c r="D38" s="386">
        <v>100</v>
      </c>
      <c r="E38" s="1905" t="s">
        <v>3455</v>
      </c>
      <c r="F38" s="412">
        <f>SUMIF(114:114,E38,115:115)-SUMIF(114:114,C38,115:115)+100</f>
        <v>100</v>
      </c>
      <c r="G38" s="1905" t="s">
        <v>3455</v>
      </c>
      <c r="H38" s="386">
        <f>SUMIF(114:114,G38,115:115)-SUMIF(114:114,C38,115:115)+100</f>
        <v>100</v>
      </c>
      <c r="I38" s="1905" t="s">
        <v>3455</v>
      </c>
      <c r="J38" s="386">
        <f>SUMIF(114:114,I38,115:115)-SUMIF(114:114,C38,115:115)+100</f>
        <v>100</v>
      </c>
      <c r="K38" s="561">
        <v>1</v>
      </c>
      <c r="L38" s="2719"/>
      <c r="M38" s="2713"/>
      <c r="N38" s="2713"/>
      <c r="O38" s="2713"/>
      <c r="P38" s="3717" t="s">
        <v>1696</v>
      </c>
      <c r="Q38" s="1351" t="str">
        <f t="shared" si="11"/>
        <v>业态</v>
      </c>
      <c r="R38" s="704" t="s">
        <v>14</v>
      </c>
      <c r="S38" s="705">
        <f t="shared" si="12"/>
        <v>100</v>
      </c>
      <c r="T38" s="704" t="s">
        <v>14</v>
      </c>
      <c r="U38" s="705">
        <f t="shared" si="13"/>
        <v>100</v>
      </c>
      <c r="V38" s="704" t="s">
        <v>14</v>
      </c>
      <c r="W38" s="705">
        <f t="shared" si="14"/>
        <v>100</v>
      </c>
      <c r="X38" s="1354"/>
      <c r="Y38" s="3719" t="s">
        <v>1696</v>
      </c>
      <c r="Z38" s="1355" t="str">
        <f t="shared" si="15"/>
        <v>业态</v>
      </c>
      <c r="AA38" s="1352">
        <f t="shared" si="3"/>
        <v>1</v>
      </c>
      <c r="AB38" s="1352">
        <f t="shared" si="4"/>
        <v>1</v>
      </c>
      <c r="AC38" s="1352">
        <f t="shared" si="5"/>
        <v>1</v>
      </c>
    </row>
    <row r="39" spans="1:29" ht="15">
      <c r="A39" s="423"/>
      <c r="B39" s="375" t="s">
        <v>1789</v>
      </c>
      <c r="C39" s="1905" t="s">
        <v>3457</v>
      </c>
      <c r="D39" s="386">
        <v>100</v>
      </c>
      <c r="E39" s="1905" t="s">
        <v>3457</v>
      </c>
      <c r="F39" s="412">
        <f>SUMIF(116:116,E39,117:117)-SUMIF(116:116,C39,117:117)+100</f>
        <v>100</v>
      </c>
      <c r="G39" s="1905" t="s">
        <v>3457</v>
      </c>
      <c r="H39" s="386">
        <f>SUMIF(116:116,G39,117:117)-SUMIF(116:116,C39,117:117)+100</f>
        <v>100</v>
      </c>
      <c r="I39" s="1905" t="s">
        <v>3457</v>
      </c>
      <c r="J39" s="386">
        <f>SUMIF(116:116,I39,117:117)-SUMIF(116:116,C39,117:117)+100</f>
        <v>100</v>
      </c>
      <c r="K39" s="561">
        <v>1</v>
      </c>
      <c r="L39" s="2719"/>
      <c r="M39" s="2713"/>
      <c r="N39" s="2713"/>
      <c r="O39" s="2713"/>
      <c r="P39" s="3717"/>
      <c r="Q39" s="1351" t="str">
        <f t="shared" si="11"/>
        <v>层高</v>
      </c>
      <c r="R39" s="704" t="s">
        <v>14</v>
      </c>
      <c r="S39" s="705">
        <f t="shared" si="12"/>
        <v>100</v>
      </c>
      <c r="T39" s="704" t="s">
        <v>14</v>
      </c>
      <c r="U39" s="705">
        <f t="shared" si="13"/>
        <v>100</v>
      </c>
      <c r="V39" s="704" t="s">
        <v>14</v>
      </c>
      <c r="W39" s="705">
        <f t="shared" si="14"/>
        <v>100</v>
      </c>
      <c r="X39" s="1354"/>
      <c r="Y39" s="3719"/>
      <c r="Z39" s="1355" t="str">
        <f t="shared" si="15"/>
        <v>层高</v>
      </c>
      <c r="AA39" s="1352">
        <f t="shared" si="3"/>
        <v>1</v>
      </c>
      <c r="AB39" s="1352">
        <f t="shared" si="4"/>
        <v>1</v>
      </c>
      <c r="AC39" s="1352">
        <f t="shared" si="5"/>
        <v>1</v>
      </c>
    </row>
    <row r="40" spans="1:29" ht="15" hidden="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7"/>
      <c r="Q40" s="1351" t="str">
        <f t="shared" si="11"/>
        <v>单套建筑面积</v>
      </c>
      <c r="R40" s="704" t="s">
        <v>14</v>
      </c>
      <c r="S40" s="705">
        <f t="shared" si="12"/>
        <v>100</v>
      </c>
      <c r="T40" s="704" t="s">
        <v>14</v>
      </c>
      <c r="U40" s="705">
        <f t="shared" si="13"/>
        <v>100</v>
      </c>
      <c r="V40" s="704" t="s">
        <v>14</v>
      </c>
      <c r="W40" s="705">
        <f t="shared" si="14"/>
        <v>100</v>
      </c>
      <c r="X40" s="1354"/>
      <c r="Y40" s="3719"/>
      <c r="Z40" s="1355" t="str">
        <f t="shared" si="15"/>
        <v>单套建筑面积</v>
      </c>
      <c r="AA40" s="1352">
        <f t="shared" si="3"/>
        <v>1</v>
      </c>
      <c r="AB40" s="1352">
        <f t="shared" si="4"/>
        <v>1</v>
      </c>
      <c r="AC40" s="1352">
        <f t="shared" si="5"/>
        <v>1</v>
      </c>
    </row>
    <row r="41" spans="1:29" s="422" customFormat="1" ht="15" hidden="1">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7"/>
      <c r="Q41" s="706" t="str">
        <f t="shared" si="11"/>
        <v>进深比</v>
      </c>
      <c r="R41" s="707" t="s">
        <v>14</v>
      </c>
      <c r="S41" s="708">
        <f t="shared" si="12"/>
        <v>100</v>
      </c>
      <c r="T41" s="707" t="s">
        <v>14</v>
      </c>
      <c r="U41" s="708">
        <f t="shared" si="13"/>
        <v>100</v>
      </c>
      <c r="V41" s="707" t="s">
        <v>14</v>
      </c>
      <c r="W41" s="708">
        <f t="shared" si="14"/>
        <v>100</v>
      </c>
      <c r="X41" s="709"/>
      <c r="Y41" s="3719"/>
      <c r="Z41" s="710" t="str">
        <f t="shared" si="15"/>
        <v>进深比</v>
      </c>
      <c r="AA41" s="1352">
        <f t="shared" si="3"/>
        <v>1</v>
      </c>
      <c r="AB41" s="1352">
        <f t="shared" si="4"/>
        <v>1</v>
      </c>
      <c r="AC41" s="1352">
        <f t="shared" si="5"/>
        <v>1</v>
      </c>
    </row>
    <row r="42" spans="1:29" ht="15">
      <c r="A42" s="423"/>
      <c r="B42" s="375" t="s">
        <v>1792</v>
      </c>
      <c r="C42" s="1905" t="s">
        <v>3503</v>
      </c>
      <c r="D42" s="386">
        <v>100</v>
      </c>
      <c r="E42" s="1905" t="s">
        <v>3503</v>
      </c>
      <c r="F42" s="412">
        <f>SUMIF(122:122,E42,123:123)-SUMIF(122:122,C42,123:123)+100</f>
        <v>100</v>
      </c>
      <c r="G42" s="1905" t="s">
        <v>3503</v>
      </c>
      <c r="H42" s="386">
        <f>SUMIF(122:122,G42,123:123)-SUMIF(122:122,C42,123:123)+100</f>
        <v>100</v>
      </c>
      <c r="I42" s="1905" t="s">
        <v>3503</v>
      </c>
      <c r="J42" s="386">
        <f>SUMIF(122:122,I42,123:123)-SUMIF(122:122,C42,123:123)+100</f>
        <v>100</v>
      </c>
      <c r="K42" s="561">
        <v>1</v>
      </c>
      <c r="L42" s="2719"/>
      <c r="M42" s="2713"/>
      <c r="N42" s="2713"/>
      <c r="O42" s="2713"/>
      <c r="P42" s="3717"/>
      <c r="Q42" s="1351" t="str">
        <f t="shared" si="11"/>
        <v>内部装修</v>
      </c>
      <c r="R42" s="704" t="s">
        <v>14</v>
      </c>
      <c r="S42" s="705">
        <f t="shared" si="12"/>
        <v>100</v>
      </c>
      <c r="T42" s="704" t="s">
        <v>14</v>
      </c>
      <c r="U42" s="705">
        <f t="shared" si="13"/>
        <v>100</v>
      </c>
      <c r="V42" s="704" t="s">
        <v>14</v>
      </c>
      <c r="W42" s="705">
        <f t="shared" si="14"/>
        <v>100</v>
      </c>
      <c r="X42" s="1354"/>
      <c r="Y42" s="3719"/>
      <c r="Z42" s="1355" t="str">
        <f t="shared" si="15"/>
        <v>内部装修</v>
      </c>
      <c r="AA42" s="1352">
        <f t="shared" si="3"/>
        <v>1</v>
      </c>
      <c r="AB42" s="1352">
        <f t="shared" si="4"/>
        <v>1</v>
      </c>
      <c r="AC42" s="1352">
        <f t="shared" si="5"/>
        <v>1</v>
      </c>
    </row>
    <row r="43" spans="1:29" ht="15">
      <c r="A43" s="423"/>
      <c r="B43" s="375" t="s">
        <v>1707</v>
      </c>
      <c r="C43" s="1905" t="s">
        <v>3423</v>
      </c>
      <c r="D43" s="386">
        <v>100</v>
      </c>
      <c r="E43" s="1905" t="s">
        <v>3423</v>
      </c>
      <c r="F43" s="412">
        <f>SUMIF(124:124,E43,125:125)-SUMIF(124:124,C43,125:125)+100</f>
        <v>100</v>
      </c>
      <c r="G43" s="1905" t="s">
        <v>3423</v>
      </c>
      <c r="H43" s="386">
        <f>SUMIF(124:124,G43,125:125)-SUMIF(124:124,C43,125:125)+100</f>
        <v>100</v>
      </c>
      <c r="I43" s="1905" t="s">
        <v>3423</v>
      </c>
      <c r="J43" s="386">
        <f>SUMIF(124:124,I43,125:125)-SUMIF(124:124,C43,125:125)+100</f>
        <v>100</v>
      </c>
      <c r="K43" s="561">
        <v>1</v>
      </c>
      <c r="L43" s="2719"/>
      <c r="M43" s="2713"/>
      <c r="N43" s="2713"/>
      <c r="O43" s="2713"/>
      <c r="P43" s="3717"/>
      <c r="Q43" s="1351" t="str">
        <f t="shared" si="11"/>
        <v>内部装修维护情况</v>
      </c>
      <c r="R43" s="704" t="s">
        <v>14</v>
      </c>
      <c r="S43" s="705">
        <f t="shared" si="12"/>
        <v>100</v>
      </c>
      <c r="T43" s="704" t="s">
        <v>14</v>
      </c>
      <c r="U43" s="705">
        <f t="shared" si="13"/>
        <v>100</v>
      </c>
      <c r="V43" s="704" t="s">
        <v>14</v>
      </c>
      <c r="W43" s="705">
        <f t="shared" si="14"/>
        <v>100</v>
      </c>
      <c r="X43" s="1354"/>
      <c r="Y43" s="3719"/>
      <c r="Z43" s="1355" t="str">
        <f t="shared" si="15"/>
        <v>内部装修维护情况</v>
      </c>
      <c r="AA43" s="1352">
        <f t="shared" si="3"/>
        <v>1</v>
      </c>
      <c r="AB43" s="1352">
        <f t="shared" si="4"/>
        <v>1</v>
      </c>
      <c r="AC43" s="1352">
        <f t="shared" si="5"/>
        <v>1</v>
      </c>
    </row>
    <row r="44" spans="1:29" s="108" customFormat="1" ht="15">
      <c r="A44" s="424"/>
      <c r="B44" s="3463" t="s">
        <v>3462</v>
      </c>
      <c r="C44" s="420">
        <f>'数据-取费表'!N18</f>
        <v>2015</v>
      </c>
      <c r="D44" s="127">
        <v>100</v>
      </c>
      <c r="E44" s="385" t="s">
        <v>3559</v>
      </c>
      <c r="F44" s="376">
        <f>SUMIF(126:126,E44,127:127)-SUMIF(126:126,C44,127:127)+100</f>
        <v>100</v>
      </c>
      <c r="G44" s="385" t="s">
        <v>3562</v>
      </c>
      <c r="H44" s="127">
        <f>SUMIF(126:126,G44,127:127)-SUMIF(126:126,C44,127:127)+100</f>
        <v>100</v>
      </c>
      <c r="I44" s="385" t="s">
        <v>3561</v>
      </c>
      <c r="J44" s="127">
        <f>SUMIF(126:126,I44,127:127)-SUMIF(126:126,C44,127:127)+100</f>
        <v>100</v>
      </c>
      <c r="K44" s="562"/>
      <c r="L44" s="2714"/>
      <c r="M44" s="2715"/>
      <c r="N44" s="2715"/>
      <c r="O44" s="2715"/>
      <c r="P44" s="3717"/>
      <c r="Q44" s="1342" t="str">
        <f t="shared" si="11"/>
        <v>建成年代</v>
      </c>
      <c r="R44" s="700" t="s">
        <v>14</v>
      </c>
      <c r="S44" s="701">
        <f t="shared" si="12"/>
        <v>100</v>
      </c>
      <c r="T44" s="700" t="s">
        <v>14</v>
      </c>
      <c r="U44" s="701">
        <f t="shared" si="13"/>
        <v>100</v>
      </c>
      <c r="V44" s="700" t="s">
        <v>14</v>
      </c>
      <c r="W44" s="701">
        <f t="shared" si="14"/>
        <v>100</v>
      </c>
      <c r="X44" s="702"/>
      <c r="Y44" s="3719"/>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7"/>
      <c r="Q45" s="1351">
        <f t="shared" si="11"/>
        <v>111</v>
      </c>
      <c r="R45" s="704" t="s">
        <v>14</v>
      </c>
      <c r="S45" s="705">
        <f t="shared" si="12"/>
        <v>100</v>
      </c>
      <c r="T45" s="704" t="s">
        <v>14</v>
      </c>
      <c r="U45" s="705">
        <f t="shared" si="13"/>
        <v>100</v>
      </c>
      <c r="V45" s="704" t="s">
        <v>14</v>
      </c>
      <c r="W45" s="705">
        <f t="shared" si="14"/>
        <v>100</v>
      </c>
      <c r="X45" s="1354"/>
      <c r="Y45" s="371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8"/>
      <c r="Q46" s="1351">
        <f t="shared" si="11"/>
        <v>111</v>
      </c>
      <c r="R46" s="704" t="s">
        <v>14</v>
      </c>
      <c r="S46" s="705">
        <f t="shared" si="12"/>
        <v>100</v>
      </c>
      <c r="T46" s="704" t="s">
        <v>14</v>
      </c>
      <c r="U46" s="705">
        <f t="shared" si="13"/>
        <v>100</v>
      </c>
      <c r="V46" s="704" t="s">
        <v>14</v>
      </c>
      <c r="W46" s="705">
        <f t="shared" si="14"/>
        <v>100</v>
      </c>
      <c r="X46" s="1354"/>
      <c r="Y46" s="3720"/>
      <c r="Z46" s="1355">
        <f t="shared" si="15"/>
        <v>111</v>
      </c>
      <c r="AA46" s="1352">
        <f t="shared" si="3"/>
        <v>1</v>
      </c>
      <c r="AB46" s="1352">
        <f t="shared" si="4"/>
        <v>1</v>
      </c>
      <c r="AC46" s="1352">
        <f t="shared" si="5"/>
        <v>1</v>
      </c>
    </row>
    <row r="47" spans="1:29" ht="15">
      <c r="A47" s="430" t="s">
        <v>1708</v>
      </c>
      <c r="B47" s="431"/>
      <c r="C47" s="1153" t="s">
        <v>0</v>
      </c>
      <c r="D47" s="1154"/>
      <c r="E47" s="1155">
        <f>ROUND(E50*D95/C95,0)</f>
        <v>26783</v>
      </c>
      <c r="F47" s="1156"/>
      <c r="G47" s="3835">
        <f>ROUND(G50*D95/C95,0)</f>
        <v>28103</v>
      </c>
      <c r="H47" s="1158"/>
      <c r="I47" s="3836">
        <f>ROUND(I50*D95/C95,0)</f>
        <v>30750</v>
      </c>
      <c r="J47" s="1158"/>
      <c r="K47" s="713"/>
      <c r="L47" s="2721"/>
      <c r="M47" s="2722"/>
      <c r="N47" s="2713"/>
      <c r="O47" s="2722"/>
      <c r="P47" s="3721" t="str">
        <f>A47</f>
        <v>成交单价（元/平方米）</v>
      </c>
      <c r="Q47" s="3721"/>
      <c r="R47" s="3709">
        <f>E47</f>
        <v>26783</v>
      </c>
      <c r="S47" s="3709"/>
      <c r="T47" s="3709">
        <f>G47</f>
        <v>28103</v>
      </c>
      <c r="U47" s="3709"/>
      <c r="V47" s="3709">
        <f>I47</f>
        <v>30750</v>
      </c>
      <c r="W47" s="3709"/>
      <c r="X47" s="689"/>
      <c r="Y47" s="711"/>
      <c r="Z47" s="689"/>
      <c r="AA47" s="689"/>
      <c r="AB47" s="689"/>
      <c r="AC47" s="689"/>
    </row>
    <row r="48" spans="1:29" ht="15.75" thickBot="1">
      <c r="A48" s="437" t="s">
        <v>1793</v>
      </c>
      <c r="B48" s="438"/>
      <c r="C48" s="1159">
        <f>R49</f>
        <v>25555</v>
      </c>
      <c r="D48" s="2316" t="s">
        <v>2137</v>
      </c>
      <c r="E48" s="1160">
        <f>R48</f>
        <v>23349</v>
      </c>
      <c r="F48" s="2317"/>
      <c r="G48" s="1159">
        <f>T48</f>
        <v>26256</v>
      </c>
      <c r="H48" s="2317"/>
      <c r="I48" s="1160">
        <f>V48</f>
        <v>27061</v>
      </c>
      <c r="J48" s="2317"/>
      <c r="K48" s="2319">
        <f>F48+H48+J48</f>
        <v>0</v>
      </c>
      <c r="L48" s="2721"/>
      <c r="M48" s="2722"/>
      <c r="N48" s="2713"/>
      <c r="O48" s="2722"/>
      <c r="P48" s="3721" t="str">
        <f>A48</f>
        <v>比较价值（元/平方米）</v>
      </c>
      <c r="Q48" s="3721"/>
      <c r="R48" s="3722">
        <f>IF(F1="售价",ROUND(PRODUCT(R47,AA7:AA46),0),ROUND(PRODUCT(R47,AA7:AA46),1))</f>
        <v>23349</v>
      </c>
      <c r="S48" s="3722"/>
      <c r="T48" s="3722">
        <f>IF(F1="售价",ROUND(PRODUCT(T47,AB7:AB46),0),ROUND(PRODUCT(T47,AB7:AB46),1))</f>
        <v>26256</v>
      </c>
      <c r="U48" s="3722"/>
      <c r="V48" s="3722">
        <f>IF(F1="售价",ROUND(PRODUCT(V47,AC7:AC46),0),ROUND(PRODUCT(V47,AC7:AC46),1))</f>
        <v>27061</v>
      </c>
      <c r="W48" s="3722"/>
      <c r="X48" s="689"/>
      <c r="Y48" s="689"/>
      <c r="Z48" s="689"/>
      <c r="AA48" s="689"/>
      <c r="AB48" s="689"/>
      <c r="AC48" s="689"/>
    </row>
    <row r="49" spans="1:29" ht="15.75" thickBot="1">
      <c r="A49" s="441" t="s">
        <v>1794</v>
      </c>
      <c r="B49" s="442"/>
      <c r="C49" s="1162">
        <f>R49</f>
        <v>25555</v>
      </c>
      <c r="D49" s="1162"/>
      <c r="E49" s="1162"/>
      <c r="F49" s="1162"/>
      <c r="G49" s="1162"/>
      <c r="H49" s="1162"/>
      <c r="I49" s="1162"/>
      <c r="J49" s="1162"/>
      <c r="K49" s="714"/>
      <c r="L49" s="2721"/>
      <c r="M49" s="2722"/>
      <c r="N49" s="2713"/>
      <c r="O49" s="2722"/>
      <c r="P49" s="3734" t="str">
        <f>A49</f>
        <v>估价对象XX用房的比较价值（楼面单价，元/平方米）</v>
      </c>
      <c r="Q49" s="3735"/>
      <c r="R49" s="3736">
        <f>IF(F1="售价",ROUND(IF(D48="简单平均",AVERAGE(R48:V48),R48*F48+T48*H48+V48*J48),0),ROUND(IF(D48="简单平均",AVERAGE(R48:V48),R48*F48+T48*H48+V48*J48),1))</f>
        <v>25555</v>
      </c>
      <c r="S49" s="3736"/>
      <c r="T49" s="3736"/>
      <c r="U49" s="3736"/>
      <c r="V49" s="3736"/>
      <c r="W49" s="3736"/>
      <c r="X49" s="689"/>
      <c r="Y49" s="689"/>
      <c r="Z49" s="689"/>
      <c r="AA49" s="689"/>
      <c r="AB49" s="689"/>
      <c r="AC49" s="689"/>
    </row>
    <row r="50" spans="1:29">
      <c r="A50" s="2722"/>
      <c r="B50" s="2722"/>
      <c r="C50" s="2722" t="s">
        <v>3547</v>
      </c>
      <c r="D50" s="2722"/>
      <c r="E50" s="3834">
        <v>35711</v>
      </c>
      <c r="F50" s="3834"/>
      <c r="G50" s="3834">
        <v>37471</v>
      </c>
      <c r="H50" s="3834"/>
      <c r="I50" s="3834">
        <v>41000</v>
      </c>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0.14707267977215288</v>
      </c>
      <c r="F52" s="449" t="str">
        <f>IF(OR(E52&gt;=0.3,E52&lt;=-0.3),"超过30%","")</f>
        <v/>
      </c>
      <c r="G52" s="448">
        <f>IF(G47&lt;G48,G48/G47-1,G47/G48-1)</f>
        <v>7.0345825716026766E-2</v>
      </c>
      <c r="H52" s="449" t="str">
        <f>IF(OR(G52&gt;=0.3,G52&lt;=-0.3),"超过30%","")</f>
        <v/>
      </c>
      <c r="I52" s="448">
        <f>IF(I47&lt;I48,I48/I47-1,I47/I48-1)</f>
        <v>0.13632164369387678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0.12450212000513949</v>
      </c>
      <c r="F53" s="449" t="str">
        <f>IF(OR(E53&gt;=0.2,E53&lt;=-0.2),"超过20%","")</f>
        <v/>
      </c>
      <c r="G53" s="448">
        <f>IF(G48&lt;I48,I48/G48-1,G48/I48-1)</f>
        <v>3.0659658744667917E-2</v>
      </c>
      <c r="H53" s="449" t="str">
        <f>IF(OR(G53&gt;=0.2,G53&lt;=-0.2),"超过20%","")</f>
        <v/>
      </c>
      <c r="I53" s="448">
        <f>IF(I48&lt;E48,E48/I48-1,I48/E48-1)</f>
        <v>0.15897897126215255</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4.9284994212746902E-2</v>
      </c>
      <c r="F54" s="449" t="str">
        <f>IF(OR(E54&gt;=0.3,E54&lt;=-0.3),"超过30%","")</f>
        <v/>
      </c>
      <c r="G54" s="448">
        <f>IF(G47&lt;I47,I47/G47-1,G47/I47-1)</f>
        <v>9.4189232466284745E-2</v>
      </c>
      <c r="H54" s="449" t="str">
        <f>IF(OR(G54&gt;=0.3,G54&lt;=-0.3),"超过30%","")</f>
        <v/>
      </c>
      <c r="I54" s="448">
        <f>IF(I47&lt;E47,E47/I47-1,I47/E47-1)</f>
        <v>0.14811634245603544</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3433</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3435</v>
      </c>
      <c r="D65" s="532" t="s">
        <v>3436</v>
      </c>
      <c r="E65" s="532" t="s">
        <v>3437</v>
      </c>
      <c r="F65" s="532" t="s">
        <v>3438</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3441</v>
      </c>
      <c r="D86" s="3465" t="s">
        <v>3443</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3445</v>
      </c>
      <c r="D88" s="503" t="s">
        <v>3423</v>
      </c>
      <c r="E88" s="503" t="s">
        <v>3424</v>
      </c>
      <c r="F88" s="1926" t="s">
        <v>3444</v>
      </c>
      <c r="G88" s="503" t="s">
        <v>3446</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3447</v>
      </c>
      <c r="D90" s="3465" t="s">
        <v>3448</v>
      </c>
      <c r="E90" s="3465" t="s">
        <v>3449</v>
      </c>
      <c r="F90" s="3465" t="s">
        <v>3450</v>
      </c>
      <c r="G90" s="3465" t="s">
        <v>3451</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832" t="s">
        <v>3520</v>
      </c>
      <c r="D92" s="3832" t="s">
        <v>3521</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3833">
        <f>ROUND(100*C95/D95,0)</f>
        <v>133</v>
      </c>
      <c r="D93" s="3833">
        <v>100</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修正系数</v>
      </c>
      <c r="C94" s="3832"/>
      <c r="D94" s="3832"/>
      <c r="E94" s="3832"/>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3833">
        <f>'数据-取费表'!T25*100</f>
        <v>100</v>
      </c>
      <c r="D95" s="3833">
        <f>'数据-取费表'!T26*100</f>
        <v>75</v>
      </c>
      <c r="E95" s="3833"/>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t="str">
        <f>B30</f>
        <v>实际楼层</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6" t="s">
        <v>3519</v>
      </c>
      <c r="D100" s="3476" t="s">
        <v>3544</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3460</v>
      </c>
      <c r="D105" s="3465" t="s">
        <v>3461</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840" t="s">
        <v>3554</v>
      </c>
      <c r="D107" s="3840" t="s">
        <v>3555</v>
      </c>
      <c r="E107" s="3840" t="s">
        <v>3556</v>
      </c>
      <c r="F107" s="3841" t="s">
        <v>3557</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3454</v>
      </c>
      <c r="D114" s="3465" t="s">
        <v>3456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4">
        <f t="shared" si="30"/>
        <v>90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3458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840" t="s">
        <v>3554</v>
      </c>
      <c r="D122" s="3840" t="s">
        <v>3555</v>
      </c>
      <c r="E122" s="3840" t="s">
        <v>3556</v>
      </c>
      <c r="F122" s="3841" t="s">
        <v>3557</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6" priority="21"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abSelected="1" view="pageBreakPreview" topLeftCell="A24" zoomScale="90" zoomScaleNormal="70" zoomScaleSheetLayoutView="90" workbookViewId="0">
      <selection activeCell="F61" sqref="F6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3515</v>
      </c>
      <c r="E1" s="3423" t="s">
        <v>3429</v>
      </c>
      <c r="F1" s="1878" t="s">
        <v>3479</v>
      </c>
      <c r="G1" s="1234" t="s">
        <v>1663</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0.1101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4.9000000000000004</v>
      </c>
      <c r="C3" s="354" t="s">
        <v>1665</v>
      </c>
      <c r="D3" s="353">
        <f>IF(D1="",'数据-汇总表'!E3,SUMIF('数据-汇总表'!$C19:$C33,D1,'数据-汇总表'!$E19:$E33))</f>
        <v>224.79</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1666</v>
      </c>
      <c r="B4" s="356"/>
      <c r="C4" s="3696" t="s">
        <v>1667</v>
      </c>
      <c r="D4" s="3697"/>
      <c r="E4" s="3698" t="s">
        <v>1668</v>
      </c>
      <c r="F4" s="3699"/>
      <c r="G4" s="3696" t="s">
        <v>1669</v>
      </c>
      <c r="H4" s="3697"/>
      <c r="I4" s="3696" t="s">
        <v>1670</v>
      </c>
      <c r="J4" s="3697"/>
      <c r="K4" s="559" t="s">
        <v>1671</v>
      </c>
      <c r="L4" s="2712"/>
      <c r="M4" s="2713"/>
      <c r="N4" s="2713"/>
      <c r="O4" s="2713"/>
      <c r="P4" s="3730" t="s">
        <v>1672</v>
      </c>
      <c r="Q4" s="3731"/>
      <c r="R4" s="3727" t="s">
        <v>1668</v>
      </c>
      <c r="S4" s="3728"/>
      <c r="T4" s="3727" t="s">
        <v>1669</v>
      </c>
      <c r="U4" s="3728"/>
      <c r="V4" s="3709" t="s">
        <v>1670</v>
      </c>
      <c r="W4" s="3709"/>
      <c r="X4" s="3487"/>
      <c r="Y4" s="3727" t="s">
        <v>1672</v>
      </c>
      <c r="Z4" s="3728"/>
      <c r="AA4" s="3726" t="s">
        <v>1668</v>
      </c>
      <c r="AB4" s="3709" t="s">
        <v>1669</v>
      </c>
      <c r="AC4" s="3726" t="s">
        <v>1670</v>
      </c>
    </row>
    <row r="5" spans="1:29" ht="15">
      <c r="A5" s="358"/>
      <c r="B5" s="359"/>
      <c r="C5" s="3686" t="s">
        <v>3517</v>
      </c>
      <c r="D5" s="3687"/>
      <c r="E5" s="3684" t="s">
        <v>3551</v>
      </c>
      <c r="F5" s="3685"/>
      <c r="G5" s="3686" t="s">
        <v>3560</v>
      </c>
      <c r="H5" s="3687"/>
      <c r="I5" s="3686" t="s">
        <v>3558</v>
      </c>
      <c r="J5" s="3687"/>
      <c r="K5" s="559"/>
      <c r="L5" s="2712"/>
      <c r="M5" s="2713"/>
      <c r="N5" s="2713"/>
      <c r="O5" s="2713"/>
      <c r="P5" s="3732"/>
      <c r="Q5" s="3703"/>
      <c r="R5" s="3682"/>
      <c r="S5" s="3683"/>
      <c r="T5" s="3682"/>
      <c r="U5" s="3683"/>
      <c r="V5" s="3709"/>
      <c r="W5" s="3709"/>
      <c r="X5" s="3487"/>
      <c r="Y5" s="3682"/>
      <c r="Z5" s="3683"/>
      <c r="AA5" s="3676"/>
      <c r="AB5" s="3709"/>
      <c r="AC5" s="3676"/>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33"/>
      <c r="Q6" s="3705"/>
      <c r="R6" s="3682"/>
      <c r="S6" s="3683"/>
      <c r="T6" s="3706"/>
      <c r="U6" s="3707"/>
      <c r="V6" s="3709"/>
      <c r="W6" s="3709"/>
      <c r="X6" s="3487"/>
      <c r="Y6" s="3706"/>
      <c r="Z6" s="3707"/>
      <c r="AA6" s="3677"/>
      <c r="AB6" s="3709"/>
      <c r="AC6" s="3677"/>
    </row>
    <row r="7" spans="1:29" s="108" customFormat="1" ht="15.75" thickBot="1">
      <c r="A7" s="362" t="s">
        <v>1679</v>
      </c>
      <c r="B7" s="363"/>
      <c r="C7" s="364">
        <f>'数据-取费表'!B2</f>
        <v>45728</v>
      </c>
      <c r="D7" s="365">
        <v>100</v>
      </c>
      <c r="E7" s="366">
        <f>C7</f>
        <v>45728</v>
      </c>
      <c r="F7" s="367">
        <f>SUMIF(58:58,YEAR(E7)&amp;"-"&amp;MONTH(E7),59:59)</f>
        <v>100</v>
      </c>
      <c r="G7" s="366">
        <f>C7</f>
        <v>45728</v>
      </c>
      <c r="H7" s="365">
        <f>SUMIF(58:58,YEAR(G7)&amp;"-"&amp;MONTH(G7),59:59)</f>
        <v>100</v>
      </c>
      <c r="I7" s="366">
        <f>C7</f>
        <v>45728</v>
      </c>
      <c r="J7" s="365">
        <f>SUMIF(58:58,YEAR(I7)&amp;"-"&amp;MONTH(I7),59:59)</f>
        <v>100</v>
      </c>
      <c r="K7" s="560"/>
      <c r="L7" s="2714"/>
      <c r="M7" s="2715"/>
      <c r="N7" s="2715"/>
      <c r="O7" s="2715"/>
      <c r="P7" s="3678" t="s">
        <v>1680</v>
      </c>
      <c r="Q7" s="3711"/>
      <c r="R7" s="700" t="s">
        <v>14</v>
      </c>
      <c r="S7" s="701">
        <f t="shared" ref="S7:S15" si="0">F7</f>
        <v>100</v>
      </c>
      <c r="T7" s="700" t="s">
        <v>14</v>
      </c>
      <c r="U7" s="701">
        <f t="shared" ref="U7:U15" si="1">H7</f>
        <v>100</v>
      </c>
      <c r="V7" s="700" t="s">
        <v>14</v>
      </c>
      <c r="W7" s="701">
        <f t="shared" ref="W7:W15" si="2">J7</f>
        <v>100</v>
      </c>
      <c r="X7" s="702"/>
      <c r="Y7" s="3678" t="s">
        <v>1680</v>
      </c>
      <c r="Z7" s="3679"/>
      <c r="AA7" s="703">
        <f>D7/F7</f>
        <v>1</v>
      </c>
      <c r="AB7" s="703">
        <f>D7/H7</f>
        <v>1</v>
      </c>
      <c r="AC7" s="703">
        <f>D7/J7</f>
        <v>1</v>
      </c>
    </row>
    <row r="8" spans="1:29" s="108" customFormat="1" ht="15.75" thickBot="1">
      <c r="A8" s="362" t="s">
        <v>1681</v>
      </c>
      <c r="B8" s="363"/>
      <c r="C8" s="368" t="s">
        <v>3431</v>
      </c>
      <c r="D8" s="365">
        <v>100</v>
      </c>
      <c r="E8" s="368" t="s">
        <v>3432</v>
      </c>
      <c r="F8" s="367">
        <f>SUMIF(61:61,E8,62:62)-SUMIF(61:61,C8,62:62)+100</f>
        <v>103</v>
      </c>
      <c r="G8" s="368" t="s">
        <v>3432</v>
      </c>
      <c r="H8" s="365">
        <f>SUMIF(61:61,G8,62:62)-SUMIF(61:61,C8,62:62)+100</f>
        <v>103</v>
      </c>
      <c r="I8" s="368" t="s">
        <v>3432</v>
      </c>
      <c r="J8" s="365">
        <f>SUMIF(61:61,I8,62:62)-SUMIF(61:61,C8,62:62)+100</f>
        <v>103</v>
      </c>
      <c r="K8" s="560"/>
      <c r="L8" s="2714"/>
      <c r="M8" s="2715"/>
      <c r="N8" s="2715"/>
      <c r="O8" s="2715"/>
      <c r="P8" s="3678" t="s">
        <v>1683</v>
      </c>
      <c r="Q8" s="3679"/>
      <c r="R8" s="700" t="s">
        <v>14</v>
      </c>
      <c r="S8" s="701">
        <f t="shared" si="0"/>
        <v>103</v>
      </c>
      <c r="T8" s="700" t="s">
        <v>14</v>
      </c>
      <c r="U8" s="701">
        <f t="shared" si="1"/>
        <v>103</v>
      </c>
      <c r="V8" s="700" t="s">
        <v>14</v>
      </c>
      <c r="W8" s="701">
        <f t="shared" si="2"/>
        <v>103</v>
      </c>
      <c r="X8" s="702"/>
      <c r="Y8" s="3678" t="s">
        <v>1683</v>
      </c>
      <c r="Z8" s="3679"/>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3434</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92" t="s">
        <v>1686</v>
      </c>
      <c r="Q9" s="3483" t="str">
        <f t="shared" ref="Q9:Q15" si="6">B9</f>
        <v>用途</v>
      </c>
      <c r="R9" s="700" t="s">
        <v>14</v>
      </c>
      <c r="S9" s="701">
        <f t="shared" si="0"/>
        <v>100</v>
      </c>
      <c r="T9" s="700" t="s">
        <v>14</v>
      </c>
      <c r="U9" s="701">
        <f t="shared" si="1"/>
        <v>100</v>
      </c>
      <c r="V9" s="700" t="s">
        <v>14</v>
      </c>
      <c r="W9" s="701">
        <f t="shared" si="2"/>
        <v>100</v>
      </c>
      <c r="X9" s="702"/>
      <c r="Y9" s="3648" t="s">
        <v>1687</v>
      </c>
      <c r="Z9" s="348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2"/>
      <c r="Q10" s="3483" t="str">
        <f t="shared" si="6"/>
        <v>土地使用年限（年）</v>
      </c>
      <c r="R10" s="700" t="s">
        <v>14</v>
      </c>
      <c r="S10" s="701">
        <f t="shared" si="0"/>
        <v>100</v>
      </c>
      <c r="T10" s="700" t="s">
        <v>14</v>
      </c>
      <c r="U10" s="701">
        <f t="shared" si="1"/>
        <v>100</v>
      </c>
      <c r="V10" s="700" t="s">
        <v>14</v>
      </c>
      <c r="W10" s="701">
        <f t="shared" si="2"/>
        <v>100</v>
      </c>
      <c r="X10" s="702"/>
      <c r="Y10" s="3648"/>
      <c r="Z10" s="348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92"/>
      <c r="Q11" s="3483" t="str">
        <f t="shared" si="6"/>
        <v>容积率</v>
      </c>
      <c r="R11" s="700" t="s">
        <v>14</v>
      </c>
      <c r="S11" s="701">
        <f t="shared" si="0"/>
        <v>100</v>
      </c>
      <c r="T11" s="700" t="s">
        <v>14</v>
      </c>
      <c r="U11" s="701">
        <f t="shared" si="1"/>
        <v>100</v>
      </c>
      <c r="V11" s="700" t="s">
        <v>14</v>
      </c>
      <c r="W11" s="701">
        <f t="shared" si="2"/>
        <v>100</v>
      </c>
      <c r="X11" s="702"/>
      <c r="Y11" s="3648"/>
      <c r="Z11" s="348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2"/>
      <c r="Q12" s="3483">
        <f t="shared" si="6"/>
        <v>111</v>
      </c>
      <c r="R12" s="700" t="s">
        <v>14</v>
      </c>
      <c r="S12" s="701">
        <f t="shared" si="0"/>
        <v>100</v>
      </c>
      <c r="T12" s="700" t="s">
        <v>14</v>
      </c>
      <c r="U12" s="701">
        <f t="shared" si="1"/>
        <v>100</v>
      </c>
      <c r="V12" s="700" t="s">
        <v>14</v>
      </c>
      <c r="W12" s="701">
        <f t="shared" si="2"/>
        <v>100</v>
      </c>
      <c r="X12" s="702"/>
      <c r="Y12" s="3648"/>
      <c r="Z12" s="348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2"/>
      <c r="Q13" s="3483">
        <f t="shared" si="6"/>
        <v>111</v>
      </c>
      <c r="R13" s="700" t="s">
        <v>14</v>
      </c>
      <c r="S13" s="701">
        <f t="shared" si="0"/>
        <v>100</v>
      </c>
      <c r="T13" s="700" t="s">
        <v>14</v>
      </c>
      <c r="U13" s="701">
        <f t="shared" si="1"/>
        <v>100</v>
      </c>
      <c r="V13" s="700" t="s">
        <v>14</v>
      </c>
      <c r="W13" s="701">
        <f t="shared" si="2"/>
        <v>100</v>
      </c>
      <c r="X13" s="702"/>
      <c r="Y13" s="3648"/>
      <c r="Z13" s="348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2"/>
      <c r="Q14" s="3483">
        <f t="shared" si="6"/>
        <v>111</v>
      </c>
      <c r="R14" s="700" t="s">
        <v>14</v>
      </c>
      <c r="S14" s="701">
        <f t="shared" si="0"/>
        <v>100</v>
      </c>
      <c r="T14" s="700" t="s">
        <v>14</v>
      </c>
      <c r="U14" s="701">
        <f t="shared" si="1"/>
        <v>100</v>
      </c>
      <c r="V14" s="700" t="s">
        <v>14</v>
      </c>
      <c r="W14" s="701">
        <f t="shared" si="2"/>
        <v>100</v>
      </c>
      <c r="X14" s="702"/>
      <c r="Y14" s="3648"/>
      <c r="Z14" s="348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9"/>
      <c r="M15" s="2713"/>
      <c r="N15" s="2713"/>
      <c r="O15" s="2713"/>
      <c r="P15" s="3712" t="s">
        <v>1691</v>
      </c>
      <c r="Q15" s="3484" t="str">
        <f t="shared" si="6"/>
        <v>商业繁华度</v>
      </c>
      <c r="R15" s="704" t="s">
        <v>14</v>
      </c>
      <c r="S15" s="705">
        <f t="shared" si="0"/>
        <v>102</v>
      </c>
      <c r="T15" s="704" t="s">
        <v>14</v>
      </c>
      <c r="U15" s="705">
        <f t="shared" si="1"/>
        <v>102</v>
      </c>
      <c r="V15" s="704" t="s">
        <v>14</v>
      </c>
      <c r="W15" s="705">
        <f t="shared" si="2"/>
        <v>102</v>
      </c>
      <c r="X15" s="3487"/>
      <c r="Y15" s="3714" t="s">
        <v>1691</v>
      </c>
      <c r="Z15" s="3486" t="str">
        <f t="shared" si="7"/>
        <v>商业繁华度</v>
      </c>
      <c r="AA15" s="3485">
        <f t="shared" si="3"/>
        <v>0.98039215686274506</v>
      </c>
      <c r="AB15" s="3485">
        <f t="shared" si="4"/>
        <v>0.98039215686274506</v>
      </c>
      <c r="AC15" s="3485">
        <f t="shared" si="5"/>
        <v>0.98039215686274506</v>
      </c>
    </row>
    <row r="16" spans="1:29" ht="15">
      <c r="A16" s="379"/>
      <c r="B16" s="397"/>
      <c r="C16" s="398" t="s">
        <v>3444</v>
      </c>
      <c r="D16" s="399"/>
      <c r="E16" s="398" t="s">
        <v>3424</v>
      </c>
      <c r="F16" s="400"/>
      <c r="G16" s="398" t="s">
        <v>3424</v>
      </c>
      <c r="H16" s="401"/>
      <c r="I16" s="398" t="s">
        <v>3424</v>
      </c>
      <c r="J16" s="399"/>
      <c r="K16" s="564"/>
      <c r="L16" s="2719"/>
      <c r="M16" s="2713"/>
      <c r="N16" s="2713"/>
      <c r="O16" s="2713"/>
      <c r="P16" s="3713"/>
      <c r="Q16" s="3484"/>
      <c r="R16" s="704"/>
      <c r="S16" s="705"/>
      <c r="T16" s="704"/>
      <c r="U16" s="705"/>
      <c r="V16" s="704"/>
      <c r="W16" s="705"/>
      <c r="X16" s="3487"/>
      <c r="Y16" s="3715"/>
      <c r="Z16" s="3486"/>
      <c r="AA16" s="3485">
        <v>1</v>
      </c>
      <c r="AB16" s="3485">
        <v>1</v>
      </c>
      <c r="AC16" s="3485">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102</v>
      </c>
      <c r="G17" s="405"/>
      <c r="H17" s="406">
        <f>SUMIF(78:78,G18,79:79)-SUMIF(78:78,C18,79:79)+100</f>
        <v>100</v>
      </c>
      <c r="I17" s="403"/>
      <c r="J17" s="406">
        <f>SUMIF(78:78,I18,79:79)-SUMIF(78:78,C18,79:79)+100</f>
        <v>100</v>
      </c>
      <c r="K17" s="563">
        <v>2</v>
      </c>
      <c r="L17" s="2719"/>
      <c r="M17" s="2713"/>
      <c r="N17" s="2713"/>
      <c r="O17" s="2713"/>
      <c r="P17" s="3713"/>
      <c r="Q17" s="3484" t="str">
        <f>B17</f>
        <v>交通便捷度</v>
      </c>
      <c r="R17" s="704" t="s">
        <v>14</v>
      </c>
      <c r="S17" s="705">
        <f>F17</f>
        <v>102</v>
      </c>
      <c r="T17" s="704" t="s">
        <v>14</v>
      </c>
      <c r="U17" s="705">
        <f>H17</f>
        <v>100</v>
      </c>
      <c r="V17" s="704" t="s">
        <v>14</v>
      </c>
      <c r="W17" s="705">
        <f>J17</f>
        <v>100</v>
      </c>
      <c r="X17" s="3487"/>
      <c r="Y17" s="3715"/>
      <c r="Z17" s="3486" t="str">
        <f>Q17</f>
        <v>交通便捷度</v>
      </c>
      <c r="AA17" s="3485">
        <f t="shared" si="3"/>
        <v>0.98039215686274506</v>
      </c>
      <c r="AB17" s="3485">
        <f t="shared" si="4"/>
        <v>1</v>
      </c>
      <c r="AC17" s="3485">
        <f t="shared" si="5"/>
        <v>1</v>
      </c>
    </row>
    <row r="18" spans="1:29" ht="15">
      <c r="A18" s="379"/>
      <c r="B18" s="407"/>
      <c r="C18" s="1900" t="s">
        <v>3424</v>
      </c>
      <c r="D18" s="401"/>
      <c r="E18" s="1900" t="s">
        <v>3423</v>
      </c>
      <c r="F18" s="404"/>
      <c r="G18" s="1900" t="s">
        <v>3424</v>
      </c>
      <c r="H18" s="399"/>
      <c r="I18" s="1900" t="s">
        <v>3424</v>
      </c>
      <c r="J18" s="399"/>
      <c r="K18" s="564"/>
      <c r="L18" s="2719"/>
      <c r="M18" s="2713"/>
      <c r="N18" s="2713"/>
      <c r="O18" s="2713"/>
      <c r="P18" s="3713"/>
      <c r="Q18" s="3484"/>
      <c r="R18" s="704"/>
      <c r="S18" s="705"/>
      <c r="T18" s="704"/>
      <c r="U18" s="705"/>
      <c r="V18" s="704"/>
      <c r="W18" s="705"/>
      <c r="X18" s="3487"/>
      <c r="Y18" s="3715"/>
      <c r="Z18" s="3486"/>
      <c r="AA18" s="3485">
        <v>1</v>
      </c>
      <c r="AB18" s="3485">
        <v>1</v>
      </c>
      <c r="AC18" s="3485">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3"/>
      <c r="Q19" s="3484" t="str">
        <f>B19</f>
        <v>公共配套设施</v>
      </c>
      <c r="R19" s="704" t="s">
        <v>14</v>
      </c>
      <c r="S19" s="705">
        <f>F19</f>
        <v>100</v>
      </c>
      <c r="T19" s="704" t="s">
        <v>14</v>
      </c>
      <c r="U19" s="705">
        <f>H19</f>
        <v>100</v>
      </c>
      <c r="V19" s="704" t="s">
        <v>14</v>
      </c>
      <c r="W19" s="705">
        <f>J19</f>
        <v>100</v>
      </c>
      <c r="X19" s="3487"/>
      <c r="Y19" s="3715"/>
      <c r="Z19" s="3486" t="str">
        <f>Q19</f>
        <v>公共配套设施</v>
      </c>
      <c r="AA19" s="3485">
        <f t="shared" si="3"/>
        <v>1</v>
      </c>
      <c r="AB19" s="3485">
        <f t="shared" si="4"/>
        <v>1</v>
      </c>
      <c r="AC19" s="3485">
        <f t="shared" si="5"/>
        <v>1</v>
      </c>
    </row>
    <row r="20" spans="1:29" ht="15">
      <c r="A20" s="379"/>
      <c r="B20" s="407"/>
      <c r="C20" s="398" t="s">
        <v>3423</v>
      </c>
      <c r="D20" s="399"/>
      <c r="E20" s="398" t="s">
        <v>3423</v>
      </c>
      <c r="F20" s="400"/>
      <c r="G20" s="398" t="s">
        <v>3423</v>
      </c>
      <c r="H20" s="399"/>
      <c r="I20" s="398" t="s">
        <v>3423</v>
      </c>
      <c r="J20" s="399"/>
      <c r="K20" s="564"/>
      <c r="L20" s="2719"/>
      <c r="M20" s="2713"/>
      <c r="N20" s="2713"/>
      <c r="O20" s="2713"/>
      <c r="P20" s="3713"/>
      <c r="Q20" s="3484"/>
      <c r="R20" s="704"/>
      <c r="S20" s="705"/>
      <c r="T20" s="704"/>
      <c r="U20" s="705"/>
      <c r="V20" s="704"/>
      <c r="W20" s="705"/>
      <c r="X20" s="3487"/>
      <c r="Y20" s="3715"/>
      <c r="Z20" s="3486"/>
      <c r="AA20" s="3485">
        <v>1</v>
      </c>
      <c r="AB20" s="3485">
        <v>1</v>
      </c>
      <c r="AC20" s="3485">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13"/>
      <c r="Q21" s="3484" t="str">
        <f>B21</f>
        <v>基础设施水平</v>
      </c>
      <c r="R21" s="704" t="s">
        <v>14</v>
      </c>
      <c r="S21" s="705">
        <f>F21</f>
        <v>100</v>
      </c>
      <c r="T21" s="704" t="s">
        <v>14</v>
      </c>
      <c r="U21" s="705">
        <f>H21</f>
        <v>100</v>
      </c>
      <c r="V21" s="704" t="s">
        <v>14</v>
      </c>
      <c r="W21" s="705">
        <f>J21</f>
        <v>100</v>
      </c>
      <c r="X21" s="3487"/>
      <c r="Y21" s="3715"/>
      <c r="Z21" s="3486" t="str">
        <f>Q21</f>
        <v>基础设施水平</v>
      </c>
      <c r="AA21" s="3485">
        <f t="shared" ref="AA21" si="8">D21/F21</f>
        <v>1</v>
      </c>
      <c r="AB21" s="3485">
        <f t="shared" ref="AB21" si="9">D21/H21</f>
        <v>1</v>
      </c>
      <c r="AC21" s="3485">
        <f t="shared" ref="AC21" si="10">D21/J21</f>
        <v>1</v>
      </c>
    </row>
    <row r="22" spans="1:29" ht="15">
      <c r="A22" s="379"/>
      <c r="B22" s="1130"/>
      <c r="C22" s="1900" t="s">
        <v>3439</v>
      </c>
      <c r="D22" s="399"/>
      <c r="E22" s="1900" t="s">
        <v>3439</v>
      </c>
      <c r="F22" s="400"/>
      <c r="G22" s="1900" t="s">
        <v>3439</v>
      </c>
      <c r="H22" s="399"/>
      <c r="I22" s="1900" t="s">
        <v>3439</v>
      </c>
      <c r="J22" s="399"/>
      <c r="K22" s="1129"/>
      <c r="L22" s="2719"/>
      <c r="M22" s="2713"/>
      <c r="N22" s="2713"/>
      <c r="O22" s="2713"/>
      <c r="P22" s="3713"/>
      <c r="Q22" s="3484"/>
      <c r="R22" s="704"/>
      <c r="S22" s="705"/>
      <c r="T22" s="704"/>
      <c r="U22" s="705"/>
      <c r="V22" s="704"/>
      <c r="W22" s="705"/>
      <c r="X22" s="3487"/>
      <c r="Y22" s="3715"/>
      <c r="Z22" s="3486"/>
      <c r="AA22" s="3485">
        <v>1</v>
      </c>
      <c r="AB22" s="3485">
        <v>1</v>
      </c>
      <c r="AC22" s="3485">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102</v>
      </c>
      <c r="I23" s="403"/>
      <c r="J23" s="401">
        <f>SUMIF(84:84,I24,85:85)-SUMIF(84:84,C24,85:85)+100</f>
        <v>102</v>
      </c>
      <c r="K23" s="563">
        <v>2</v>
      </c>
      <c r="L23" s="2719"/>
      <c r="M23" s="2713"/>
      <c r="N23" s="2713"/>
      <c r="O23" s="2713"/>
      <c r="P23" s="3713"/>
      <c r="Q23" s="3484" t="str">
        <f>B23</f>
        <v>自然及人文环境</v>
      </c>
      <c r="R23" s="704" t="s">
        <v>14</v>
      </c>
      <c r="S23" s="705">
        <f>F23</f>
        <v>100</v>
      </c>
      <c r="T23" s="704" t="s">
        <v>14</v>
      </c>
      <c r="U23" s="705">
        <f>H23</f>
        <v>102</v>
      </c>
      <c r="V23" s="704" t="s">
        <v>14</v>
      </c>
      <c r="W23" s="705">
        <f>J23</f>
        <v>102</v>
      </c>
      <c r="X23" s="3487"/>
      <c r="Y23" s="3715"/>
      <c r="Z23" s="3486" t="str">
        <f>Q23</f>
        <v>自然及人文环境</v>
      </c>
      <c r="AA23" s="3485">
        <f t="shared" si="3"/>
        <v>1</v>
      </c>
      <c r="AB23" s="3485">
        <f t="shared" si="4"/>
        <v>0.98039215686274506</v>
      </c>
      <c r="AC23" s="3485">
        <f t="shared" si="5"/>
        <v>0.98039215686274506</v>
      </c>
    </row>
    <row r="24" spans="1:29" ht="15">
      <c r="A24" s="379"/>
      <c r="B24" s="407"/>
      <c r="C24" s="398" t="s">
        <v>3424</v>
      </c>
      <c r="D24" s="399"/>
      <c r="E24" s="398" t="s">
        <v>3424</v>
      </c>
      <c r="F24" s="400"/>
      <c r="G24" s="398" t="s">
        <v>3423</v>
      </c>
      <c r="H24" s="399"/>
      <c r="I24" s="398" t="s">
        <v>3423</v>
      </c>
      <c r="J24" s="399"/>
      <c r="K24" s="564"/>
      <c r="L24" s="2719"/>
      <c r="M24" s="2713"/>
      <c r="N24" s="2713"/>
      <c r="O24" s="2713"/>
      <c r="P24" s="3713"/>
      <c r="Q24" s="3484"/>
      <c r="R24" s="704"/>
      <c r="S24" s="705"/>
      <c r="T24" s="704"/>
      <c r="U24" s="705"/>
      <c r="V24" s="704"/>
      <c r="W24" s="705"/>
      <c r="X24" s="3487"/>
      <c r="Y24" s="3715"/>
      <c r="Z24" s="3486"/>
      <c r="AA24" s="3485">
        <v>1</v>
      </c>
      <c r="AB24" s="3485">
        <v>1</v>
      </c>
      <c r="AC24" s="3485">
        <v>1</v>
      </c>
    </row>
    <row r="25" spans="1:29" ht="15">
      <c r="A25" s="379"/>
      <c r="B25" s="375" t="s">
        <v>1780</v>
      </c>
      <c r="C25" s="565" t="s">
        <v>3442</v>
      </c>
      <c r="D25" s="386">
        <v>100</v>
      </c>
      <c r="E25" s="565" t="s">
        <v>3440</v>
      </c>
      <c r="F25" s="412">
        <f>SUMIF(86:86,E25,87:87)-SUMIF(86:86,C25,87:87)+100</f>
        <v>103</v>
      </c>
      <c r="G25" s="565" t="s">
        <v>3440</v>
      </c>
      <c r="H25" s="386">
        <f>SUMIF(86:86,G25,87:87)-SUMIF(86:86,C25,87:87)+100</f>
        <v>103</v>
      </c>
      <c r="I25" s="565" t="s">
        <v>3440</v>
      </c>
      <c r="J25" s="386">
        <f>SUMIF(86:86,I25,87:87)-SUMIF(86:86,C25,87:87)+100</f>
        <v>103</v>
      </c>
      <c r="K25" s="561">
        <v>3</v>
      </c>
      <c r="L25" s="2719"/>
      <c r="M25" s="2713"/>
      <c r="N25" s="2713"/>
      <c r="O25" s="2713"/>
      <c r="P25" s="3713"/>
      <c r="Q25" s="3484" t="str">
        <f t="shared" ref="Q25:Q46" si="11">B25</f>
        <v>临街状况</v>
      </c>
      <c r="R25" s="704" t="s">
        <v>14</v>
      </c>
      <c r="S25" s="705">
        <f>F25</f>
        <v>103</v>
      </c>
      <c r="T25" s="704" t="s">
        <v>14</v>
      </c>
      <c r="U25" s="705">
        <f>H25</f>
        <v>103</v>
      </c>
      <c r="V25" s="704" t="s">
        <v>14</v>
      </c>
      <c r="W25" s="705">
        <f>J25</f>
        <v>103</v>
      </c>
      <c r="X25" s="3487"/>
      <c r="Y25" s="3715"/>
      <c r="Z25" s="3486" t="str">
        <f>Q25</f>
        <v>临街状况</v>
      </c>
      <c r="AA25" s="3485">
        <f t="shared" si="3"/>
        <v>0.970873786407767</v>
      </c>
      <c r="AB25" s="3485">
        <f t="shared" si="4"/>
        <v>0.970873786407767</v>
      </c>
      <c r="AC25" s="3485">
        <f t="shared" si="5"/>
        <v>0.970873786407767</v>
      </c>
    </row>
    <row r="26" spans="1:29" ht="15">
      <c r="A26" s="379"/>
      <c r="B26" s="1132" t="s">
        <v>1781</v>
      </c>
      <c r="C26" s="3464" t="s">
        <v>3509</v>
      </c>
      <c r="D26" s="386">
        <v>100</v>
      </c>
      <c r="E26" s="3464" t="s">
        <v>3452</v>
      </c>
      <c r="F26" s="412">
        <f>SUMIF(88:88,E26,89:89)-SUMIF(88:88,C26,89:89)+100</f>
        <v>103</v>
      </c>
      <c r="G26" s="3464" t="s">
        <v>3452</v>
      </c>
      <c r="H26" s="386">
        <f>SUMIF(88:88,G26,89:89)-SUMIF(88:88,C26,89:89)+100</f>
        <v>103</v>
      </c>
      <c r="I26" s="3464" t="s">
        <v>3452</v>
      </c>
      <c r="J26" s="386">
        <f>SUMIF(88:88,I26,89:89)-SUMIF(88:88,C26,89:89)+100</f>
        <v>103</v>
      </c>
      <c r="K26" s="562"/>
      <c r="L26" s="2719"/>
      <c r="M26" s="2713"/>
      <c r="N26" s="2713"/>
      <c r="O26" s="2713"/>
      <c r="P26" s="3713"/>
      <c r="Q26" s="3484" t="str">
        <f t="shared" si="11"/>
        <v>平面位置/可视性</v>
      </c>
      <c r="R26" s="704" t="s">
        <v>14</v>
      </c>
      <c r="S26" s="705">
        <f>F26</f>
        <v>103</v>
      </c>
      <c r="T26" s="704" t="s">
        <v>14</v>
      </c>
      <c r="U26" s="705">
        <f>H26</f>
        <v>103</v>
      </c>
      <c r="V26" s="704" t="s">
        <v>14</v>
      </c>
      <c r="W26" s="705">
        <f>J26</f>
        <v>103</v>
      </c>
      <c r="X26" s="3487"/>
      <c r="Y26" s="3715"/>
      <c r="Z26" s="3486" t="str">
        <f>Q26</f>
        <v>平面位置/可视性</v>
      </c>
      <c r="AA26" s="3485">
        <f t="shared" si="3"/>
        <v>0.970873786407767</v>
      </c>
      <c r="AB26" s="3485">
        <f t="shared" si="4"/>
        <v>0.970873786407767</v>
      </c>
      <c r="AC26" s="3485">
        <f t="shared" si="5"/>
        <v>0.970873786407767</v>
      </c>
    </row>
    <row r="27" spans="1:29" s="108" customFormat="1" ht="15">
      <c r="A27" s="382"/>
      <c r="B27" s="402" t="s">
        <v>1782</v>
      </c>
      <c r="C27" s="1955" t="s">
        <v>3553</v>
      </c>
      <c r="D27" s="413">
        <v>100</v>
      </c>
      <c r="E27" s="1955" t="s">
        <v>3553</v>
      </c>
      <c r="F27" s="415">
        <f>SUMIF(90:90,E27,91:91)-SUMIF(90:90,C27,91:91)+100</f>
        <v>100</v>
      </c>
      <c r="G27" s="1955" t="s">
        <v>3424</v>
      </c>
      <c r="H27" s="413">
        <f>SUMIF(90:90,G27,91:91)-SUMIF(90:90,C27,91:91)+100</f>
        <v>102</v>
      </c>
      <c r="I27" s="1955" t="s">
        <v>3424</v>
      </c>
      <c r="J27" s="413">
        <f>SUMIF(90:90,I27,91:91)-SUMIF(90:90,C27,91:91)+100</f>
        <v>102</v>
      </c>
      <c r="K27" s="561">
        <v>2</v>
      </c>
      <c r="L27" s="2714"/>
      <c r="M27" s="2715"/>
      <c r="N27" s="2715"/>
      <c r="O27" s="2715"/>
      <c r="P27" s="3713"/>
      <c r="Q27" s="3483" t="str">
        <f t="shared" si="11"/>
        <v>人流量</v>
      </c>
      <c r="R27" s="700" t="s">
        <v>14</v>
      </c>
      <c r="S27" s="701">
        <f>F27</f>
        <v>100</v>
      </c>
      <c r="T27" s="700" t="s">
        <v>14</v>
      </c>
      <c r="U27" s="701">
        <f>H27</f>
        <v>102</v>
      </c>
      <c r="V27" s="700" t="s">
        <v>14</v>
      </c>
      <c r="W27" s="701">
        <f>J27</f>
        <v>102</v>
      </c>
      <c r="X27" s="702"/>
      <c r="Y27" s="3715"/>
      <c r="Z27" s="3482" t="str">
        <f>Q27</f>
        <v>人流量</v>
      </c>
      <c r="AA27" s="3485">
        <f>D27/F27</f>
        <v>1</v>
      </c>
      <c r="AB27" s="3485">
        <f>D27/H27</f>
        <v>0.98039215686274506</v>
      </c>
      <c r="AC27" s="3485">
        <f>D27/J27</f>
        <v>0.98039215686274506</v>
      </c>
    </row>
    <row r="28" spans="1:29" ht="15">
      <c r="A28" s="379"/>
      <c r="B28" s="375" t="s">
        <v>1783</v>
      </c>
      <c r="C28" s="3831" t="s">
        <v>3453</v>
      </c>
      <c r="D28" s="386">
        <v>100</v>
      </c>
      <c r="E28" s="565" t="s">
        <v>3453</v>
      </c>
      <c r="F28" s="412">
        <f>SUMIF(92:92,E28,93:93)-SUMIF(92:92,C28,93:93)+100</f>
        <v>100</v>
      </c>
      <c r="G28" s="565" t="s">
        <v>3453</v>
      </c>
      <c r="H28" s="386">
        <f>SUMIF(92:92,G28,93:93)-SUMIF(92:92,C28,93:93)+100</f>
        <v>100</v>
      </c>
      <c r="I28" s="565" t="s">
        <v>3453</v>
      </c>
      <c r="J28" s="386">
        <f>SUMIF(92:92,I28,93:93)-SUMIF(92:92,C28,93:93)+100</f>
        <v>100</v>
      </c>
      <c r="K28" s="562"/>
      <c r="L28" s="2719"/>
      <c r="M28" s="2713"/>
      <c r="N28" s="2713"/>
      <c r="O28" s="2713"/>
      <c r="P28" s="3713"/>
      <c r="Q28" s="3484" t="str">
        <f t="shared" si="11"/>
        <v>楼层</v>
      </c>
      <c r="R28" s="704" t="s">
        <v>14</v>
      </c>
      <c r="S28" s="705">
        <f t="shared" ref="S28:S46" si="12">F28</f>
        <v>100</v>
      </c>
      <c r="T28" s="704" t="s">
        <v>14</v>
      </c>
      <c r="U28" s="705">
        <f t="shared" ref="U28:U46" si="13">H28</f>
        <v>100</v>
      </c>
      <c r="V28" s="704" t="s">
        <v>14</v>
      </c>
      <c r="W28" s="705">
        <f t="shared" ref="W28:W46" si="14">J28</f>
        <v>100</v>
      </c>
      <c r="X28" s="3487"/>
      <c r="Y28" s="3715"/>
      <c r="Z28" s="3486" t="str">
        <f t="shared" ref="Z28:Z46" si="15">Q28</f>
        <v>楼层</v>
      </c>
      <c r="AA28" s="3485">
        <f t="shared" si="3"/>
        <v>1</v>
      </c>
      <c r="AB28" s="3485">
        <f t="shared" si="4"/>
        <v>1</v>
      </c>
      <c r="AC28" s="3485">
        <f t="shared" si="5"/>
        <v>1</v>
      </c>
    </row>
    <row r="29" spans="1:29" ht="15">
      <c r="A29" s="379"/>
      <c r="B29" s="3463"/>
      <c r="C29" s="3464" t="s">
        <v>3514</v>
      </c>
      <c r="D29" s="386">
        <v>100</v>
      </c>
      <c r="E29" s="3464"/>
      <c r="F29" s="412">
        <f>SUMIF(94:94,E29,95:95)-SUMIF(94:94,C29,95:95)+100</f>
        <v>100</v>
      </c>
      <c r="G29" s="3464"/>
      <c r="H29" s="386">
        <f>SUMIF(94:94,G29,95:95)-SUMIF(94:94,C29,95:95)+100</f>
        <v>100</v>
      </c>
      <c r="I29" s="3464"/>
      <c r="J29" s="386">
        <f>SUMIF(94:94,I29,95:95)-SUMIF(94:94,C29,95:95)+100</f>
        <v>100</v>
      </c>
      <c r="K29" s="562"/>
      <c r="L29" s="2719"/>
      <c r="M29" s="2713"/>
      <c r="N29" s="2713"/>
      <c r="O29" s="2713"/>
      <c r="P29" s="3713"/>
      <c r="Q29" s="3484">
        <f t="shared" si="11"/>
        <v>0</v>
      </c>
      <c r="R29" s="704" t="s">
        <v>14</v>
      </c>
      <c r="S29" s="705">
        <f t="shared" si="12"/>
        <v>100</v>
      </c>
      <c r="T29" s="704" t="s">
        <v>14</v>
      </c>
      <c r="U29" s="705">
        <f t="shared" si="13"/>
        <v>100</v>
      </c>
      <c r="V29" s="704" t="s">
        <v>14</v>
      </c>
      <c r="W29" s="705">
        <f t="shared" si="14"/>
        <v>100</v>
      </c>
      <c r="X29" s="3487"/>
      <c r="Y29" s="3715"/>
      <c r="Z29" s="3486">
        <f t="shared" si="15"/>
        <v>0</v>
      </c>
      <c r="AA29" s="3485">
        <f t="shared" si="3"/>
        <v>1</v>
      </c>
      <c r="AB29" s="3485">
        <f t="shared" si="4"/>
        <v>1</v>
      </c>
      <c r="AC29" s="3485">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3484">
        <f t="shared" si="11"/>
        <v>111</v>
      </c>
      <c r="R30" s="704" t="s">
        <v>14</v>
      </c>
      <c r="S30" s="705">
        <f t="shared" si="12"/>
        <v>100</v>
      </c>
      <c r="T30" s="704" t="s">
        <v>14</v>
      </c>
      <c r="U30" s="705">
        <f t="shared" si="13"/>
        <v>100</v>
      </c>
      <c r="V30" s="704" t="s">
        <v>14</v>
      </c>
      <c r="W30" s="705">
        <f t="shared" si="14"/>
        <v>100</v>
      </c>
      <c r="X30" s="3487"/>
      <c r="Y30" s="3715"/>
      <c r="Z30" s="3486">
        <f t="shared" si="15"/>
        <v>111</v>
      </c>
      <c r="AA30" s="3485">
        <f t="shared" si="3"/>
        <v>1</v>
      </c>
      <c r="AB30" s="3485">
        <f t="shared" si="4"/>
        <v>1</v>
      </c>
      <c r="AC30" s="3485">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3484">
        <f t="shared" si="11"/>
        <v>111</v>
      </c>
      <c r="R31" s="704" t="s">
        <v>14</v>
      </c>
      <c r="S31" s="705">
        <f t="shared" si="12"/>
        <v>100</v>
      </c>
      <c r="T31" s="704" t="s">
        <v>14</v>
      </c>
      <c r="U31" s="705">
        <f t="shared" si="13"/>
        <v>100</v>
      </c>
      <c r="V31" s="704" t="s">
        <v>14</v>
      </c>
      <c r="W31" s="705">
        <f t="shared" si="14"/>
        <v>100</v>
      </c>
      <c r="X31" s="3487"/>
      <c r="Y31" s="3715"/>
      <c r="Z31" s="3486">
        <f t="shared" si="15"/>
        <v>111</v>
      </c>
      <c r="AA31" s="3485">
        <f t="shared" si="3"/>
        <v>1</v>
      </c>
      <c r="AB31" s="3485">
        <f t="shared" si="4"/>
        <v>1</v>
      </c>
      <c r="AC31" s="3485">
        <f t="shared" si="5"/>
        <v>1</v>
      </c>
    </row>
    <row r="32" spans="1:29" ht="15">
      <c r="A32" s="391" t="s">
        <v>1694</v>
      </c>
      <c r="B32" s="63" t="s">
        <v>1784</v>
      </c>
      <c r="C32" s="1909" t="s">
        <v>3518</v>
      </c>
      <c r="D32" s="418">
        <v>100</v>
      </c>
      <c r="E32" s="1909" t="s">
        <v>3543</v>
      </c>
      <c r="F32" s="412">
        <f>SUMIF(100:100,E32,101:101)-SUMIF(100:100,C32,101:101)+100</f>
        <v>98</v>
      </c>
      <c r="G32" s="1909" t="s">
        <v>3543</v>
      </c>
      <c r="H32" s="386">
        <f>SUMIF(100:100,G32,101:101)-SUMIF(100:100,C32,101:101)+100</f>
        <v>98</v>
      </c>
      <c r="I32" s="1909" t="s">
        <v>3543</v>
      </c>
      <c r="J32" s="418">
        <f>SUMIF(100:100,I32,101:101)-SUMIF(100:100,C32,101:101)+100</f>
        <v>98</v>
      </c>
      <c r="K32" s="561">
        <v>2</v>
      </c>
      <c r="L32" s="2719"/>
      <c r="M32" s="2713"/>
      <c r="N32" s="2713"/>
      <c r="O32" s="2713"/>
      <c r="P32" s="3716" t="s">
        <v>1696</v>
      </c>
      <c r="Q32" s="3484" t="str">
        <f t="shared" si="11"/>
        <v>商业类型</v>
      </c>
      <c r="R32" s="704" t="s">
        <v>14</v>
      </c>
      <c r="S32" s="705">
        <f t="shared" si="12"/>
        <v>98</v>
      </c>
      <c r="T32" s="704" t="s">
        <v>14</v>
      </c>
      <c r="U32" s="705">
        <f t="shared" si="13"/>
        <v>98</v>
      </c>
      <c r="V32" s="704" t="s">
        <v>14</v>
      </c>
      <c r="W32" s="705">
        <f t="shared" si="14"/>
        <v>98</v>
      </c>
      <c r="X32" s="3487"/>
      <c r="Y32" s="3719" t="s">
        <v>1696</v>
      </c>
      <c r="Z32" s="3486" t="str">
        <f t="shared" si="15"/>
        <v>商业类型</v>
      </c>
      <c r="AA32" s="3485">
        <f t="shared" si="3"/>
        <v>1.0204081632653061</v>
      </c>
      <c r="AB32" s="3485">
        <f t="shared" si="4"/>
        <v>1.0204081632653061</v>
      </c>
      <c r="AC32" s="3485">
        <f t="shared" si="5"/>
        <v>1.0204081632653061</v>
      </c>
    </row>
    <row r="33" spans="1:29" s="422" customFormat="1" ht="15">
      <c r="A33" s="419"/>
      <c r="B33" s="375" t="s">
        <v>1697</v>
      </c>
      <c r="C33" s="420">
        <f>'数据-基础表'!I13</f>
        <v>224.79</v>
      </c>
      <c r="D33" s="127">
        <v>100</v>
      </c>
      <c r="E33" s="381">
        <v>160</v>
      </c>
      <c r="F33" s="376">
        <f>LOOKUP(E33,103:103,104:104)-LOOKUP(C33,103:103,104:104)+100</f>
        <v>101</v>
      </c>
      <c r="G33" s="380">
        <v>120</v>
      </c>
      <c r="H33" s="127">
        <f>LOOKUP(G33,103:103,104:104)-LOOKUP(C33,103:103,104:104)+100</f>
        <v>101</v>
      </c>
      <c r="I33" s="380">
        <v>63</v>
      </c>
      <c r="J33" s="127">
        <f>LOOKUP(I33,103:103,104:104)-LOOKUP(C33,103:103,104:104)+100</f>
        <v>102</v>
      </c>
      <c r="K33" s="562"/>
      <c r="L33" s="2718"/>
      <c r="M33" s="2720"/>
      <c r="N33" s="2720"/>
      <c r="O33" s="2720"/>
      <c r="P33" s="3717"/>
      <c r="Q33" s="706" t="str">
        <f t="shared" si="11"/>
        <v>项目建筑规模</v>
      </c>
      <c r="R33" s="707" t="s">
        <v>14</v>
      </c>
      <c r="S33" s="708">
        <f t="shared" si="12"/>
        <v>101</v>
      </c>
      <c r="T33" s="707" t="s">
        <v>14</v>
      </c>
      <c r="U33" s="708">
        <f t="shared" si="13"/>
        <v>101</v>
      </c>
      <c r="V33" s="707" t="s">
        <v>14</v>
      </c>
      <c r="W33" s="708">
        <f t="shared" si="14"/>
        <v>102</v>
      </c>
      <c r="X33" s="709"/>
      <c r="Y33" s="3719"/>
      <c r="Z33" s="710" t="str">
        <f t="shared" si="15"/>
        <v>项目建筑规模</v>
      </c>
      <c r="AA33" s="3485">
        <f t="shared" si="3"/>
        <v>0.99009900990099009</v>
      </c>
      <c r="AB33" s="3485">
        <f t="shared" si="4"/>
        <v>0.99009900990099009</v>
      </c>
      <c r="AC33" s="3485">
        <f t="shared" si="5"/>
        <v>0.98039215686274506</v>
      </c>
    </row>
    <row r="34" spans="1:29" ht="15">
      <c r="A34" s="423"/>
      <c r="B34" s="375" t="s">
        <v>1698</v>
      </c>
      <c r="C34" s="1911" t="s">
        <v>3459</v>
      </c>
      <c r="D34" s="386">
        <v>100</v>
      </c>
      <c r="E34" s="1911" t="s">
        <v>3459</v>
      </c>
      <c r="F34" s="412">
        <f>SUMIF(105:105,E34,106:106)-SUMIF(105:105,C34,106:106)+100</f>
        <v>100</v>
      </c>
      <c r="G34" s="1911" t="s">
        <v>3459</v>
      </c>
      <c r="H34" s="386">
        <f>SUMIF(105:105,G34,106:106)-SUMIF(105:105,C34,106:106)+100</f>
        <v>100</v>
      </c>
      <c r="I34" s="1911" t="s">
        <v>3459</v>
      </c>
      <c r="J34" s="386">
        <f>SUMIF(105:105,I34,106:106)-SUMIF(105:105,C34,106:106)+100</f>
        <v>100</v>
      </c>
      <c r="K34" s="561">
        <v>1</v>
      </c>
      <c r="L34" s="2719"/>
      <c r="M34" s="2713"/>
      <c r="N34" s="2713"/>
      <c r="O34" s="2713"/>
      <c r="P34" s="3717"/>
      <c r="Q34" s="3484" t="str">
        <f t="shared" si="11"/>
        <v>建筑结构</v>
      </c>
      <c r="R34" s="704" t="s">
        <v>14</v>
      </c>
      <c r="S34" s="705">
        <f t="shared" si="12"/>
        <v>100</v>
      </c>
      <c r="T34" s="704" t="s">
        <v>14</v>
      </c>
      <c r="U34" s="705">
        <f t="shared" si="13"/>
        <v>100</v>
      </c>
      <c r="V34" s="704" t="s">
        <v>14</v>
      </c>
      <c r="W34" s="705">
        <f t="shared" si="14"/>
        <v>100</v>
      </c>
      <c r="X34" s="3487"/>
      <c r="Y34" s="3719"/>
      <c r="Z34" s="3486" t="str">
        <f t="shared" si="15"/>
        <v>建筑结构</v>
      </c>
      <c r="AA34" s="3485">
        <f t="shared" si="3"/>
        <v>1</v>
      </c>
      <c r="AB34" s="3485">
        <f t="shared" si="4"/>
        <v>1</v>
      </c>
      <c r="AC34" s="3485">
        <f t="shared" si="5"/>
        <v>1</v>
      </c>
    </row>
    <row r="35" spans="1:29" ht="15">
      <c r="A35" s="423"/>
      <c r="B35" s="375" t="s">
        <v>1785</v>
      </c>
      <c r="C35" s="1905" t="s">
        <v>3487</v>
      </c>
      <c r="D35" s="386">
        <v>100</v>
      </c>
      <c r="E35" s="1905" t="s">
        <v>3487</v>
      </c>
      <c r="F35" s="412">
        <f>SUMIF(107:107,E35,108:108)-SUMIF(107:107,C35,108:108)+100</f>
        <v>100</v>
      </c>
      <c r="G35" s="1905" t="s">
        <v>3487</v>
      </c>
      <c r="H35" s="386">
        <f>SUMIF(107:107,G35,108:108)-SUMIF(107:107,C35,108:108)+100</f>
        <v>100</v>
      </c>
      <c r="I35" s="1905" t="s">
        <v>3487</v>
      </c>
      <c r="J35" s="386">
        <f>SUMIF(107:107,I35,108:108)-SUMIF(107:107,C35,108:108)+100</f>
        <v>100</v>
      </c>
      <c r="K35" s="561">
        <v>1</v>
      </c>
      <c r="L35" s="2719"/>
      <c r="M35" s="2713"/>
      <c r="N35" s="2713"/>
      <c r="O35" s="2713"/>
      <c r="P35" s="3717"/>
      <c r="Q35" s="3484" t="str">
        <f t="shared" si="11"/>
        <v>公共部分装修</v>
      </c>
      <c r="R35" s="704" t="s">
        <v>14</v>
      </c>
      <c r="S35" s="705">
        <f t="shared" si="12"/>
        <v>100</v>
      </c>
      <c r="T35" s="704" t="s">
        <v>14</v>
      </c>
      <c r="U35" s="705">
        <f t="shared" si="13"/>
        <v>100</v>
      </c>
      <c r="V35" s="704" t="s">
        <v>14</v>
      </c>
      <c r="W35" s="705">
        <f t="shared" si="14"/>
        <v>100</v>
      </c>
      <c r="X35" s="3487"/>
      <c r="Y35" s="3719"/>
      <c r="Z35" s="3486" t="str">
        <f t="shared" si="15"/>
        <v>公共部分装修</v>
      </c>
      <c r="AA35" s="3485">
        <f t="shared" si="3"/>
        <v>1</v>
      </c>
      <c r="AB35" s="3485">
        <f t="shared" si="4"/>
        <v>1</v>
      </c>
      <c r="AC35" s="3485">
        <f t="shared" si="5"/>
        <v>1</v>
      </c>
    </row>
    <row r="36" spans="1:29" ht="15">
      <c r="A36" s="423"/>
      <c r="B36" s="375" t="s">
        <v>1786</v>
      </c>
      <c r="C36" s="425">
        <f>'数据-取费表'!N6</f>
        <v>0.83</v>
      </c>
      <c r="D36" s="386">
        <v>100</v>
      </c>
      <c r="E36" s="425">
        <v>0.7</v>
      </c>
      <c r="F36" s="412">
        <f>LOOKUP(E36,110:110,111:111)-LOOKUP(C36,110:110,111:111)+100</f>
        <v>99</v>
      </c>
      <c r="G36" s="425">
        <v>0.73</v>
      </c>
      <c r="H36" s="412">
        <f>LOOKUP(G36,110:110,111:111)-LOOKUP(C36,110:110,111:111)+100</f>
        <v>99</v>
      </c>
      <c r="I36" s="425">
        <v>0.7</v>
      </c>
      <c r="J36" s="386">
        <f>LOOKUP(I36,110:110,111:111)-LOOKUP(C36,110:110,111:111)+100</f>
        <v>99</v>
      </c>
      <c r="K36" s="561">
        <v>1</v>
      </c>
      <c r="L36" s="2719"/>
      <c r="M36" s="2713"/>
      <c r="N36" s="2713"/>
      <c r="O36" s="2713"/>
      <c r="P36" s="3717"/>
      <c r="Q36" s="3484" t="str">
        <f t="shared" si="11"/>
        <v>成新度</v>
      </c>
      <c r="R36" s="704" t="s">
        <v>14</v>
      </c>
      <c r="S36" s="705">
        <f t="shared" si="12"/>
        <v>99</v>
      </c>
      <c r="T36" s="704" t="s">
        <v>14</v>
      </c>
      <c r="U36" s="705">
        <f t="shared" si="13"/>
        <v>99</v>
      </c>
      <c r="V36" s="704" t="s">
        <v>14</v>
      </c>
      <c r="W36" s="705">
        <f t="shared" si="14"/>
        <v>99</v>
      </c>
      <c r="X36" s="3487"/>
      <c r="Y36" s="3719"/>
      <c r="Z36" s="3486" t="str">
        <f t="shared" si="15"/>
        <v>成新度</v>
      </c>
      <c r="AA36" s="3485">
        <f t="shared" si="3"/>
        <v>1.0101010101010102</v>
      </c>
      <c r="AB36" s="3485">
        <f t="shared" si="4"/>
        <v>1.0101010101010102</v>
      </c>
      <c r="AC36" s="3485">
        <f t="shared" si="5"/>
        <v>1.0101010101010102</v>
      </c>
    </row>
    <row r="37" spans="1:29" s="108" customFormat="1" ht="15" hidden="1">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7"/>
      <c r="Q37" s="3483" t="str">
        <f t="shared" si="11"/>
        <v>市政基础设施</v>
      </c>
      <c r="R37" s="700" t="s">
        <v>14</v>
      </c>
      <c r="S37" s="701">
        <f t="shared" si="12"/>
        <v>100</v>
      </c>
      <c r="T37" s="700" t="s">
        <v>14</v>
      </c>
      <c r="U37" s="701">
        <f t="shared" si="13"/>
        <v>100</v>
      </c>
      <c r="V37" s="700" t="s">
        <v>14</v>
      </c>
      <c r="W37" s="701">
        <f t="shared" si="14"/>
        <v>100</v>
      </c>
      <c r="X37" s="702"/>
      <c r="Y37" s="3719"/>
      <c r="Z37" s="3482" t="str">
        <f t="shared" si="15"/>
        <v>市政基础设施</v>
      </c>
      <c r="AA37" s="703">
        <f t="shared" si="3"/>
        <v>1</v>
      </c>
      <c r="AB37" s="703">
        <f t="shared" si="4"/>
        <v>1</v>
      </c>
      <c r="AC37" s="703">
        <f t="shared" si="5"/>
        <v>1</v>
      </c>
    </row>
    <row r="38" spans="1:29" ht="15">
      <c r="A38" s="423"/>
      <c r="B38" s="375" t="s">
        <v>1788</v>
      </c>
      <c r="C38" s="1905" t="s">
        <v>3455</v>
      </c>
      <c r="D38" s="386">
        <v>100</v>
      </c>
      <c r="E38" s="1905" t="s">
        <v>3455</v>
      </c>
      <c r="F38" s="412">
        <f>SUMIF(114:114,E38,115:115)-SUMIF(114:114,C38,115:115)+100</f>
        <v>100</v>
      </c>
      <c r="G38" s="1905" t="s">
        <v>3455</v>
      </c>
      <c r="H38" s="386">
        <f>SUMIF(114:114,G38,115:115)-SUMIF(114:114,C38,115:115)+100</f>
        <v>100</v>
      </c>
      <c r="I38" s="1905" t="s">
        <v>3455</v>
      </c>
      <c r="J38" s="386">
        <f>SUMIF(114:114,I38,115:115)-SUMIF(114:114,C38,115:115)+100</f>
        <v>100</v>
      </c>
      <c r="K38" s="561">
        <v>1</v>
      </c>
      <c r="L38" s="2719"/>
      <c r="M38" s="2713"/>
      <c r="N38" s="2713"/>
      <c r="O38" s="2713"/>
      <c r="P38" s="3717" t="s">
        <v>1696</v>
      </c>
      <c r="Q38" s="3484" t="str">
        <f t="shared" si="11"/>
        <v>业态</v>
      </c>
      <c r="R38" s="704" t="s">
        <v>14</v>
      </c>
      <c r="S38" s="705">
        <f t="shared" si="12"/>
        <v>100</v>
      </c>
      <c r="T38" s="704" t="s">
        <v>14</v>
      </c>
      <c r="U38" s="705">
        <f t="shared" si="13"/>
        <v>100</v>
      </c>
      <c r="V38" s="704" t="s">
        <v>14</v>
      </c>
      <c r="W38" s="705">
        <f t="shared" si="14"/>
        <v>100</v>
      </c>
      <c r="X38" s="3487"/>
      <c r="Y38" s="3719" t="s">
        <v>1696</v>
      </c>
      <c r="Z38" s="3486" t="str">
        <f t="shared" si="15"/>
        <v>业态</v>
      </c>
      <c r="AA38" s="3485">
        <f t="shared" si="3"/>
        <v>1</v>
      </c>
      <c r="AB38" s="3485">
        <f t="shared" si="4"/>
        <v>1</v>
      </c>
      <c r="AC38" s="3485">
        <f t="shared" si="5"/>
        <v>1</v>
      </c>
    </row>
    <row r="39" spans="1:29" ht="15">
      <c r="A39" s="423"/>
      <c r="B39" s="375" t="s">
        <v>1789</v>
      </c>
      <c r="C39" s="1905" t="s">
        <v>3457</v>
      </c>
      <c r="D39" s="386">
        <v>100</v>
      </c>
      <c r="E39" s="1905" t="s">
        <v>3457</v>
      </c>
      <c r="F39" s="412">
        <f>SUMIF(116:116,E39,117:117)-SUMIF(116:116,C39,117:117)+100</f>
        <v>100</v>
      </c>
      <c r="G39" s="1905" t="s">
        <v>3457</v>
      </c>
      <c r="H39" s="386">
        <f>SUMIF(116:116,G39,117:117)-SUMIF(116:116,C39,117:117)+100</f>
        <v>100</v>
      </c>
      <c r="I39" s="1905" t="s">
        <v>3457</v>
      </c>
      <c r="J39" s="386">
        <f>SUMIF(116:116,I39,117:117)-SUMIF(116:116,C39,117:117)+100</f>
        <v>100</v>
      </c>
      <c r="K39" s="561">
        <v>1</v>
      </c>
      <c r="L39" s="2719"/>
      <c r="M39" s="2713"/>
      <c r="N39" s="2713"/>
      <c r="O39" s="2713"/>
      <c r="P39" s="3717"/>
      <c r="Q39" s="3484" t="str">
        <f t="shared" si="11"/>
        <v>层高</v>
      </c>
      <c r="R39" s="704" t="s">
        <v>14</v>
      </c>
      <c r="S39" s="705">
        <f t="shared" si="12"/>
        <v>100</v>
      </c>
      <c r="T39" s="704" t="s">
        <v>14</v>
      </c>
      <c r="U39" s="705">
        <f t="shared" si="13"/>
        <v>100</v>
      </c>
      <c r="V39" s="704" t="s">
        <v>14</v>
      </c>
      <c r="W39" s="705">
        <f t="shared" si="14"/>
        <v>100</v>
      </c>
      <c r="X39" s="3487"/>
      <c r="Y39" s="3719"/>
      <c r="Z39" s="3486" t="str">
        <f t="shared" si="15"/>
        <v>层高</v>
      </c>
      <c r="AA39" s="3485">
        <f t="shared" si="3"/>
        <v>1</v>
      </c>
      <c r="AB39" s="3485">
        <f t="shared" si="4"/>
        <v>1</v>
      </c>
      <c r="AC39" s="3485">
        <f t="shared" si="5"/>
        <v>1</v>
      </c>
    </row>
    <row r="40" spans="1:29" ht="15.75" hidden="1" customHeight="1">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7"/>
      <c r="Q40" s="3484" t="str">
        <f t="shared" si="11"/>
        <v>单套建筑面积</v>
      </c>
      <c r="R40" s="704" t="s">
        <v>14</v>
      </c>
      <c r="S40" s="705">
        <f t="shared" si="12"/>
        <v>100</v>
      </c>
      <c r="T40" s="704" t="s">
        <v>14</v>
      </c>
      <c r="U40" s="705">
        <f t="shared" si="13"/>
        <v>100</v>
      </c>
      <c r="V40" s="704" t="s">
        <v>14</v>
      </c>
      <c r="W40" s="705">
        <f t="shared" si="14"/>
        <v>100</v>
      </c>
      <c r="X40" s="3487"/>
      <c r="Y40" s="3719"/>
      <c r="Z40" s="3486" t="str">
        <f t="shared" si="15"/>
        <v>单套建筑面积</v>
      </c>
      <c r="AA40" s="3485">
        <f t="shared" si="3"/>
        <v>1</v>
      </c>
      <c r="AB40" s="3485">
        <f t="shared" si="4"/>
        <v>1</v>
      </c>
      <c r="AC40" s="3485">
        <f t="shared" si="5"/>
        <v>1</v>
      </c>
    </row>
    <row r="41" spans="1:29" s="422" customFormat="1" ht="15" hidden="1">
      <c r="A41" s="419"/>
      <c r="B41" s="348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7"/>
      <c r="Q41" s="706" t="str">
        <f t="shared" si="11"/>
        <v>进深比</v>
      </c>
      <c r="R41" s="707" t="s">
        <v>14</v>
      </c>
      <c r="S41" s="708">
        <f t="shared" si="12"/>
        <v>100</v>
      </c>
      <c r="T41" s="707" t="s">
        <v>14</v>
      </c>
      <c r="U41" s="708">
        <f t="shared" si="13"/>
        <v>100</v>
      </c>
      <c r="V41" s="707" t="s">
        <v>14</v>
      </c>
      <c r="W41" s="708">
        <f t="shared" si="14"/>
        <v>100</v>
      </c>
      <c r="X41" s="709"/>
      <c r="Y41" s="3719"/>
      <c r="Z41" s="710" t="str">
        <f t="shared" si="15"/>
        <v>进深比</v>
      </c>
      <c r="AA41" s="3485">
        <f t="shared" si="3"/>
        <v>1</v>
      </c>
      <c r="AB41" s="3485">
        <f t="shared" si="4"/>
        <v>1</v>
      </c>
      <c r="AC41" s="3485">
        <f t="shared" si="5"/>
        <v>1</v>
      </c>
    </row>
    <row r="42" spans="1:29" ht="15">
      <c r="A42" s="423"/>
      <c r="B42" s="375" t="s">
        <v>1792</v>
      </c>
      <c r="C42" s="1905" t="s">
        <v>3503</v>
      </c>
      <c r="D42" s="386">
        <v>100</v>
      </c>
      <c r="E42" s="1905" t="s">
        <v>3503</v>
      </c>
      <c r="F42" s="412">
        <f>SUMIF(122:122,E42,123:123)-SUMIF(122:122,C42,123:123)+100</f>
        <v>100</v>
      </c>
      <c r="G42" s="1905" t="s">
        <v>3503</v>
      </c>
      <c r="H42" s="386">
        <f>SUMIF(122:122,G42,123:123)-SUMIF(122:122,C42,123:123)+100</f>
        <v>100</v>
      </c>
      <c r="I42" s="1905" t="s">
        <v>3503</v>
      </c>
      <c r="J42" s="386">
        <f>SUMIF(122:122,I42,123:123)-SUMIF(122:122,C42,123:123)+100</f>
        <v>100</v>
      </c>
      <c r="K42" s="561">
        <v>1</v>
      </c>
      <c r="L42" s="2719"/>
      <c r="M42" s="2713"/>
      <c r="N42" s="2713"/>
      <c r="O42" s="2713"/>
      <c r="P42" s="3717"/>
      <c r="Q42" s="3484" t="str">
        <f t="shared" si="11"/>
        <v>内部装修</v>
      </c>
      <c r="R42" s="704" t="s">
        <v>14</v>
      </c>
      <c r="S42" s="705">
        <f t="shared" si="12"/>
        <v>100</v>
      </c>
      <c r="T42" s="704" t="s">
        <v>14</v>
      </c>
      <c r="U42" s="705">
        <f t="shared" si="13"/>
        <v>100</v>
      </c>
      <c r="V42" s="704" t="s">
        <v>14</v>
      </c>
      <c r="W42" s="705">
        <f t="shared" si="14"/>
        <v>100</v>
      </c>
      <c r="X42" s="3487"/>
      <c r="Y42" s="3719"/>
      <c r="Z42" s="3486" t="str">
        <f t="shared" si="15"/>
        <v>内部装修</v>
      </c>
      <c r="AA42" s="3485">
        <f t="shared" si="3"/>
        <v>1</v>
      </c>
      <c r="AB42" s="3485">
        <f t="shared" si="4"/>
        <v>1</v>
      </c>
      <c r="AC42" s="3485">
        <f t="shared" si="5"/>
        <v>1</v>
      </c>
    </row>
    <row r="43" spans="1:29" ht="15">
      <c r="A43" s="423"/>
      <c r="B43" s="375" t="s">
        <v>1707</v>
      </c>
      <c r="C43" s="1905" t="s">
        <v>3423</v>
      </c>
      <c r="D43" s="386">
        <v>100</v>
      </c>
      <c r="E43" s="1905" t="s">
        <v>3423</v>
      </c>
      <c r="F43" s="412">
        <f>SUMIF(124:124,E43,125:125)-SUMIF(124:124,C43,125:125)+100</f>
        <v>100</v>
      </c>
      <c r="G43" s="1905" t="s">
        <v>3423</v>
      </c>
      <c r="H43" s="386">
        <f>SUMIF(124:124,G43,125:125)-SUMIF(124:124,C43,125:125)+100</f>
        <v>100</v>
      </c>
      <c r="I43" s="1905" t="s">
        <v>3423</v>
      </c>
      <c r="J43" s="386">
        <f>SUMIF(124:124,I43,125:125)-SUMIF(124:124,C43,125:125)+100</f>
        <v>100</v>
      </c>
      <c r="K43" s="561">
        <v>1</v>
      </c>
      <c r="L43" s="2719"/>
      <c r="M43" s="2713"/>
      <c r="N43" s="2713"/>
      <c r="O43" s="2713"/>
      <c r="P43" s="3717"/>
      <c r="Q43" s="3484" t="str">
        <f t="shared" si="11"/>
        <v>内部装修维护情况</v>
      </c>
      <c r="R43" s="704" t="s">
        <v>14</v>
      </c>
      <c r="S43" s="705">
        <f t="shared" si="12"/>
        <v>100</v>
      </c>
      <c r="T43" s="704" t="s">
        <v>14</v>
      </c>
      <c r="U43" s="705">
        <f t="shared" si="13"/>
        <v>100</v>
      </c>
      <c r="V43" s="704" t="s">
        <v>14</v>
      </c>
      <c r="W43" s="705">
        <f t="shared" si="14"/>
        <v>100</v>
      </c>
      <c r="X43" s="3487"/>
      <c r="Y43" s="3719"/>
      <c r="Z43" s="3486" t="str">
        <f t="shared" si="15"/>
        <v>内部装修维护情况</v>
      </c>
      <c r="AA43" s="3485">
        <f t="shared" si="3"/>
        <v>1</v>
      </c>
      <c r="AB43" s="3485">
        <f t="shared" si="4"/>
        <v>1</v>
      </c>
      <c r="AC43" s="3485">
        <f t="shared" si="5"/>
        <v>1</v>
      </c>
    </row>
    <row r="44" spans="1:29" s="108" customFormat="1" ht="15">
      <c r="A44" s="424"/>
      <c r="B44" s="3463" t="s">
        <v>3462</v>
      </c>
      <c r="C44" s="420">
        <f>'数据-取费表'!N18</f>
        <v>2015</v>
      </c>
      <c r="D44" s="127">
        <v>100</v>
      </c>
      <c r="E44" s="385" t="s">
        <v>3552</v>
      </c>
      <c r="F44" s="376">
        <f>SUMIF(126:126,E44,127:127)-SUMIF(126:126,C44,127:127)+100</f>
        <v>100</v>
      </c>
      <c r="G44" s="385" t="s">
        <v>3561</v>
      </c>
      <c r="H44" s="127">
        <f>SUMIF(126:126,G44,127:127)-SUMIF(126:126,C44,127:127)+100</f>
        <v>100</v>
      </c>
      <c r="I44" s="385" t="s">
        <v>3559</v>
      </c>
      <c r="J44" s="127">
        <f>SUMIF(126:126,I44,127:127)-SUMIF(126:126,C44,127:127)+100</f>
        <v>100</v>
      </c>
      <c r="K44" s="562"/>
      <c r="L44" s="2714"/>
      <c r="M44" s="2715"/>
      <c r="N44" s="2715"/>
      <c r="O44" s="2715"/>
      <c r="P44" s="3717"/>
      <c r="Q44" s="3483" t="str">
        <f t="shared" si="11"/>
        <v>建成年代</v>
      </c>
      <c r="R44" s="700" t="s">
        <v>14</v>
      </c>
      <c r="S44" s="701">
        <f t="shared" si="12"/>
        <v>100</v>
      </c>
      <c r="T44" s="700" t="s">
        <v>14</v>
      </c>
      <c r="U44" s="701">
        <f t="shared" si="13"/>
        <v>100</v>
      </c>
      <c r="V44" s="700" t="s">
        <v>14</v>
      </c>
      <c r="W44" s="701">
        <f t="shared" si="14"/>
        <v>100</v>
      </c>
      <c r="X44" s="702"/>
      <c r="Y44" s="3719"/>
      <c r="Z44" s="348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7"/>
      <c r="Q45" s="3484">
        <f t="shared" si="11"/>
        <v>111</v>
      </c>
      <c r="R45" s="704" t="s">
        <v>14</v>
      </c>
      <c r="S45" s="705">
        <f t="shared" si="12"/>
        <v>100</v>
      </c>
      <c r="T45" s="704" t="s">
        <v>14</v>
      </c>
      <c r="U45" s="705">
        <f t="shared" si="13"/>
        <v>100</v>
      </c>
      <c r="V45" s="704" t="s">
        <v>14</v>
      </c>
      <c r="W45" s="705">
        <f t="shared" si="14"/>
        <v>100</v>
      </c>
      <c r="X45" s="3487"/>
      <c r="Y45" s="3719"/>
      <c r="Z45" s="3486">
        <f t="shared" si="15"/>
        <v>111</v>
      </c>
      <c r="AA45" s="3485">
        <f t="shared" si="3"/>
        <v>1</v>
      </c>
      <c r="AB45" s="3485">
        <f t="shared" si="4"/>
        <v>1</v>
      </c>
      <c r="AC45" s="3485">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8"/>
      <c r="Q46" s="3484">
        <f t="shared" si="11"/>
        <v>111</v>
      </c>
      <c r="R46" s="704" t="s">
        <v>14</v>
      </c>
      <c r="S46" s="705">
        <f t="shared" si="12"/>
        <v>100</v>
      </c>
      <c r="T46" s="704" t="s">
        <v>14</v>
      </c>
      <c r="U46" s="705">
        <f t="shared" si="13"/>
        <v>100</v>
      </c>
      <c r="V46" s="704" t="s">
        <v>14</v>
      </c>
      <c r="W46" s="705">
        <f t="shared" si="14"/>
        <v>100</v>
      </c>
      <c r="X46" s="3487"/>
      <c r="Y46" s="3720"/>
      <c r="Z46" s="3486">
        <f t="shared" si="15"/>
        <v>111</v>
      </c>
      <c r="AA46" s="3485">
        <f t="shared" si="3"/>
        <v>1</v>
      </c>
      <c r="AB46" s="3485">
        <f t="shared" si="4"/>
        <v>1</v>
      </c>
      <c r="AC46" s="3485">
        <f t="shared" si="5"/>
        <v>1</v>
      </c>
    </row>
    <row r="47" spans="1:29" ht="15">
      <c r="A47" s="430" t="s">
        <v>1708</v>
      </c>
      <c r="B47" s="431"/>
      <c r="C47" s="1153" t="s">
        <v>0</v>
      </c>
      <c r="D47" s="1154"/>
      <c r="E47" s="1155">
        <v>5</v>
      </c>
      <c r="F47" s="1156"/>
      <c r="G47" s="1157">
        <v>6</v>
      </c>
      <c r="H47" s="1158"/>
      <c r="I47" s="1155">
        <v>5.74</v>
      </c>
      <c r="J47" s="1158"/>
      <c r="K47" s="713"/>
      <c r="L47" s="2721"/>
      <c r="M47" s="2722"/>
      <c r="N47" s="2713"/>
      <c r="O47" s="2722"/>
      <c r="P47" s="3721" t="str">
        <f>A47</f>
        <v>成交单价（元/平方米）</v>
      </c>
      <c r="Q47" s="3721"/>
      <c r="R47" s="3709">
        <f>E47</f>
        <v>5</v>
      </c>
      <c r="S47" s="3709"/>
      <c r="T47" s="3709">
        <f>G47</f>
        <v>6</v>
      </c>
      <c r="U47" s="3709"/>
      <c r="V47" s="3709">
        <f>I47</f>
        <v>5.74</v>
      </c>
      <c r="W47" s="3709"/>
      <c r="X47" s="689"/>
      <c r="Y47" s="711"/>
      <c r="Z47" s="689"/>
      <c r="AA47" s="689"/>
      <c r="AB47" s="689"/>
      <c r="AC47" s="689"/>
    </row>
    <row r="48" spans="1:29" ht="15.75" thickBot="1">
      <c r="A48" s="437" t="s">
        <v>1709</v>
      </c>
      <c r="B48" s="438"/>
      <c r="C48" s="1159">
        <f>R49</f>
        <v>4.9000000000000004</v>
      </c>
      <c r="D48" s="2316" t="s">
        <v>2137</v>
      </c>
      <c r="E48" s="1160">
        <f>R48</f>
        <v>4.5</v>
      </c>
      <c r="F48" s="2317"/>
      <c r="G48" s="1159">
        <f>T48</f>
        <v>5.3</v>
      </c>
      <c r="H48" s="2317"/>
      <c r="I48" s="1160">
        <f>V48</f>
        <v>5</v>
      </c>
      <c r="J48" s="2317"/>
      <c r="K48" s="2319">
        <f>F48+H48+J48</f>
        <v>0</v>
      </c>
      <c r="L48" s="2721"/>
      <c r="M48" s="2722"/>
      <c r="N48" s="2713"/>
      <c r="O48" s="2722"/>
      <c r="P48" s="3721" t="str">
        <f>A48</f>
        <v>比较价值（元/平方米）</v>
      </c>
      <c r="Q48" s="3721"/>
      <c r="R48" s="3722">
        <f>IF(F1="售价",ROUND(PRODUCT(R47,AA7:AA46),0),ROUND(PRODUCT(R47,AA7:AA46),1))</f>
        <v>4.5</v>
      </c>
      <c r="S48" s="3722"/>
      <c r="T48" s="3722">
        <f>IF(F1="售价",ROUND(PRODUCT(T47,AB7:AB46),0),ROUND(PRODUCT(T47,AB7:AB46),1))</f>
        <v>5.3</v>
      </c>
      <c r="U48" s="3722"/>
      <c r="V48" s="3722">
        <f>IF(F1="售价",ROUND(PRODUCT(V47,AC7:AC46),0),ROUND(PRODUCT(V47,AC7:AC46),1))</f>
        <v>5</v>
      </c>
      <c r="W48" s="3722"/>
      <c r="X48" s="689"/>
      <c r="Y48" s="689"/>
      <c r="Z48" s="689"/>
      <c r="AA48" s="689"/>
      <c r="AB48" s="689"/>
      <c r="AC48" s="689"/>
    </row>
    <row r="49" spans="1:29" ht="15.75" thickBot="1">
      <c r="A49" s="441" t="s">
        <v>1710</v>
      </c>
      <c r="B49" s="442"/>
      <c r="C49" s="1162">
        <f>R49</f>
        <v>4.9000000000000004</v>
      </c>
      <c r="D49" s="1162"/>
      <c r="E49" s="1162"/>
      <c r="F49" s="1162"/>
      <c r="G49" s="1162"/>
      <c r="H49" s="1162"/>
      <c r="I49" s="1162"/>
      <c r="J49" s="1162"/>
      <c r="K49" s="714"/>
      <c r="L49" s="2721"/>
      <c r="M49" s="2722"/>
      <c r="N49" s="2713"/>
      <c r="O49" s="2722"/>
      <c r="P49" s="3734" t="str">
        <f>A49</f>
        <v>估价对象XX用房的比较价值（楼面单价，元/平方米）</v>
      </c>
      <c r="Q49" s="3735"/>
      <c r="R49" s="3736">
        <f>IF(F1="售价",ROUND(IF(D48="简单平均",AVERAGE(R48:V48),R48*F48+T48*H48+V48*J48),0),ROUND(IF(D48="简单平均",AVERAGE(R48:V48),R48*F48+T48*H48+V48*J48),1))</f>
        <v>4.9000000000000004</v>
      </c>
      <c r="S49" s="3736"/>
      <c r="T49" s="3736"/>
      <c r="U49" s="3736"/>
      <c r="V49" s="3736"/>
      <c r="W49" s="373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1711</v>
      </c>
      <c r="D52" s="447"/>
      <c r="E52" s="448">
        <f>IF(E47&lt;E48,E48/E47-1,E47/E48-1)</f>
        <v>0.11111111111111116</v>
      </c>
      <c r="F52" s="449" t="str">
        <f>IF(OR(E52&gt;=0.3,E52&lt;=-0.3),"超过30%","")</f>
        <v/>
      </c>
      <c r="G52" s="448">
        <f>IF(G47&lt;G48,G48/G47-1,G47/G48-1)</f>
        <v>0.13207547169811318</v>
      </c>
      <c r="H52" s="449" t="str">
        <f>IF(OR(G52&gt;=0.3,G52&lt;=-0.3),"超过30%","")</f>
        <v/>
      </c>
      <c r="I52" s="448">
        <f>IF(I47&lt;I48,I48/I47-1,I47/I48-1)</f>
        <v>0.14800000000000013</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1712</v>
      </c>
      <c r="D53" s="450"/>
      <c r="E53" s="448">
        <f>IF(E48&lt;G48,G48/E48-1,E48/G48-1)</f>
        <v>0.17777777777777781</v>
      </c>
      <c r="F53" s="449" t="str">
        <f>IF(OR(E53&gt;=0.2,E53&lt;=-0.2),"超过20%","")</f>
        <v/>
      </c>
      <c r="G53" s="448">
        <f>IF(G48&lt;I48,I48/G48-1,G48/I48-1)</f>
        <v>6.0000000000000053E-2</v>
      </c>
      <c r="H53" s="449" t="str">
        <f>IF(OR(G53&gt;=0.2,G53&lt;=-0.2),"超过20%","")</f>
        <v/>
      </c>
      <c r="I53" s="448">
        <f>IF(I48&lt;E48,E48/I48-1,I48/E48-1)</f>
        <v>0.11111111111111116</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1713</v>
      </c>
      <c r="D54" s="450"/>
      <c r="E54" s="448">
        <f>IF(E47&lt;G47,G47/E47-1,E47/G47-1)</f>
        <v>0.19999999999999996</v>
      </c>
      <c r="F54" s="449" t="str">
        <f>IF(OR(E54&gt;=0.3,E54&lt;=-0.3),"超过30%","")</f>
        <v/>
      </c>
      <c r="G54" s="448">
        <f>IF(G47&lt;I47,I47/G47-1,G47/I47-1)</f>
        <v>4.5296167247386832E-2</v>
      </c>
      <c r="H54" s="449" t="str">
        <f>IF(OR(G54&gt;=0.3,G54&lt;=-0.3),"超过30%","")</f>
        <v/>
      </c>
      <c r="I54" s="448">
        <f>IF(I47&lt;E47,E47/I47-1,I47/E47-1)</f>
        <v>0.14800000000000013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1714</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1718</v>
      </c>
      <c r="D61" s="3461" t="s">
        <v>3433</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3435</v>
      </c>
      <c r="D65" s="532" t="s">
        <v>3436</v>
      </c>
      <c r="E65" s="532" t="s">
        <v>3437</v>
      </c>
      <c r="F65" s="532" t="s">
        <v>3438</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98</v>
      </c>
      <c r="E77" s="493">
        <f>D77-$K15</f>
        <v>96</v>
      </c>
      <c r="F77" s="493">
        <f>E77-$K15</f>
        <v>94</v>
      </c>
      <c r="G77" s="493">
        <f>F77-$K15</f>
        <v>92</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3441</v>
      </c>
      <c r="D86" s="3465" t="s">
        <v>3443</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3445</v>
      </c>
      <c r="D88" s="503" t="s">
        <v>3423</v>
      </c>
      <c r="E88" s="503" t="s">
        <v>3424</v>
      </c>
      <c r="F88" s="1926" t="s">
        <v>3444</v>
      </c>
      <c r="G88" s="503" t="s">
        <v>3446</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3447</v>
      </c>
      <c r="D90" s="3465" t="s">
        <v>3448</v>
      </c>
      <c r="E90" s="3465" t="s">
        <v>3449</v>
      </c>
      <c r="F90" s="3465" t="s">
        <v>3450</v>
      </c>
      <c r="G90" s="3465" t="s">
        <v>3451</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832" t="s">
        <v>3520</v>
      </c>
      <c r="D92" s="3832" t="s">
        <v>3521</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3833">
        <f>ROUND(100*C95/D95,0)</f>
        <v>133</v>
      </c>
      <c r="D93" s="3833">
        <v>100</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0</v>
      </c>
      <c r="C94" s="3465"/>
      <c r="D94" s="3465"/>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75</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76" t="s">
        <v>3549</v>
      </c>
      <c r="D100" s="3476" t="s">
        <v>3550</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98</v>
      </c>
      <c r="E101" s="493">
        <f t="shared" si="24"/>
        <v>96</v>
      </c>
      <c r="F101" s="493">
        <f t="shared" si="24"/>
        <v>94</v>
      </c>
      <c r="G101" s="493">
        <f t="shared" si="24"/>
        <v>92</v>
      </c>
      <c r="H101" s="493">
        <f t="shared" si="24"/>
        <v>90</v>
      </c>
      <c r="I101" s="493">
        <f t="shared" si="24"/>
        <v>88</v>
      </c>
      <c r="J101" s="493">
        <f t="shared" si="24"/>
        <v>86</v>
      </c>
      <c r="K101" s="493">
        <f t="shared" si="24"/>
        <v>84</v>
      </c>
      <c r="L101" s="493">
        <f t="shared" si="24"/>
        <v>82</v>
      </c>
      <c r="M101" s="494">
        <f t="shared" si="24"/>
        <v>80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3460</v>
      </c>
      <c r="D105" s="3465" t="s">
        <v>3461</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3840" t="s">
        <v>3554</v>
      </c>
      <c r="D107" s="3840" t="s">
        <v>3555</v>
      </c>
      <c r="E107" s="3840" t="s">
        <v>3556</v>
      </c>
      <c r="F107" s="3841" t="s">
        <v>3557</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99</v>
      </c>
      <c r="E108" s="493">
        <f t="shared" si="27"/>
        <v>98</v>
      </c>
      <c r="F108" s="493">
        <f t="shared" si="27"/>
        <v>97</v>
      </c>
      <c r="G108" s="493">
        <f t="shared" si="27"/>
        <v>96</v>
      </c>
      <c r="H108" s="493">
        <f t="shared" si="27"/>
        <v>95</v>
      </c>
      <c r="I108" s="493">
        <f t="shared" si="27"/>
        <v>94</v>
      </c>
      <c r="J108" s="493">
        <f t="shared" si="27"/>
        <v>93</v>
      </c>
      <c r="K108" s="493">
        <f t="shared" si="27"/>
        <v>92</v>
      </c>
      <c r="L108" s="493">
        <f t="shared" si="27"/>
        <v>91</v>
      </c>
      <c r="M108" s="494">
        <f t="shared" si="27"/>
        <v>90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3454</v>
      </c>
      <c r="D114" s="3465" t="s">
        <v>3456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99</v>
      </c>
      <c r="E115" s="493">
        <f t="shared" si="30"/>
        <v>98</v>
      </c>
      <c r="F115" s="493">
        <f t="shared" si="30"/>
        <v>97</v>
      </c>
      <c r="G115" s="493">
        <f t="shared" si="30"/>
        <v>96</v>
      </c>
      <c r="H115" s="493">
        <f t="shared" si="30"/>
        <v>95</v>
      </c>
      <c r="I115" s="493">
        <f t="shared" si="30"/>
        <v>94</v>
      </c>
      <c r="J115" s="493">
        <f t="shared" si="30"/>
        <v>93</v>
      </c>
      <c r="K115" s="493">
        <f t="shared" si="30"/>
        <v>92</v>
      </c>
      <c r="L115" s="493">
        <f t="shared" si="30"/>
        <v>91</v>
      </c>
      <c r="M115" s="494">
        <f t="shared" si="30"/>
        <v>90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3458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3840" t="s">
        <v>3554</v>
      </c>
      <c r="D122" s="3840" t="s">
        <v>3555</v>
      </c>
      <c r="E122" s="3840" t="s">
        <v>3556</v>
      </c>
      <c r="F122" s="3841" t="s">
        <v>3557</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2 H52">
    <cfRule type="containsText" dxfId="166" priority="20"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I1" sqref="I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3515</v>
      </c>
      <c r="D1" s="1361" t="s">
        <v>43</v>
      </c>
      <c r="E1" s="1362" t="s">
        <v>678</v>
      </c>
      <c r="F1" s="1061">
        <f ca="1">J53</f>
        <v>28.1</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387.68180000000001</v>
      </c>
      <c r="C2" s="1386" t="s">
        <v>879</v>
      </c>
      <c r="D2" s="1470">
        <f ca="1">C40+J29+L46</f>
        <v>3876818</v>
      </c>
      <c r="E2" s="1387" t="s">
        <v>880</v>
      </c>
      <c r="F2" s="1388"/>
      <c r="G2" s="2703"/>
      <c r="H2" s="2692"/>
      <c r="I2" s="2692"/>
      <c r="J2" s="2692"/>
      <c r="K2" s="2693"/>
      <c r="L2" s="2692"/>
      <c r="M2" s="2692"/>
    </row>
    <row r="3" spans="1:37" ht="18" customHeight="1" thickBot="1">
      <c r="A3" s="1389" t="s">
        <v>881</v>
      </c>
      <c r="B3" s="1390">
        <f ca="1">IF(ISERROR(D2/F43),0,ROUND(D2/F43,0))</f>
        <v>17246</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273563</v>
      </c>
      <c r="D5" s="1363" t="s">
        <v>889</v>
      </c>
      <c r="E5" s="1070"/>
      <c r="F5" s="1071"/>
      <c r="G5" s="1383"/>
      <c r="H5" s="299">
        <v>1</v>
      </c>
      <c r="I5" s="300" t="s">
        <v>888</v>
      </c>
      <c r="J5" s="1069">
        <f ca="1">J6+J10+J12</f>
        <v>0</v>
      </c>
      <c r="K5" s="1363" t="s">
        <v>889</v>
      </c>
      <c r="L5" s="1070"/>
      <c r="M5" s="1071"/>
    </row>
    <row r="6" spans="1:37" ht="18" customHeight="1">
      <c r="A6" s="1068" t="s">
        <v>398</v>
      </c>
      <c r="B6" s="3737" t="s">
        <v>694</v>
      </c>
      <c r="C6" s="1073">
        <f ca="1">ROUND(F6*F8*F7*(1-F9),0)</f>
        <v>273221</v>
      </c>
      <c r="D6" s="155" t="s">
        <v>2105</v>
      </c>
      <c r="E6" s="302" t="s">
        <v>696</v>
      </c>
      <c r="F6" s="303">
        <f ca="1">INDIRECT("'数据-取费表'!u"&amp;$G$1)</f>
        <v>3.7</v>
      </c>
      <c r="G6" s="1383"/>
      <c r="H6" s="1068" t="s">
        <v>398</v>
      </c>
      <c r="I6" s="3737" t="s">
        <v>694</v>
      </c>
      <c r="J6" s="301">
        <f ca="1">ROUND(M6*M8*M7*(1-M9),0)</f>
        <v>0</v>
      </c>
      <c r="K6" s="1375" t="s">
        <v>2106</v>
      </c>
      <c r="L6" s="302" t="s">
        <v>696</v>
      </c>
      <c r="M6" s="303">
        <f ca="1">INDIRECT("'数据-取费表'!z"&amp;$G$1)</f>
        <v>0</v>
      </c>
    </row>
    <row r="7" spans="1:37" ht="18" customHeight="1">
      <c r="A7" s="1072"/>
      <c r="B7" s="3738"/>
      <c r="C7" s="1074"/>
      <c r="D7" s="307"/>
      <c r="E7" s="1075" t="s">
        <v>697</v>
      </c>
      <c r="F7" s="303">
        <f ca="1">IF(INDIRECT("'数据-取费表'!ah"&amp;$G$1)="",INDIRECT("'数据-取费表'!k"&amp;$G$1),INDIRECT("'数据-取费表'!ah"&amp;$G$1))</f>
        <v>224.79</v>
      </c>
      <c r="G7" s="1383"/>
      <c r="H7" s="304"/>
      <c r="I7" s="3738"/>
      <c r="J7" s="306"/>
      <c r="K7" s="307"/>
      <c r="L7" s="302" t="s">
        <v>697</v>
      </c>
      <c r="M7" s="303">
        <f ca="1">F7</f>
        <v>224.79</v>
      </c>
    </row>
    <row r="8" spans="1:37" ht="18" customHeight="1">
      <c r="A8" s="304"/>
      <c r="B8" s="3738"/>
      <c r="C8" s="306"/>
      <c r="D8" s="307"/>
      <c r="E8" s="302" t="s">
        <v>698</v>
      </c>
      <c r="F8" s="303">
        <f ca="1">INDIRECT("'数据-取费表'!ai"&amp;$G$1)</f>
        <v>365</v>
      </c>
      <c r="G8" s="1383"/>
      <c r="H8" s="304"/>
      <c r="I8" s="3738"/>
      <c r="J8" s="306"/>
      <c r="K8" s="307"/>
      <c r="L8" s="302" t="s">
        <v>698</v>
      </c>
      <c r="M8" s="303">
        <f ca="1">INDIRECT("'数据-取费表'!ai"&amp;$G$1)</f>
        <v>365</v>
      </c>
    </row>
    <row r="9" spans="1:37" ht="18" customHeight="1">
      <c r="A9" s="304"/>
      <c r="B9" s="3739"/>
      <c r="C9" s="306"/>
      <c r="D9" s="307"/>
      <c r="E9" s="302" t="s">
        <v>699</v>
      </c>
      <c r="F9" s="312">
        <f ca="1">INDIRECT("'数据-取费表'!w"&amp;$G$1)</f>
        <v>0.1</v>
      </c>
      <c r="G9" s="1383"/>
      <c r="H9" s="304"/>
      <c r="I9" s="3739"/>
      <c r="J9" s="306"/>
      <c r="K9" s="307"/>
      <c r="L9" s="313" t="s">
        <v>699</v>
      </c>
      <c r="M9" s="314">
        <f ca="1">INDIRECT("'数据-取费表'!ab"&amp;$G$1)</f>
        <v>0</v>
      </c>
    </row>
    <row r="10" spans="1:37" ht="18" customHeight="1">
      <c r="A10" s="1068" t="s">
        <v>402</v>
      </c>
      <c r="B10" s="1364" t="s">
        <v>700</v>
      </c>
      <c r="C10" s="316">
        <f ca="1">ROUND(IF(F10="押一",C6/12*F11,IF(F10="押二",C6/12*2*F11,IF(F10="押三",C6/12*3*F11,C11*F11))),0)</f>
        <v>342</v>
      </c>
      <c r="D10" s="1365" t="s">
        <v>2115</v>
      </c>
      <c r="E10" s="313" t="s">
        <v>701</v>
      </c>
      <c r="F10" s="1115" t="s">
        <v>3414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1100395</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899160</v>
      </c>
      <c r="D14" s="1344" t="s">
        <v>708</v>
      </c>
      <c r="E14" s="1341"/>
      <c r="F14" s="319"/>
      <c r="G14" s="1383"/>
      <c r="H14" s="981" t="s">
        <v>398</v>
      </c>
      <c r="I14" s="302" t="s">
        <v>709</v>
      </c>
      <c r="J14" s="21">
        <f ca="1">C29</f>
        <v>1325777</v>
      </c>
      <c r="K14" s="12"/>
      <c r="L14" s="806"/>
      <c r="M14" s="807"/>
    </row>
    <row r="15" spans="1:37" s="1396" customFormat="1" ht="18" customHeight="1" thickBot="1">
      <c r="A15" s="981" t="s">
        <v>399</v>
      </c>
      <c r="B15" s="302" t="s">
        <v>710</v>
      </c>
      <c r="C15" s="21">
        <f ca="1">ROUND(C14*F15,0)</f>
        <v>44958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6629</v>
      </c>
      <c r="K16" s="1086" t="s">
        <v>715</v>
      </c>
      <c r="L16" s="1087"/>
      <c r="M16" s="1071"/>
    </row>
    <row r="17" spans="1:37" s="1396" customFormat="1" ht="18" customHeight="1">
      <c r="A17" s="981" t="s">
        <v>681</v>
      </c>
      <c r="B17" s="302" t="s">
        <v>716</v>
      </c>
      <c r="C17" s="21">
        <f ca="1">ROUND(F17*(F43+INDIRECT("'数据-取费表'!S"&amp;$G$1)),0)</f>
        <v>44958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17983</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1007059</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30212</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6629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32156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-6629</v>
      </c>
      <c r="K25" s="1094" t="s">
        <v>753</v>
      </c>
      <c r="L25" s="1095"/>
      <c r="M25" s="1096"/>
    </row>
    <row r="26" spans="1:37" ht="18" customHeight="1">
      <c r="A26" s="981" t="s">
        <v>397</v>
      </c>
      <c r="B26" s="302" t="s">
        <v>754</v>
      </c>
      <c r="C26" s="21">
        <f ca="1">ROUND((C19+C20)*F26,0)</f>
        <v>155591</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1325777</v>
      </c>
      <c r="D29" s="1091"/>
      <c r="E29" s="1089"/>
      <c r="F29" s="1092"/>
      <c r="G29" s="1395"/>
      <c r="H29" s="334" t="s">
        <v>396</v>
      </c>
      <c r="I29" s="335" t="s">
        <v>768</v>
      </c>
      <c r="J29" s="336">
        <f ca="1">ROUND(J26/(1+F40)^F41,0)</f>
        <v>0</v>
      </c>
      <c r="K29" s="337" t="s">
        <v>769</v>
      </c>
      <c r="L29" s="338"/>
      <c r="M29" s="339">
        <f ca="1">INDIRECT("'数据-取费表'!k"&amp;$G$1)</f>
        <v>224.79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56002</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45537</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14312</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31225</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6629</v>
      </c>
      <c r="D36" s="1343" t="s">
        <v>771</v>
      </c>
      <c r="E36" s="302" t="s">
        <v>712</v>
      </c>
      <c r="F36" s="328">
        <f ca="1">INDIRECT("'数据-取费表'!Ak"&amp;$G$1)</f>
        <v>5.0000000000000001E-3</v>
      </c>
      <c r="G36" s="1383"/>
      <c r="H36" s="2697"/>
      <c r="I36" s="1397"/>
      <c r="J36" s="1398"/>
      <c r="K36" s="2542"/>
      <c r="L36" s="2697"/>
      <c r="M36" s="2697"/>
    </row>
    <row r="37" spans="1:18" ht="18" customHeight="1">
      <c r="A37" s="981" t="s">
        <v>437</v>
      </c>
      <c r="B37" s="302" t="s">
        <v>742</v>
      </c>
      <c r="C37" s="21">
        <f ca="1">ROUND(C13*F37,0)</f>
        <v>1100</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2736</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217561</v>
      </c>
      <c r="D39" s="1094" t="s">
        <v>773</v>
      </c>
      <c r="E39" s="1095"/>
      <c r="F39" s="1096"/>
      <c r="G39" s="1383"/>
      <c r="H39" s="2697"/>
      <c r="I39" s="1397"/>
      <c r="J39" s="1398"/>
      <c r="K39" s="2701"/>
      <c r="L39" s="2697"/>
      <c r="M39" s="2697"/>
    </row>
    <row r="40" spans="1:18" ht="18" customHeight="1">
      <c r="A40" s="299" t="s">
        <v>395</v>
      </c>
      <c r="B40" s="300" t="s">
        <v>774</v>
      </c>
      <c r="C40" s="301">
        <f ca="1">ROUND(C39*(1-((1+F42)/(1+F40))^F41)/(F40-F42),0)</f>
        <v>3807323</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28.1</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16937</v>
      </c>
      <c r="D43" s="337" t="s">
        <v>777</v>
      </c>
      <c r="E43" s="338" t="s">
        <v>778</v>
      </c>
      <c r="F43" s="339">
        <f ca="1">INDIRECT("'数据-取费表'!k"&amp;$G$1)</f>
        <v>224.79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-391.6635</v>
      </c>
      <c r="D45" s="3429" t="s">
        <v>3350</v>
      </c>
      <c r="E45" s="1399"/>
      <c r="F45" s="1399"/>
      <c r="O45" s="1402" t="s">
        <v>808</v>
      </c>
      <c r="P45" s="1460"/>
      <c r="Q45" s="1460"/>
      <c r="R45" s="1460"/>
    </row>
    <row r="46" spans="1:18" s="1383" customFormat="1" ht="13.5" thickBot="1">
      <c r="A46" s="1403" t="s">
        <v>809</v>
      </c>
      <c r="C46" s="1404">
        <f ca="1">ROUND(C45,0)</f>
        <v>-392</v>
      </c>
      <c r="D46" s="1405" t="str">
        <f>C2</f>
        <v>万元</v>
      </c>
      <c r="I46" s="1406" t="s">
        <v>810</v>
      </c>
      <c r="J46" s="1407"/>
      <c r="K46" s="1408"/>
      <c r="L46" s="1409">
        <f ca="1">IF(M47="住宅",0,IF(L48&gt;J51,L60,J60))</f>
        <v>69495</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3459</v>
      </c>
      <c r="K47" s="1415" t="s">
        <v>816</v>
      </c>
      <c r="L47" s="1416">
        <f ca="1">INDIRECT("'数据-取费表'!d"&amp;$G$1)</f>
        <v>40</v>
      </c>
      <c r="M47" s="1379" t="str">
        <f>IF(ISNUMBER(FIND("住宅",C1)),"住宅","非住宅")</f>
        <v>非住宅</v>
      </c>
      <c r="O47" s="1417" t="s">
        <v>403</v>
      </c>
      <c r="P47" s="1418" t="s">
        <v>817</v>
      </c>
      <c r="Q47" s="1419">
        <f ca="1">C40+J29</f>
        <v>3807323</v>
      </c>
      <c r="R47" s="1419" t="s">
        <v>818</v>
      </c>
    </row>
    <row r="48" spans="1:18" s="1383" customFormat="1" ht="28.5" thickBot="1">
      <c r="A48" s="1109" t="s">
        <v>438</v>
      </c>
      <c r="B48" s="300" t="s">
        <v>692</v>
      </c>
      <c r="C48" s="1358">
        <f ca="1">C49+C53+C55</f>
        <v>0</v>
      </c>
      <c r="D48" s="1111"/>
      <c r="E48" s="1112"/>
      <c r="F48" s="961"/>
      <c r="G48" s="721"/>
      <c r="H48" s="722"/>
      <c r="I48" s="1420" t="s">
        <v>819</v>
      </c>
      <c r="J48" s="1421" t="s">
        <v>3413</v>
      </c>
      <c r="K48" s="1422" t="s">
        <v>820</v>
      </c>
      <c r="L48" s="1423">
        <f ca="1">INDIRECT("'数据-取费表'!f"&amp;$G$1)</f>
        <v>28.1</v>
      </c>
      <c r="O48" s="1417" t="s">
        <v>404</v>
      </c>
      <c r="P48" s="1418" t="s">
        <v>821</v>
      </c>
      <c r="Q48" s="1419">
        <f ca="1">J60</f>
        <v>69495</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2015</v>
      </c>
      <c r="K49" s="1422" t="s">
        <v>824</v>
      </c>
      <c r="L49" s="1426"/>
      <c r="O49" s="1427" t="s">
        <v>405</v>
      </c>
      <c r="P49" s="1418" t="s">
        <v>825</v>
      </c>
      <c r="Q49" s="1419">
        <f ca="1">C29</f>
        <v>1325777</v>
      </c>
      <c r="R49" s="1419" t="s">
        <v>818</v>
      </c>
    </row>
    <row r="50" spans="1:18" s="1383" customFormat="1" ht="13.5" thickBot="1">
      <c r="A50" s="975"/>
      <c r="B50" s="978"/>
      <c r="C50" s="979"/>
      <c r="D50" s="952"/>
      <c r="E50" s="1055" t="s">
        <v>697</v>
      </c>
      <c r="F50" s="1056">
        <f ca="1">F7</f>
        <v>224.79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2565566</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28.1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28.1</v>
      </c>
      <c r="K53" s="3740" t="s">
        <v>837</v>
      </c>
      <c r="L53" s="3741"/>
      <c r="O53" s="1417" t="s">
        <v>409</v>
      </c>
      <c r="P53" s="1418" t="s">
        <v>838</v>
      </c>
      <c r="Q53" s="1419">
        <f ca="1">Q47+Q48</f>
        <v>3876818</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0.36499999999999999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1100395</v>
      </c>
      <c r="D56" s="1446"/>
      <c r="E56" s="1447"/>
      <c r="F56" s="1439"/>
      <c r="I56" s="1448" t="s">
        <v>842</v>
      </c>
      <c r="J56" s="1449" t="s">
        <v>3407</v>
      </c>
      <c r="K56" s="1420" t="s">
        <v>843</v>
      </c>
      <c r="L56" s="1423" t="str">
        <f ca="1">IF(L48&lt;J51,"——",L48-J51)</f>
        <v>——</v>
      </c>
      <c r="O56" s="1417" t="s">
        <v>403</v>
      </c>
      <c r="P56" s="1418" t="s">
        <v>817</v>
      </c>
      <c r="Q56" s="1419">
        <f ca="1">C40+J29</f>
        <v>3807323</v>
      </c>
      <c r="R56" s="1419" t="s">
        <v>818</v>
      </c>
    </row>
    <row r="57" spans="1:18" s="1383" customFormat="1" ht="24.75" thickBot="1">
      <c r="A57" s="1450"/>
      <c r="B57" s="949" t="s">
        <v>767</v>
      </c>
      <c r="C57" s="238">
        <f ca="1">C29</f>
        <v>1325777</v>
      </c>
      <c r="D57" s="1451"/>
      <c r="E57" s="1452"/>
      <c r="F57" s="1453"/>
      <c r="I57" s="1454" t="s">
        <v>844</v>
      </c>
      <c r="J57" s="1455">
        <f ca="1">IF(OR(M47="住宅",J51&lt;L48,J56="是"),"——",J51-L48)</f>
        <v>21.9</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7729</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530311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69495</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3807323</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6629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1100</v>
      </c>
      <c r="D65" s="963" t="s">
        <v>743</v>
      </c>
      <c r="E65" s="949" t="s">
        <v>744</v>
      </c>
      <c r="F65" s="330">
        <f t="shared" ca="1" si="0"/>
        <v>1E-3</v>
      </c>
      <c r="I65" s="1461" t="s">
        <v>867</v>
      </c>
      <c r="J65" s="1462">
        <v>40</v>
      </c>
      <c r="K65" s="1462">
        <v>30</v>
      </c>
      <c r="L65" s="1462">
        <v>50</v>
      </c>
      <c r="M65" s="1464">
        <v>0.02</v>
      </c>
      <c r="O65" s="1417" t="s">
        <v>403</v>
      </c>
      <c r="P65" s="1418" t="s">
        <v>868</v>
      </c>
      <c r="Q65" s="1419">
        <f ca="1">C40+J29</f>
        <v>3807323</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-7729</v>
      </c>
      <c r="D67" s="962" t="s">
        <v>753</v>
      </c>
      <c r="E67" s="967"/>
      <c r="F67" s="968"/>
      <c r="O67" s="1427" t="s">
        <v>405</v>
      </c>
      <c r="P67" s="1418" t="s">
        <v>850</v>
      </c>
      <c r="Q67" s="1465">
        <f ca="1">L51</f>
        <v>2565566</v>
      </c>
      <c r="R67" s="1419" t="s">
        <v>870</v>
      </c>
    </row>
    <row r="68" spans="1:18" s="1383" customFormat="1" ht="16.5" thickBot="1">
      <c r="A68" s="946" t="s">
        <v>395</v>
      </c>
      <c r="B68" s="947" t="s">
        <v>774</v>
      </c>
      <c r="C68" s="301">
        <f ca="1">ROUND(C67*(1-((1+F70)/(1+F68))^F69)/(F68-F70),0)</f>
        <v>-109312</v>
      </c>
      <c r="D68" s="964" t="s">
        <v>758</v>
      </c>
      <c r="E68" s="949" t="s">
        <v>759</v>
      </c>
      <c r="F68" s="312">
        <f ca="1">F40</f>
        <v>5.5E-2</v>
      </c>
      <c r="O68" s="1427" t="s">
        <v>406</v>
      </c>
      <c r="P68" s="1466" t="s">
        <v>871</v>
      </c>
      <c r="Q68" s="1419">
        <f ca="1">ROUND(Q69-Q70*Q71,0)</f>
        <v>140533</v>
      </c>
      <c r="R68" s="1419" t="s">
        <v>414</v>
      </c>
    </row>
    <row r="69" spans="1:18" s="1383" customFormat="1" ht="13.5" thickBot="1">
      <c r="A69" s="950"/>
      <c r="B69" s="951"/>
      <c r="C69" s="306"/>
      <c r="D69" s="969" t="s">
        <v>762</v>
      </c>
      <c r="E69" s="949" t="s">
        <v>763</v>
      </c>
      <c r="F69" s="333">
        <f ca="1">F41</f>
        <v>28.1</v>
      </c>
      <c r="O69" s="1427" t="s">
        <v>411</v>
      </c>
      <c r="P69" s="1466" t="s">
        <v>872</v>
      </c>
      <c r="Q69" s="1419">
        <f ca="1">C39</f>
        <v>217561</v>
      </c>
      <c r="R69" s="1419" t="s">
        <v>818</v>
      </c>
    </row>
    <row r="70" spans="1:18" s="1383" customFormat="1" ht="13.5" thickBot="1">
      <c r="A70" s="953"/>
      <c r="B70" s="954"/>
      <c r="C70" s="310"/>
      <c r="D70" s="965"/>
      <c r="E70" s="949" t="s">
        <v>766</v>
      </c>
      <c r="F70" s="1053"/>
      <c r="O70" s="1427" t="s">
        <v>412</v>
      </c>
      <c r="P70" s="1466" t="s">
        <v>873</v>
      </c>
      <c r="Q70" s="1419">
        <f ca="1">C13</f>
        <v>1100395</v>
      </c>
      <c r="R70" s="1419" t="s">
        <v>818</v>
      </c>
    </row>
    <row r="71" spans="1:18" s="1383" customFormat="1" ht="13.5" thickBot="1">
      <c r="A71" s="970" t="s">
        <v>396</v>
      </c>
      <c r="B71" s="971" t="s">
        <v>776</v>
      </c>
      <c r="C71" s="336">
        <f ca="1">ROUND(C68/F71,0)</f>
        <v>-486</v>
      </c>
      <c r="D71" s="972" t="s">
        <v>777</v>
      </c>
      <c r="E71" s="973" t="s">
        <v>778</v>
      </c>
      <c r="F71" s="339">
        <f ca="1">F43</f>
        <v>224.79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77028</v>
      </c>
      <c r="D75" s="1383"/>
      <c r="E75" s="1383"/>
      <c r="F75" s="1383"/>
      <c r="K75" s="1401"/>
      <c r="L75" s="1383"/>
      <c r="O75" s="1417" t="s">
        <v>409</v>
      </c>
      <c r="P75" s="1418" t="s">
        <v>838</v>
      </c>
      <c r="Q75" s="1419">
        <f ca="1">Q65+Q66</f>
        <v>3807323</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0.64600000000000002</v>
      </c>
    </row>
    <row r="80" spans="1:18">
      <c r="B80" s="340" t="s">
        <v>800</v>
      </c>
      <c r="C80" s="274">
        <f ca="1">ROUND(C75/C39,3)</f>
        <v>0.35399999999999998</v>
      </c>
    </row>
    <row r="81" spans="2:3">
      <c r="B81" s="270" t="s">
        <v>801</v>
      </c>
      <c r="C81" s="238"/>
    </row>
    <row r="82" spans="2:3">
      <c r="B82" s="273" t="s">
        <v>802</v>
      </c>
      <c r="C82" s="275">
        <f ca="1">1-C83</f>
        <v>0.71100000000000008</v>
      </c>
    </row>
    <row r="83" spans="2:3">
      <c r="B83" s="273" t="s">
        <v>803</v>
      </c>
      <c r="C83" s="274">
        <f ca="1">ROUND(C13/C40,3)</f>
        <v>0.28899999999999998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M25" sqref="M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3429</v>
      </c>
      <c r="F1" s="1878" t="s">
        <v>3479</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5.2</v>
      </c>
      <c r="C3" s="354" t="s">
        <v>1665</v>
      </c>
      <c r="D3" s="353">
        <f>IF(D1="",'数据-汇总表'!E3,SUMIF('数据-汇总表'!$C19:$C33,D1,'数据-汇总表'!$E19:$E33))</f>
        <v>0</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696" t="s">
        <v>1667</v>
      </c>
      <c r="D4" s="3697"/>
      <c r="E4" s="3698" t="s">
        <v>1668</v>
      </c>
      <c r="F4" s="3699"/>
      <c r="G4" s="3696" t="s">
        <v>1669</v>
      </c>
      <c r="H4" s="3697"/>
      <c r="I4" s="3696" t="s">
        <v>1670</v>
      </c>
      <c r="J4" s="3697"/>
      <c r="K4" s="559" t="s">
        <v>1671</v>
      </c>
      <c r="L4" s="2712"/>
      <c r="M4" s="2713"/>
      <c r="N4" s="2713"/>
      <c r="O4" s="2713"/>
      <c r="P4" s="3700" t="s">
        <v>1672</v>
      </c>
      <c r="Q4" s="3701"/>
      <c r="R4" s="3680" t="s">
        <v>1668</v>
      </c>
      <c r="S4" s="3681"/>
      <c r="T4" s="3680" t="s">
        <v>1669</v>
      </c>
      <c r="U4" s="3681"/>
      <c r="V4" s="3708" t="s">
        <v>1670</v>
      </c>
      <c r="W4" s="3708"/>
      <c r="X4" s="3474"/>
      <c r="Y4" s="3680" t="s">
        <v>1672</v>
      </c>
      <c r="Z4" s="3681"/>
      <c r="AA4" s="3675" t="s">
        <v>1668</v>
      </c>
      <c r="AB4" s="3675" t="s">
        <v>1669</v>
      </c>
      <c r="AC4" s="3693" t="s">
        <v>1670</v>
      </c>
    </row>
    <row r="5" spans="1:29" ht="15">
      <c r="A5" s="358"/>
      <c r="B5" s="359"/>
      <c r="C5" s="3686" t="s">
        <v>3506</v>
      </c>
      <c r="D5" s="3687"/>
      <c r="E5" s="3684" t="s">
        <v>3506</v>
      </c>
      <c r="F5" s="3685"/>
      <c r="G5" s="3686" t="s">
        <v>3507</v>
      </c>
      <c r="H5" s="3687"/>
      <c r="I5" s="3686" t="s">
        <v>3506</v>
      </c>
      <c r="J5" s="3687"/>
      <c r="K5" s="559"/>
      <c r="L5" s="2712"/>
      <c r="M5" s="2713"/>
      <c r="N5" s="2713"/>
      <c r="O5" s="2713"/>
      <c r="P5" s="3702"/>
      <c r="Q5" s="3703"/>
      <c r="R5" s="3682"/>
      <c r="S5" s="3683"/>
      <c r="T5" s="3682"/>
      <c r="U5" s="3683"/>
      <c r="V5" s="3709"/>
      <c r="W5" s="3709"/>
      <c r="X5" s="3472"/>
      <c r="Y5" s="3682"/>
      <c r="Z5" s="3683"/>
      <c r="AA5" s="3676"/>
      <c r="AB5" s="3676"/>
      <c r="AC5" s="3694"/>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04"/>
      <c r="Q6" s="3705"/>
      <c r="R6" s="3682"/>
      <c r="S6" s="3683"/>
      <c r="T6" s="3706"/>
      <c r="U6" s="3707"/>
      <c r="V6" s="3709"/>
      <c r="W6" s="3709"/>
      <c r="X6" s="3472"/>
      <c r="Y6" s="3706"/>
      <c r="Z6" s="3707"/>
      <c r="AA6" s="3677"/>
      <c r="AB6" s="3677"/>
      <c r="AC6" s="3695"/>
    </row>
    <row r="7" spans="1:29" s="108" customFormat="1" ht="15.75" thickBot="1">
      <c r="A7" s="362" t="s">
        <v>1679</v>
      </c>
      <c r="B7" s="363"/>
      <c r="C7" s="364">
        <f>'数据-取费表'!B2</f>
        <v>45728</v>
      </c>
      <c r="D7" s="365">
        <v>100</v>
      </c>
      <c r="E7" s="366">
        <f>C7</f>
        <v>45728</v>
      </c>
      <c r="F7" s="367">
        <f>SUMIF(59:59,YEAR(E7)&amp;"-"&amp;MONTH(E7),60:60)</f>
        <v>100</v>
      </c>
      <c r="G7" s="366">
        <f>C7</f>
        <v>45728</v>
      </c>
      <c r="H7" s="365">
        <f>SUMIF(59:59,YEAR(G7)&amp;"-"&amp;MONTH(G7),60:60)</f>
        <v>100</v>
      </c>
      <c r="I7" s="366">
        <f>C7</f>
        <v>45728</v>
      </c>
      <c r="J7" s="365">
        <f>SUMIF(59:59,YEAR(I7)&amp;"-"&amp;MONTH(I7),60:60)</f>
        <v>100</v>
      </c>
      <c r="K7" s="560"/>
      <c r="L7" s="2714"/>
      <c r="M7" s="2715"/>
      <c r="N7" s="2715"/>
      <c r="O7" s="2715"/>
      <c r="P7" s="3710" t="s">
        <v>1680</v>
      </c>
      <c r="Q7" s="3711"/>
      <c r="R7" s="700" t="s">
        <v>14</v>
      </c>
      <c r="S7" s="701">
        <f t="shared" ref="S7:S15" si="0">F7</f>
        <v>100</v>
      </c>
      <c r="T7" s="700" t="s">
        <v>14</v>
      </c>
      <c r="U7" s="701">
        <f t="shared" ref="U7:U15" si="1">H7</f>
        <v>100</v>
      </c>
      <c r="V7" s="700" t="s">
        <v>14</v>
      </c>
      <c r="W7" s="701">
        <f t="shared" ref="W7:W15" si="2">J7</f>
        <v>100</v>
      </c>
      <c r="X7" s="702"/>
      <c r="Y7" s="3678" t="s">
        <v>1680</v>
      </c>
      <c r="Z7" s="3679"/>
      <c r="AA7" s="703">
        <f>D7/F7</f>
        <v>1</v>
      </c>
      <c r="AB7" s="703">
        <f>D7/H7</f>
        <v>1</v>
      </c>
      <c r="AC7" s="1958">
        <f>D7/J7</f>
        <v>1</v>
      </c>
    </row>
    <row r="8" spans="1:29" s="108" customFormat="1" ht="15.75" thickBot="1">
      <c r="A8" s="362" t="s">
        <v>1681</v>
      </c>
      <c r="B8" s="363"/>
      <c r="C8" s="368" t="s">
        <v>3431</v>
      </c>
      <c r="D8" s="365">
        <v>100</v>
      </c>
      <c r="E8" s="368" t="s">
        <v>3432</v>
      </c>
      <c r="F8" s="367">
        <f>SUMIF(62:62,E8,63:63)-SUMIF(62:62,C8,63:63)+100</f>
        <v>102</v>
      </c>
      <c r="G8" s="368" t="s">
        <v>3432</v>
      </c>
      <c r="H8" s="365">
        <f>SUMIF(62:62,G8,63:63)-SUMIF(62:62,C8,63:63)+100</f>
        <v>102</v>
      </c>
      <c r="I8" s="368" t="s">
        <v>3432</v>
      </c>
      <c r="J8" s="365">
        <f>SUMIF(62:62,I8,63:63)-SUMIF(62:62,C8,63:63)+100</f>
        <v>102</v>
      </c>
      <c r="K8" s="560"/>
      <c r="L8" s="2714"/>
      <c r="M8" s="2715"/>
      <c r="N8" s="2715"/>
      <c r="O8" s="2715"/>
      <c r="P8" s="3710" t="s">
        <v>1683</v>
      </c>
      <c r="Q8" s="3679"/>
      <c r="R8" s="700" t="s">
        <v>14</v>
      </c>
      <c r="S8" s="701">
        <f t="shared" si="0"/>
        <v>102</v>
      </c>
      <c r="T8" s="700" t="s">
        <v>14</v>
      </c>
      <c r="U8" s="701">
        <f t="shared" si="1"/>
        <v>102</v>
      </c>
      <c r="V8" s="700" t="s">
        <v>14</v>
      </c>
      <c r="W8" s="701">
        <f t="shared" si="2"/>
        <v>102</v>
      </c>
      <c r="X8" s="702"/>
      <c r="Y8" s="3678" t="s">
        <v>1683</v>
      </c>
      <c r="Z8" s="3679"/>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3467</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92" t="s">
        <v>1686</v>
      </c>
      <c r="Q9" s="3468" t="str">
        <f t="shared" ref="Q9:Q15" si="6">B9</f>
        <v>用途</v>
      </c>
      <c r="R9" s="700" t="s">
        <v>14</v>
      </c>
      <c r="S9" s="701">
        <f t="shared" si="0"/>
        <v>100</v>
      </c>
      <c r="T9" s="700" t="s">
        <v>14</v>
      </c>
      <c r="U9" s="701">
        <f t="shared" si="1"/>
        <v>100</v>
      </c>
      <c r="V9" s="700" t="s">
        <v>14</v>
      </c>
      <c r="W9" s="701">
        <f t="shared" si="2"/>
        <v>100</v>
      </c>
      <c r="X9" s="702"/>
      <c r="Y9" s="3648"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2"/>
      <c r="Q10" s="3468" t="str">
        <f t="shared" si="6"/>
        <v>土地使用年限（年）</v>
      </c>
      <c r="R10" s="700" t="s">
        <v>14</v>
      </c>
      <c r="S10" s="701">
        <f t="shared" si="0"/>
        <v>100</v>
      </c>
      <c r="T10" s="700" t="s">
        <v>14</v>
      </c>
      <c r="U10" s="701">
        <f t="shared" si="1"/>
        <v>100</v>
      </c>
      <c r="V10" s="700" t="s">
        <v>14</v>
      </c>
      <c r="W10" s="701">
        <f t="shared" si="2"/>
        <v>100</v>
      </c>
      <c r="X10" s="702"/>
      <c r="Y10" s="3648"/>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2"/>
      <c r="Q11" s="3468" t="str">
        <f t="shared" si="6"/>
        <v>容积率</v>
      </c>
      <c r="R11" s="700" t="s">
        <v>14</v>
      </c>
      <c r="S11" s="701">
        <f t="shared" si="0"/>
        <v>100</v>
      </c>
      <c r="T11" s="700" t="s">
        <v>14</v>
      </c>
      <c r="U11" s="701">
        <f t="shared" si="1"/>
        <v>100</v>
      </c>
      <c r="V11" s="700" t="s">
        <v>14</v>
      </c>
      <c r="W11" s="701">
        <f t="shared" si="2"/>
        <v>100</v>
      </c>
      <c r="X11" s="702"/>
      <c r="Y11" s="3648"/>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92"/>
      <c r="Q12" s="3468">
        <f t="shared" si="6"/>
        <v>111</v>
      </c>
      <c r="R12" s="700" t="s">
        <v>14</v>
      </c>
      <c r="S12" s="701">
        <f t="shared" si="0"/>
        <v>100</v>
      </c>
      <c r="T12" s="700" t="s">
        <v>14</v>
      </c>
      <c r="U12" s="701">
        <f t="shared" si="1"/>
        <v>100</v>
      </c>
      <c r="V12" s="700" t="s">
        <v>14</v>
      </c>
      <c r="W12" s="701">
        <f t="shared" si="2"/>
        <v>100</v>
      </c>
      <c r="X12" s="702"/>
      <c r="Y12" s="3648"/>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92"/>
      <c r="Q13" s="3468">
        <f t="shared" si="6"/>
        <v>111</v>
      </c>
      <c r="R13" s="700" t="s">
        <v>14</v>
      </c>
      <c r="S13" s="701">
        <f t="shared" si="0"/>
        <v>100</v>
      </c>
      <c r="T13" s="700" t="s">
        <v>14</v>
      </c>
      <c r="U13" s="701">
        <f t="shared" si="1"/>
        <v>100</v>
      </c>
      <c r="V13" s="700" t="s">
        <v>14</v>
      </c>
      <c r="W13" s="701">
        <f t="shared" si="2"/>
        <v>100</v>
      </c>
      <c r="X13" s="702"/>
      <c r="Y13" s="3648"/>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92"/>
      <c r="Q14" s="3468">
        <f t="shared" si="6"/>
        <v>111</v>
      </c>
      <c r="R14" s="700" t="s">
        <v>14</v>
      </c>
      <c r="S14" s="701">
        <f t="shared" si="0"/>
        <v>100</v>
      </c>
      <c r="T14" s="700" t="s">
        <v>14</v>
      </c>
      <c r="U14" s="701">
        <f t="shared" si="1"/>
        <v>100</v>
      </c>
      <c r="V14" s="700" t="s">
        <v>14</v>
      </c>
      <c r="W14" s="701">
        <f t="shared" si="2"/>
        <v>100</v>
      </c>
      <c r="X14" s="702"/>
      <c r="Y14" s="3648"/>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12" t="s">
        <v>1691</v>
      </c>
      <c r="Q15" s="3470" t="str">
        <f t="shared" si="6"/>
        <v>办公集聚程度</v>
      </c>
      <c r="R15" s="704" t="s">
        <v>14</v>
      </c>
      <c r="S15" s="705">
        <f t="shared" si="0"/>
        <v>100</v>
      </c>
      <c r="T15" s="704" t="s">
        <v>14</v>
      </c>
      <c r="U15" s="705">
        <f t="shared" si="1"/>
        <v>100</v>
      </c>
      <c r="V15" s="704" t="s">
        <v>14</v>
      </c>
      <c r="W15" s="705">
        <f t="shared" si="2"/>
        <v>100</v>
      </c>
      <c r="X15" s="3472"/>
      <c r="Y15" s="3714" t="s">
        <v>1691</v>
      </c>
      <c r="Z15" s="3473" t="str">
        <f t="shared" si="7"/>
        <v>办公集聚程度</v>
      </c>
      <c r="AA15" s="3471">
        <f t="shared" si="3"/>
        <v>1</v>
      </c>
      <c r="AB15" s="3471">
        <f t="shared" si="4"/>
        <v>1</v>
      </c>
      <c r="AC15" s="1961">
        <f t="shared" si="5"/>
        <v>1</v>
      </c>
    </row>
    <row r="16" spans="1:29" ht="15">
      <c r="A16" s="379"/>
      <c r="B16" s="578"/>
      <c r="C16" s="1903" t="s">
        <v>3423</v>
      </c>
      <c r="D16" s="399"/>
      <c r="E16" s="1903" t="s">
        <v>3423</v>
      </c>
      <c r="F16" s="399"/>
      <c r="G16" s="1903" t="s">
        <v>3423</v>
      </c>
      <c r="H16" s="401"/>
      <c r="I16" s="1903" t="s">
        <v>3423</v>
      </c>
      <c r="J16" s="399"/>
      <c r="K16" s="564"/>
      <c r="L16" s="2719"/>
      <c r="M16" s="2713"/>
      <c r="N16" s="2713"/>
      <c r="O16" s="2713"/>
      <c r="P16" s="3713"/>
      <c r="Q16" s="3470"/>
      <c r="R16" s="704"/>
      <c r="S16" s="705"/>
      <c r="T16" s="704"/>
      <c r="U16" s="705"/>
      <c r="V16" s="704"/>
      <c r="W16" s="705"/>
      <c r="X16" s="3472"/>
      <c r="Y16" s="3715"/>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13"/>
      <c r="Q17" s="3470" t="str">
        <f>B17</f>
        <v>交通便捷度</v>
      </c>
      <c r="R17" s="704" t="s">
        <v>14</v>
      </c>
      <c r="S17" s="705">
        <f>F17</f>
        <v>100</v>
      </c>
      <c r="T17" s="704" t="s">
        <v>14</v>
      </c>
      <c r="U17" s="705">
        <f>H17</f>
        <v>100</v>
      </c>
      <c r="V17" s="704" t="s">
        <v>14</v>
      </c>
      <c r="W17" s="705">
        <f>J17</f>
        <v>100</v>
      </c>
      <c r="X17" s="3472"/>
      <c r="Y17" s="3715"/>
      <c r="Z17" s="3473" t="str">
        <f>Q17</f>
        <v>交通便捷度</v>
      </c>
      <c r="AA17" s="3471">
        <f t="shared" si="3"/>
        <v>1</v>
      </c>
      <c r="AB17" s="3471">
        <f t="shared" si="4"/>
        <v>1</v>
      </c>
      <c r="AC17" s="1961">
        <f t="shared" si="5"/>
        <v>1</v>
      </c>
    </row>
    <row r="18" spans="1:29" ht="15">
      <c r="A18" s="379"/>
      <c r="B18" s="580"/>
      <c r="C18" s="1963" t="s">
        <v>3445</v>
      </c>
      <c r="D18" s="401"/>
      <c r="E18" s="1963" t="s">
        <v>3445</v>
      </c>
      <c r="F18" s="401"/>
      <c r="G18" s="1963" t="s">
        <v>3445</v>
      </c>
      <c r="H18" s="399"/>
      <c r="I18" s="1963" t="s">
        <v>3445</v>
      </c>
      <c r="J18" s="399"/>
      <c r="K18" s="564"/>
      <c r="L18" s="2719"/>
      <c r="M18" s="2713"/>
      <c r="N18" s="2713"/>
      <c r="O18" s="2713"/>
      <c r="P18" s="3713"/>
      <c r="Q18" s="3470"/>
      <c r="R18" s="704"/>
      <c r="S18" s="705"/>
      <c r="T18" s="704"/>
      <c r="U18" s="705"/>
      <c r="V18" s="704"/>
      <c r="W18" s="705"/>
      <c r="X18" s="3472"/>
      <c r="Y18" s="3715"/>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13"/>
      <c r="Q19" s="3470" t="str">
        <f>B19</f>
        <v>公共配套设施</v>
      </c>
      <c r="R19" s="704" t="s">
        <v>14</v>
      </c>
      <c r="S19" s="705">
        <f>F19</f>
        <v>100</v>
      </c>
      <c r="T19" s="704" t="s">
        <v>14</v>
      </c>
      <c r="U19" s="705">
        <f>H19</f>
        <v>100</v>
      </c>
      <c r="V19" s="704" t="s">
        <v>14</v>
      </c>
      <c r="W19" s="705">
        <f>J19</f>
        <v>100</v>
      </c>
      <c r="X19" s="3472"/>
      <c r="Y19" s="3715"/>
      <c r="Z19" s="3473" t="str">
        <f>Q19</f>
        <v>公共配套设施</v>
      </c>
      <c r="AA19" s="3471">
        <f t="shared" si="3"/>
        <v>1</v>
      </c>
      <c r="AB19" s="3471">
        <f t="shared" si="4"/>
        <v>1</v>
      </c>
      <c r="AC19" s="1961">
        <f t="shared" si="5"/>
        <v>1</v>
      </c>
    </row>
    <row r="20" spans="1:29" ht="15">
      <c r="A20" s="379"/>
      <c r="B20" s="580"/>
      <c r="C20" s="1903" t="s">
        <v>3423</v>
      </c>
      <c r="D20" s="399"/>
      <c r="E20" s="1903" t="s">
        <v>3423</v>
      </c>
      <c r="F20" s="399"/>
      <c r="G20" s="1903" t="s">
        <v>3423</v>
      </c>
      <c r="H20" s="399"/>
      <c r="I20" s="1903" t="s">
        <v>3423</v>
      </c>
      <c r="J20" s="399"/>
      <c r="K20" s="564"/>
      <c r="L20" s="2719"/>
      <c r="M20" s="2713"/>
      <c r="N20" s="2713"/>
      <c r="O20" s="2713"/>
      <c r="P20" s="3713"/>
      <c r="Q20" s="3470"/>
      <c r="R20" s="704"/>
      <c r="S20" s="705"/>
      <c r="T20" s="704"/>
      <c r="U20" s="705"/>
      <c r="V20" s="704"/>
      <c r="W20" s="705"/>
      <c r="X20" s="3472"/>
      <c r="Y20" s="3715"/>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13"/>
      <c r="Q21" s="3470" t="str">
        <f>B21</f>
        <v>基础设施水平</v>
      </c>
      <c r="R21" s="704" t="s">
        <v>14</v>
      </c>
      <c r="S21" s="705">
        <f>F21</f>
        <v>100</v>
      </c>
      <c r="T21" s="704" t="s">
        <v>14</v>
      </c>
      <c r="U21" s="705">
        <f>H21</f>
        <v>100</v>
      </c>
      <c r="V21" s="704" t="s">
        <v>14</v>
      </c>
      <c r="W21" s="705">
        <f>J21</f>
        <v>100</v>
      </c>
      <c r="X21" s="3472"/>
      <c r="Y21" s="3715"/>
      <c r="Z21" s="3473" t="str">
        <f>Q21</f>
        <v>基础设施水平</v>
      </c>
      <c r="AA21" s="3471">
        <f t="shared" ref="AA21" si="8">D21/F21</f>
        <v>1</v>
      </c>
      <c r="AB21" s="3471">
        <f t="shared" ref="AB21" si="9">D21/H21</f>
        <v>1</v>
      </c>
      <c r="AC21" s="1961">
        <f t="shared" ref="AC21" si="10">D21/J21</f>
        <v>1</v>
      </c>
    </row>
    <row r="22" spans="1:29" ht="15">
      <c r="A22" s="379"/>
      <c r="B22" s="581"/>
      <c r="C22" s="1963" t="s">
        <v>3439</v>
      </c>
      <c r="D22" s="399"/>
      <c r="E22" s="1963" t="s">
        <v>3439</v>
      </c>
      <c r="F22" s="399"/>
      <c r="G22" s="1963" t="s">
        <v>3439</v>
      </c>
      <c r="H22" s="399"/>
      <c r="I22" s="1963" t="s">
        <v>3439</v>
      </c>
      <c r="J22" s="399"/>
      <c r="K22" s="1129"/>
      <c r="L22" s="2719"/>
      <c r="M22" s="2713"/>
      <c r="N22" s="2713"/>
      <c r="O22" s="2713"/>
      <c r="P22" s="3713"/>
      <c r="Q22" s="3470"/>
      <c r="R22" s="704"/>
      <c r="S22" s="705"/>
      <c r="T22" s="704"/>
      <c r="U22" s="705"/>
      <c r="V22" s="704"/>
      <c r="W22" s="705"/>
      <c r="X22" s="3472"/>
      <c r="Y22" s="3715"/>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13"/>
      <c r="Q23" s="3470" t="str">
        <f>B23</f>
        <v>环境质量</v>
      </c>
      <c r="R23" s="704" t="s">
        <v>14</v>
      </c>
      <c r="S23" s="705">
        <f>F23</f>
        <v>100</v>
      </c>
      <c r="T23" s="704" t="s">
        <v>14</v>
      </c>
      <c r="U23" s="705">
        <f>H23</f>
        <v>100</v>
      </c>
      <c r="V23" s="704" t="s">
        <v>14</v>
      </c>
      <c r="W23" s="705">
        <f>J23</f>
        <v>100</v>
      </c>
      <c r="X23" s="3472"/>
      <c r="Y23" s="3715"/>
      <c r="Z23" s="3473" t="str">
        <f>Q23</f>
        <v>环境质量</v>
      </c>
      <c r="AA23" s="3471">
        <f t="shared" si="3"/>
        <v>1</v>
      </c>
      <c r="AB23" s="3471">
        <f t="shared" si="4"/>
        <v>1</v>
      </c>
      <c r="AC23" s="1961">
        <f t="shared" si="5"/>
        <v>1</v>
      </c>
    </row>
    <row r="24" spans="1:29" ht="15">
      <c r="A24" s="379"/>
      <c r="B24" s="581"/>
      <c r="C24" s="1903" t="s">
        <v>3423</v>
      </c>
      <c r="D24" s="399"/>
      <c r="E24" s="1903" t="s">
        <v>3423</v>
      </c>
      <c r="F24" s="399"/>
      <c r="G24" s="1903" t="s">
        <v>3423</v>
      </c>
      <c r="H24" s="399"/>
      <c r="I24" s="1903" t="s">
        <v>3423</v>
      </c>
      <c r="J24" s="399"/>
      <c r="K24" s="564"/>
      <c r="L24" s="2719"/>
      <c r="M24" s="2713"/>
      <c r="N24" s="2713"/>
      <c r="O24" s="2713"/>
      <c r="P24" s="3713"/>
      <c r="Q24" s="3470"/>
      <c r="R24" s="704"/>
      <c r="S24" s="705"/>
      <c r="T24" s="704"/>
      <c r="U24" s="705"/>
      <c r="V24" s="704"/>
      <c r="W24" s="705"/>
      <c r="X24" s="3472"/>
      <c r="Y24" s="3715"/>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13"/>
      <c r="Q25" s="3470" t="str">
        <f>B25</f>
        <v>毗邻道路的类型与等级</v>
      </c>
      <c r="R25" s="704" t="s">
        <v>14</v>
      </c>
      <c r="S25" s="705">
        <f>F25</f>
        <v>100</v>
      </c>
      <c r="T25" s="704" t="s">
        <v>14</v>
      </c>
      <c r="U25" s="705">
        <f>H25</f>
        <v>100</v>
      </c>
      <c r="V25" s="704" t="s">
        <v>14</v>
      </c>
      <c r="W25" s="705">
        <f>J25</f>
        <v>100</v>
      </c>
      <c r="X25" s="3472"/>
      <c r="Y25" s="3715"/>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13"/>
      <c r="Q26" s="3470"/>
      <c r="R26" s="704"/>
      <c r="S26" s="705"/>
      <c r="T26" s="704"/>
      <c r="U26" s="705"/>
      <c r="V26" s="704"/>
      <c r="W26" s="705"/>
      <c r="X26" s="3472"/>
      <c r="Y26" s="3715"/>
      <c r="Z26" s="3473"/>
      <c r="AA26" s="3471">
        <v>1</v>
      </c>
      <c r="AB26" s="3471">
        <v>1</v>
      </c>
      <c r="AC26" s="1961">
        <v>1</v>
      </c>
    </row>
    <row r="27" spans="1:29" ht="15">
      <c r="A27" s="379"/>
      <c r="B27" s="580" t="s">
        <v>1783</v>
      </c>
      <c r="C27" s="582" t="s">
        <v>3485</v>
      </c>
      <c r="D27" s="386">
        <v>100</v>
      </c>
      <c r="E27" s="565" t="s">
        <v>3485</v>
      </c>
      <c r="F27" s="386">
        <f>SUMIF(89:89,E27,90:90)-SUMIF(89:89,C27,90:90)+100</f>
        <v>100</v>
      </c>
      <c r="G27" s="582" t="s">
        <v>3485</v>
      </c>
      <c r="H27" s="386">
        <f>SUMIF(89:89,G27,90:90)-SUMIF(89:89,C27,90:90)+100</f>
        <v>100</v>
      </c>
      <c r="I27" s="565" t="s">
        <v>3485</v>
      </c>
      <c r="J27" s="386">
        <f>SUMIF(89:89,I27,90:90)-SUMIF(89:89,C27,90:90)+100</f>
        <v>100</v>
      </c>
      <c r="K27" s="561">
        <v>2</v>
      </c>
      <c r="L27" s="2719"/>
      <c r="M27" s="2713"/>
      <c r="N27" s="2713"/>
      <c r="O27" s="2713"/>
      <c r="P27" s="3713"/>
      <c r="Q27" s="3470" t="str">
        <f t="shared" ref="Q27:Q47" si="11">B27</f>
        <v>楼层</v>
      </c>
      <c r="R27" s="704" t="s">
        <v>14</v>
      </c>
      <c r="S27" s="705">
        <f>F27</f>
        <v>100</v>
      </c>
      <c r="T27" s="704" t="s">
        <v>14</v>
      </c>
      <c r="U27" s="705">
        <f>H27</f>
        <v>100</v>
      </c>
      <c r="V27" s="704" t="s">
        <v>14</v>
      </c>
      <c r="W27" s="705">
        <f>J27</f>
        <v>100</v>
      </c>
      <c r="X27" s="3472"/>
      <c r="Y27" s="3715"/>
      <c r="Z27" s="3473" t="str">
        <f>Q27</f>
        <v>楼层</v>
      </c>
      <c r="AA27" s="3471">
        <f t="shared" si="3"/>
        <v>1</v>
      </c>
      <c r="AB27" s="3471">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13"/>
      <c r="Q28" s="3468" t="str">
        <f t="shared" si="11"/>
        <v>朝向</v>
      </c>
      <c r="R28" s="700" t="s">
        <v>14</v>
      </c>
      <c r="S28" s="701">
        <f>F28</f>
        <v>100</v>
      </c>
      <c r="T28" s="700" t="s">
        <v>14</v>
      </c>
      <c r="U28" s="701">
        <f>H28</f>
        <v>100</v>
      </c>
      <c r="V28" s="700" t="s">
        <v>14</v>
      </c>
      <c r="W28" s="701">
        <f>J28</f>
        <v>100</v>
      </c>
      <c r="X28" s="702"/>
      <c r="Y28" s="3715"/>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13"/>
      <c r="Q29" s="3470">
        <f t="shared" si="11"/>
        <v>111</v>
      </c>
      <c r="R29" s="704" t="s">
        <v>14</v>
      </c>
      <c r="S29" s="705">
        <f t="shared" ref="S29:S47" si="12">F29</f>
        <v>100</v>
      </c>
      <c r="T29" s="704" t="s">
        <v>14</v>
      </c>
      <c r="U29" s="705">
        <f t="shared" ref="U29:U47" si="13">H29</f>
        <v>100</v>
      </c>
      <c r="V29" s="704" t="s">
        <v>14</v>
      </c>
      <c r="W29" s="705">
        <f t="shared" ref="W29:W47" si="14">J29</f>
        <v>100</v>
      </c>
      <c r="X29" s="3472"/>
      <c r="Y29" s="3715"/>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13"/>
      <c r="Q30" s="3470">
        <f t="shared" si="11"/>
        <v>111</v>
      </c>
      <c r="R30" s="704" t="s">
        <v>14</v>
      </c>
      <c r="S30" s="705">
        <f t="shared" si="12"/>
        <v>100</v>
      </c>
      <c r="T30" s="704" t="s">
        <v>14</v>
      </c>
      <c r="U30" s="705">
        <f t="shared" si="13"/>
        <v>100</v>
      </c>
      <c r="V30" s="704" t="s">
        <v>14</v>
      </c>
      <c r="W30" s="705">
        <f t="shared" si="14"/>
        <v>100</v>
      </c>
      <c r="X30" s="3472"/>
      <c r="Y30" s="3715"/>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13"/>
      <c r="Q31" s="3470">
        <f t="shared" si="11"/>
        <v>111</v>
      </c>
      <c r="R31" s="704" t="s">
        <v>14</v>
      </c>
      <c r="S31" s="705">
        <f t="shared" si="12"/>
        <v>100</v>
      </c>
      <c r="T31" s="704" t="s">
        <v>14</v>
      </c>
      <c r="U31" s="705">
        <f t="shared" si="13"/>
        <v>100</v>
      </c>
      <c r="V31" s="704" t="s">
        <v>14</v>
      </c>
      <c r="W31" s="705">
        <f t="shared" si="14"/>
        <v>100</v>
      </c>
      <c r="X31" s="3472"/>
      <c r="Y31" s="3715"/>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13"/>
      <c r="Q32" s="3470">
        <f t="shared" si="11"/>
        <v>111</v>
      </c>
      <c r="R32" s="704" t="s">
        <v>14</v>
      </c>
      <c r="S32" s="705">
        <f t="shared" si="12"/>
        <v>100</v>
      </c>
      <c r="T32" s="704" t="s">
        <v>14</v>
      </c>
      <c r="U32" s="705">
        <f t="shared" si="13"/>
        <v>100</v>
      </c>
      <c r="V32" s="704" t="s">
        <v>14</v>
      </c>
      <c r="W32" s="705">
        <f t="shared" si="14"/>
        <v>100</v>
      </c>
      <c r="X32" s="3472"/>
      <c r="Y32" s="3715"/>
      <c r="Z32" s="3473">
        <f t="shared" si="15"/>
        <v>111</v>
      </c>
      <c r="AA32" s="3471">
        <f t="shared" si="3"/>
        <v>1</v>
      </c>
      <c r="AB32" s="3471">
        <f t="shared" si="4"/>
        <v>1</v>
      </c>
      <c r="AC32" s="1961">
        <f t="shared" si="5"/>
        <v>1</v>
      </c>
    </row>
    <row r="33" spans="1:29" ht="15">
      <c r="A33" s="391" t="s">
        <v>1694</v>
      </c>
      <c r="B33" s="63" t="s">
        <v>1817</v>
      </c>
      <c r="C33" s="1966" t="s">
        <v>3481</v>
      </c>
      <c r="D33" s="418">
        <v>100</v>
      </c>
      <c r="E33" s="1966" t="s">
        <v>3481</v>
      </c>
      <c r="F33" s="412">
        <f>SUMIF(101:101,E33,102:102)-SUMIF(101:101,C33,102:102)+100</f>
        <v>100</v>
      </c>
      <c r="G33" s="1966" t="s">
        <v>3481</v>
      </c>
      <c r="H33" s="386">
        <f>SUMIF(101:101,G33,102:102)-SUMIF(101:101,C33,102:102)+100</f>
        <v>100</v>
      </c>
      <c r="I33" s="1966" t="s">
        <v>3481</v>
      </c>
      <c r="J33" s="418">
        <f>SUMIF(101:101,I33,102:102)-SUMIF(101:101,C33,102:102)+100</f>
        <v>100</v>
      </c>
      <c r="K33" s="561">
        <v>2</v>
      </c>
      <c r="L33" s="2719"/>
      <c r="M33" s="2713"/>
      <c r="N33" s="2713"/>
      <c r="O33" s="2713"/>
      <c r="P33" s="3716" t="s">
        <v>1696</v>
      </c>
      <c r="Q33" s="3470" t="str">
        <f t="shared" si="11"/>
        <v>建筑类型</v>
      </c>
      <c r="R33" s="704" t="s">
        <v>14</v>
      </c>
      <c r="S33" s="705">
        <f t="shared" si="12"/>
        <v>100</v>
      </c>
      <c r="T33" s="704" t="s">
        <v>14</v>
      </c>
      <c r="U33" s="705">
        <f t="shared" si="13"/>
        <v>100</v>
      </c>
      <c r="V33" s="704" t="s">
        <v>14</v>
      </c>
      <c r="W33" s="705">
        <f t="shared" si="14"/>
        <v>100</v>
      </c>
      <c r="X33" s="3472"/>
      <c r="Y33" s="3719" t="s">
        <v>1696</v>
      </c>
      <c r="Z33" s="3473" t="str">
        <f t="shared" si="15"/>
        <v>建筑类型</v>
      </c>
      <c r="AA33" s="3471">
        <f t="shared" si="3"/>
        <v>1</v>
      </c>
      <c r="AB33" s="3471">
        <f t="shared" si="4"/>
        <v>1</v>
      </c>
      <c r="AC33" s="1961">
        <f t="shared" si="5"/>
        <v>1</v>
      </c>
    </row>
    <row r="34" spans="1:29" s="422" customFormat="1" ht="15">
      <c r="A34" s="419"/>
      <c r="B34" s="375" t="s">
        <v>1697</v>
      </c>
      <c r="C34" s="420">
        <f>'数据-汇总表'!E3</f>
        <v>224.79</v>
      </c>
      <c r="D34" s="127">
        <v>100</v>
      </c>
      <c r="E34" s="381">
        <v>322.26</v>
      </c>
      <c r="F34" s="376">
        <f>LOOKUP(E34,104:104,105:105)-LOOKUP(C34,104:104,105:105)+100</f>
        <v>100</v>
      </c>
      <c r="G34" s="380">
        <v>247.16</v>
      </c>
      <c r="H34" s="127">
        <f>LOOKUP(G34,104:104,105:105)-LOOKUP(C34,104:104,105:105)+100</f>
        <v>100</v>
      </c>
      <c r="I34" s="380">
        <v>355</v>
      </c>
      <c r="J34" s="127">
        <f>LOOKUP(I34,104:104,105:105)-LOOKUP(C34,104:104,105:105)+100</f>
        <v>100</v>
      </c>
      <c r="K34" s="562"/>
      <c r="L34" s="2718"/>
      <c r="M34" s="2720"/>
      <c r="N34" s="2720"/>
      <c r="O34" s="2720"/>
      <c r="P34" s="3717"/>
      <c r="Q34" s="706" t="str">
        <f t="shared" si="11"/>
        <v>项目建筑规模</v>
      </c>
      <c r="R34" s="707" t="s">
        <v>14</v>
      </c>
      <c r="S34" s="708">
        <f t="shared" si="12"/>
        <v>100</v>
      </c>
      <c r="T34" s="707" t="s">
        <v>14</v>
      </c>
      <c r="U34" s="708">
        <f t="shared" si="13"/>
        <v>100</v>
      </c>
      <c r="V34" s="707" t="s">
        <v>14</v>
      </c>
      <c r="W34" s="708">
        <f t="shared" si="14"/>
        <v>100</v>
      </c>
      <c r="X34" s="709"/>
      <c r="Y34" s="3719"/>
      <c r="Z34" s="710" t="str">
        <f t="shared" si="15"/>
        <v>项目建筑规模</v>
      </c>
      <c r="AA34" s="3471">
        <f t="shared" si="3"/>
        <v>1</v>
      </c>
      <c r="AB34" s="3471">
        <f t="shared" si="4"/>
        <v>1</v>
      </c>
      <c r="AC34" s="1961">
        <f t="shared" si="5"/>
        <v>1</v>
      </c>
    </row>
    <row r="35" spans="1:29" ht="15">
      <c r="A35" s="423"/>
      <c r="B35" s="375" t="s">
        <v>1698</v>
      </c>
      <c r="C35" s="411" t="s">
        <v>3459</v>
      </c>
      <c r="D35" s="386">
        <v>100</v>
      </c>
      <c r="E35" s="411" t="s">
        <v>3459</v>
      </c>
      <c r="F35" s="412">
        <f>SUMIF(106:106,E35,107:107)-SUMIF(106:106,C35,107:107)+100</f>
        <v>100</v>
      </c>
      <c r="G35" s="411" t="s">
        <v>3459</v>
      </c>
      <c r="H35" s="386">
        <f>SUMIF(106:106,G35,107:107)-SUMIF(106:106,C35,107:107)+100</f>
        <v>100</v>
      </c>
      <c r="I35" s="411" t="s">
        <v>3459</v>
      </c>
      <c r="J35" s="386">
        <f>SUMIF(106:106,I35,107:107)-SUMIF(106:106,C35,107:107)+100</f>
        <v>100</v>
      </c>
      <c r="K35" s="561">
        <v>1</v>
      </c>
      <c r="L35" s="2719"/>
      <c r="M35" s="2713"/>
      <c r="N35" s="2713"/>
      <c r="O35" s="2713"/>
      <c r="P35" s="3717"/>
      <c r="Q35" s="3470" t="str">
        <f t="shared" si="11"/>
        <v>建筑结构</v>
      </c>
      <c r="R35" s="704" t="s">
        <v>14</v>
      </c>
      <c r="S35" s="705">
        <f t="shared" si="12"/>
        <v>100</v>
      </c>
      <c r="T35" s="704" t="s">
        <v>14</v>
      </c>
      <c r="U35" s="705">
        <f t="shared" si="13"/>
        <v>100</v>
      </c>
      <c r="V35" s="704" t="s">
        <v>14</v>
      </c>
      <c r="W35" s="705">
        <f t="shared" si="14"/>
        <v>100</v>
      </c>
      <c r="X35" s="3472"/>
      <c r="Y35" s="3719"/>
      <c r="Z35" s="3473" t="str">
        <f t="shared" si="15"/>
        <v>建筑结构</v>
      </c>
      <c r="AA35" s="3471">
        <f t="shared" si="3"/>
        <v>1</v>
      </c>
      <c r="AB35" s="3471">
        <f t="shared" si="4"/>
        <v>1</v>
      </c>
      <c r="AC35" s="1961">
        <f t="shared" si="5"/>
        <v>1</v>
      </c>
    </row>
    <row r="36" spans="1:29" ht="15">
      <c r="A36" s="423"/>
      <c r="B36" s="375" t="s">
        <v>1785</v>
      </c>
      <c r="C36" s="411" t="s">
        <v>3487</v>
      </c>
      <c r="D36" s="386">
        <v>100</v>
      </c>
      <c r="E36" s="411" t="s">
        <v>3487</v>
      </c>
      <c r="F36" s="412">
        <f>SUMIF(108:108,E36,109:109)-SUMIF(108:108,C36,109:109)+100</f>
        <v>100</v>
      </c>
      <c r="G36" s="411" t="s">
        <v>3487</v>
      </c>
      <c r="H36" s="386">
        <f>SUMIF(108:108,G36,109:109)-SUMIF(108:108,C36,109:109)+100</f>
        <v>100</v>
      </c>
      <c r="I36" s="411" t="s">
        <v>3487</v>
      </c>
      <c r="J36" s="386">
        <f>SUMIF(108:108,I36,109:109)-SUMIF(108:108,C36,109:109)+100</f>
        <v>100</v>
      </c>
      <c r="K36" s="561">
        <v>1</v>
      </c>
      <c r="L36" s="2719"/>
      <c r="M36" s="2713"/>
      <c r="N36" s="2713"/>
      <c r="O36" s="2713"/>
      <c r="P36" s="3717"/>
      <c r="Q36" s="3470" t="str">
        <f t="shared" si="11"/>
        <v>公共部分装修</v>
      </c>
      <c r="R36" s="704" t="s">
        <v>14</v>
      </c>
      <c r="S36" s="705">
        <f t="shared" si="12"/>
        <v>100</v>
      </c>
      <c r="T36" s="704" t="s">
        <v>14</v>
      </c>
      <c r="U36" s="705">
        <f t="shared" si="13"/>
        <v>100</v>
      </c>
      <c r="V36" s="704" t="s">
        <v>14</v>
      </c>
      <c r="W36" s="705">
        <f t="shared" si="14"/>
        <v>100</v>
      </c>
      <c r="X36" s="3472"/>
      <c r="Y36" s="3719"/>
      <c r="Z36" s="3473" t="str">
        <f t="shared" si="15"/>
        <v>公共部分装修</v>
      </c>
      <c r="AA36" s="3471">
        <f t="shared" si="3"/>
        <v>1</v>
      </c>
      <c r="AB36" s="3471">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v>0.67</v>
      </c>
      <c r="H37" s="412">
        <f>LOOKUP(G37,111:111,112:112)-LOOKUP(C37,111:111,112:112)+100</f>
        <v>96</v>
      </c>
      <c r="I37" s="425">
        <f>C37</f>
        <v>0.83</v>
      </c>
      <c r="J37" s="386">
        <f>LOOKUP(I37,111:111,112:112)-LOOKUP(C37,111:111,112:112)+100</f>
        <v>100</v>
      </c>
      <c r="K37" s="561">
        <v>2</v>
      </c>
      <c r="L37" s="2719"/>
      <c r="M37" s="2713"/>
      <c r="N37" s="2713"/>
      <c r="O37" s="2713"/>
      <c r="P37" s="3717"/>
      <c r="Q37" s="3470" t="str">
        <f t="shared" si="11"/>
        <v>成新度</v>
      </c>
      <c r="R37" s="704" t="s">
        <v>14</v>
      </c>
      <c r="S37" s="705">
        <f t="shared" si="12"/>
        <v>100</v>
      </c>
      <c r="T37" s="704" t="s">
        <v>14</v>
      </c>
      <c r="U37" s="705">
        <f t="shared" si="13"/>
        <v>96</v>
      </c>
      <c r="V37" s="704" t="s">
        <v>14</v>
      </c>
      <c r="W37" s="705">
        <f t="shared" si="14"/>
        <v>100</v>
      </c>
      <c r="X37" s="3472"/>
      <c r="Y37" s="3719"/>
      <c r="Z37" s="3473" t="str">
        <f t="shared" si="15"/>
        <v>成新度</v>
      </c>
      <c r="AA37" s="3471">
        <f t="shared" si="3"/>
        <v>1</v>
      </c>
      <c r="AB37" s="3471">
        <f t="shared" si="4"/>
        <v>1.0416666666666667</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7"/>
      <c r="Q38" s="3468" t="str">
        <f t="shared" si="11"/>
        <v>写字楼等级</v>
      </c>
      <c r="R38" s="700" t="s">
        <v>14</v>
      </c>
      <c r="S38" s="701">
        <f t="shared" si="12"/>
        <v>100</v>
      </c>
      <c r="T38" s="700" t="s">
        <v>14</v>
      </c>
      <c r="U38" s="701">
        <f t="shared" si="13"/>
        <v>100</v>
      </c>
      <c r="V38" s="700" t="s">
        <v>14</v>
      </c>
      <c r="W38" s="701">
        <f t="shared" si="14"/>
        <v>100</v>
      </c>
      <c r="X38" s="702"/>
      <c r="Y38" s="3719"/>
      <c r="Z38" s="3467" t="str">
        <f t="shared" si="15"/>
        <v>写字楼等级</v>
      </c>
      <c r="AA38" s="703">
        <f t="shared" si="3"/>
        <v>1</v>
      </c>
      <c r="AB38" s="703">
        <f t="shared" si="4"/>
        <v>1</v>
      </c>
      <c r="AC38" s="1958">
        <f t="shared" si="5"/>
        <v>1</v>
      </c>
    </row>
    <row r="39" spans="1:29" ht="15">
      <c r="A39" s="423"/>
      <c r="B39" s="375" t="s">
        <v>1819</v>
      </c>
      <c r="C39" s="411" t="s">
        <v>3488</v>
      </c>
      <c r="D39" s="386">
        <v>100</v>
      </c>
      <c r="E39" s="411" t="s">
        <v>3488</v>
      </c>
      <c r="F39" s="412">
        <f>SUMIF(115:115,E39,116:116)-SUMIF(115:115,C39,116:116)+100</f>
        <v>100</v>
      </c>
      <c r="G39" s="411" t="s">
        <v>3488</v>
      </c>
      <c r="H39" s="386">
        <f>SUMIF(115:115,G39,116:116)-SUMIF(115:115,C39,116:116)+100</f>
        <v>100</v>
      </c>
      <c r="I39" s="411" t="s">
        <v>3488</v>
      </c>
      <c r="J39" s="386">
        <f>SUMIF(115:115,I39,116:116)-SUMIF(115:115,C39,116:116)+100</f>
        <v>100</v>
      </c>
      <c r="K39" s="561">
        <v>1</v>
      </c>
      <c r="L39" s="2719"/>
      <c r="M39" s="2713"/>
      <c r="N39" s="2713"/>
      <c r="O39" s="2713"/>
      <c r="P39" s="3717" t="s">
        <v>1696</v>
      </c>
      <c r="Q39" s="3470" t="str">
        <f t="shared" si="11"/>
        <v>物业管理</v>
      </c>
      <c r="R39" s="704" t="s">
        <v>14</v>
      </c>
      <c r="S39" s="705">
        <f t="shared" si="12"/>
        <v>100</v>
      </c>
      <c r="T39" s="704" t="s">
        <v>14</v>
      </c>
      <c r="U39" s="705">
        <f t="shared" si="13"/>
        <v>100</v>
      </c>
      <c r="V39" s="704" t="s">
        <v>14</v>
      </c>
      <c r="W39" s="705">
        <f t="shared" si="14"/>
        <v>100</v>
      </c>
      <c r="X39" s="3472"/>
      <c r="Y39" s="3719" t="s">
        <v>1696</v>
      </c>
      <c r="Z39" s="3473" t="str">
        <f t="shared" si="15"/>
        <v>物业管理</v>
      </c>
      <c r="AA39" s="3471">
        <f t="shared" si="3"/>
        <v>1</v>
      </c>
      <c r="AB39" s="3471">
        <f t="shared" si="4"/>
        <v>1</v>
      </c>
      <c r="AC39" s="1961">
        <f t="shared" si="5"/>
        <v>1</v>
      </c>
    </row>
    <row r="40" spans="1:29" ht="15" hidden="1">
      <c r="A40" s="423"/>
      <c r="B40" s="375" t="s">
        <v>1787</v>
      </c>
      <c r="C40" s="411" t="s">
        <v>3476</v>
      </c>
      <c r="D40" s="386">
        <v>100</v>
      </c>
      <c r="E40" s="411" t="s">
        <v>3476</v>
      </c>
      <c r="F40" s="412">
        <f>SUMIF(117:117,E40,118:118)-SUMIF(117:117,C40,118:118)+100</f>
        <v>100</v>
      </c>
      <c r="G40" s="411" t="s">
        <v>3476</v>
      </c>
      <c r="H40" s="386">
        <f>SUMIF(117:117,G40,118:118)-SUMIF(117:117,C40,118:118)+100</f>
        <v>100</v>
      </c>
      <c r="I40" s="411" t="s">
        <v>3476</v>
      </c>
      <c r="J40" s="386">
        <f>SUMIF(117:117,I40,118:118)-SUMIF(117:117,C40,118:118)+100</f>
        <v>100</v>
      </c>
      <c r="K40" s="561"/>
      <c r="L40" s="2719"/>
      <c r="M40" s="2713"/>
      <c r="N40" s="2713"/>
      <c r="O40" s="2713"/>
      <c r="P40" s="3717"/>
      <c r="Q40" s="3470" t="str">
        <f t="shared" si="11"/>
        <v>市政基础设施</v>
      </c>
      <c r="R40" s="704" t="s">
        <v>14</v>
      </c>
      <c r="S40" s="705">
        <f t="shared" si="12"/>
        <v>100</v>
      </c>
      <c r="T40" s="704" t="s">
        <v>14</v>
      </c>
      <c r="U40" s="705">
        <f t="shared" si="13"/>
        <v>100</v>
      </c>
      <c r="V40" s="704" t="s">
        <v>14</v>
      </c>
      <c r="W40" s="705">
        <f t="shared" si="14"/>
        <v>100</v>
      </c>
      <c r="X40" s="3472"/>
      <c r="Y40" s="3719"/>
      <c r="Z40" s="3473" t="str">
        <f t="shared" si="15"/>
        <v>市政基础设施</v>
      </c>
      <c r="AA40" s="3471">
        <f t="shared" si="3"/>
        <v>1</v>
      </c>
      <c r="AB40" s="3471">
        <f t="shared" si="4"/>
        <v>1</v>
      </c>
      <c r="AC40" s="1961">
        <f t="shared" si="5"/>
        <v>1</v>
      </c>
    </row>
    <row r="41" spans="1:29" ht="15">
      <c r="A41" s="423"/>
      <c r="B41" s="375" t="s">
        <v>1789</v>
      </c>
      <c r="C41" s="565" t="s">
        <v>3457</v>
      </c>
      <c r="D41" s="386">
        <v>100</v>
      </c>
      <c r="E41" s="565" t="s">
        <v>3457</v>
      </c>
      <c r="F41" s="412">
        <f>SUMIF(119:119,E41,120:120)-SUMIF(119:119,C41,120:120)+100</f>
        <v>100</v>
      </c>
      <c r="G41" s="565" t="s">
        <v>3457</v>
      </c>
      <c r="H41" s="386">
        <f>SUMIF(119:119,G41,120:120)-SUMIF(119:119,C41,120:120)+100</f>
        <v>100</v>
      </c>
      <c r="I41" s="565" t="s">
        <v>3457</v>
      </c>
      <c r="J41" s="386">
        <f>SUMIF(119:119,I41,120:120)-SUMIF(119:119,C41,120:120)+100</f>
        <v>100</v>
      </c>
      <c r="K41" s="561">
        <v>1</v>
      </c>
      <c r="L41" s="2719"/>
      <c r="M41" s="2713"/>
      <c r="N41" s="2713"/>
      <c r="O41" s="2713"/>
      <c r="P41" s="3717"/>
      <c r="Q41" s="3470" t="str">
        <f t="shared" si="11"/>
        <v>层高</v>
      </c>
      <c r="R41" s="704" t="s">
        <v>14</v>
      </c>
      <c r="S41" s="705">
        <f t="shared" si="12"/>
        <v>100</v>
      </c>
      <c r="T41" s="704" t="s">
        <v>14</v>
      </c>
      <c r="U41" s="705">
        <f t="shared" si="13"/>
        <v>100</v>
      </c>
      <c r="V41" s="704" t="s">
        <v>14</v>
      </c>
      <c r="W41" s="705">
        <f t="shared" si="14"/>
        <v>100</v>
      </c>
      <c r="X41" s="3472"/>
      <c r="Y41" s="3719"/>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7"/>
      <c r="Q42" s="706" t="str">
        <f t="shared" si="11"/>
        <v>单套建筑面积</v>
      </c>
      <c r="R42" s="707" t="s">
        <v>14</v>
      </c>
      <c r="S42" s="708">
        <f t="shared" si="12"/>
        <v>100</v>
      </c>
      <c r="T42" s="707" t="s">
        <v>14</v>
      </c>
      <c r="U42" s="708">
        <f t="shared" si="13"/>
        <v>100</v>
      </c>
      <c r="V42" s="707" t="s">
        <v>14</v>
      </c>
      <c r="W42" s="708">
        <f t="shared" si="14"/>
        <v>100</v>
      </c>
      <c r="X42" s="709"/>
      <c r="Y42" s="3719"/>
      <c r="Z42" s="710" t="str">
        <f t="shared" si="15"/>
        <v>单套建筑面积</v>
      </c>
      <c r="AA42" s="3471">
        <f t="shared" si="3"/>
        <v>1</v>
      </c>
      <c r="AB42" s="3471">
        <f t="shared" si="4"/>
        <v>1</v>
      </c>
      <c r="AC42" s="1961">
        <f t="shared" si="5"/>
        <v>1</v>
      </c>
    </row>
    <row r="43" spans="1:29" ht="15">
      <c r="A43" s="423"/>
      <c r="B43" s="375" t="s">
        <v>1792</v>
      </c>
      <c r="C43" s="411" t="s">
        <v>3487</v>
      </c>
      <c r="D43" s="386">
        <v>100</v>
      </c>
      <c r="E43" s="411" t="s">
        <v>3487</v>
      </c>
      <c r="F43" s="412">
        <f>SUMIF(123:123,E43,124:124)-SUMIF(123:123,C43,124:124)+100</f>
        <v>100</v>
      </c>
      <c r="G43" s="411" t="s">
        <v>3487</v>
      </c>
      <c r="H43" s="386">
        <f>SUMIF(123:123,G43,124:124)-SUMIF(123:123,C43,124:124)+100</f>
        <v>100</v>
      </c>
      <c r="I43" s="411" t="s">
        <v>3487</v>
      </c>
      <c r="J43" s="386">
        <f>SUMIF(123:123,I43,124:124)-SUMIF(123:123,C43,124:124)+100</f>
        <v>100</v>
      </c>
      <c r="K43" s="561">
        <v>1</v>
      </c>
      <c r="L43" s="2719"/>
      <c r="M43" s="2713"/>
      <c r="N43" s="2713"/>
      <c r="O43" s="2713"/>
      <c r="P43" s="3717"/>
      <c r="Q43" s="3470" t="str">
        <f t="shared" si="11"/>
        <v>内部装修</v>
      </c>
      <c r="R43" s="704" t="s">
        <v>14</v>
      </c>
      <c r="S43" s="705">
        <f t="shared" si="12"/>
        <v>100</v>
      </c>
      <c r="T43" s="704" t="s">
        <v>14</v>
      </c>
      <c r="U43" s="705">
        <f t="shared" si="13"/>
        <v>100</v>
      </c>
      <c r="V43" s="704" t="s">
        <v>14</v>
      </c>
      <c r="W43" s="705">
        <f t="shared" si="14"/>
        <v>100</v>
      </c>
      <c r="X43" s="3472"/>
      <c r="Y43" s="3719"/>
      <c r="Z43" s="3473" t="str">
        <f t="shared" si="15"/>
        <v>内部装修</v>
      </c>
      <c r="AA43" s="3471">
        <f t="shared" si="3"/>
        <v>1</v>
      </c>
      <c r="AB43" s="3471">
        <f t="shared" si="4"/>
        <v>1</v>
      </c>
      <c r="AC43" s="1961">
        <f t="shared" si="5"/>
        <v>1</v>
      </c>
    </row>
    <row r="44" spans="1:29" ht="15">
      <c r="A44" s="423"/>
      <c r="B44" s="375" t="s">
        <v>1707</v>
      </c>
      <c r="C44" s="411" t="s">
        <v>3423</v>
      </c>
      <c r="D44" s="386">
        <v>100</v>
      </c>
      <c r="E44" s="411" t="s">
        <v>3423</v>
      </c>
      <c r="F44" s="412">
        <f>SUMIF(125:125,E44,126:126)-SUMIF(125:125,C44,126:126)+100</f>
        <v>100</v>
      </c>
      <c r="G44" s="411" t="s">
        <v>3423</v>
      </c>
      <c r="H44" s="386">
        <f>SUMIF(125:125,G44,126:126)-SUMIF(125:125,C44,126:126)+100</f>
        <v>100</v>
      </c>
      <c r="I44" s="411" t="s">
        <v>3423</v>
      </c>
      <c r="J44" s="386">
        <f>SUMIF(125:125,I44,126:126)-SUMIF(125:125,C44,126:126)+100</f>
        <v>100</v>
      </c>
      <c r="K44" s="561"/>
      <c r="L44" s="2719"/>
      <c r="M44" s="2713"/>
      <c r="N44" s="2713"/>
      <c r="O44" s="2713"/>
      <c r="P44" s="3717"/>
      <c r="Q44" s="3470" t="str">
        <f t="shared" si="11"/>
        <v>内部装修维护情况</v>
      </c>
      <c r="R44" s="704" t="s">
        <v>14</v>
      </c>
      <c r="S44" s="705">
        <f t="shared" si="12"/>
        <v>100</v>
      </c>
      <c r="T44" s="704" t="s">
        <v>14</v>
      </c>
      <c r="U44" s="705">
        <f t="shared" si="13"/>
        <v>100</v>
      </c>
      <c r="V44" s="704" t="s">
        <v>14</v>
      </c>
      <c r="W44" s="705">
        <f t="shared" si="14"/>
        <v>100</v>
      </c>
      <c r="X44" s="3472"/>
      <c r="Y44" s="3719"/>
      <c r="Z44" s="3473" t="str">
        <f t="shared" si="15"/>
        <v>内部装修维护情况</v>
      </c>
      <c r="AA44" s="3471">
        <f t="shared" si="3"/>
        <v>1</v>
      </c>
      <c r="AB44" s="3471">
        <f t="shared" si="4"/>
        <v>1</v>
      </c>
      <c r="AC44" s="1961">
        <f t="shared" si="5"/>
        <v>1</v>
      </c>
    </row>
    <row r="45" spans="1:29" s="108" customFormat="1" ht="15">
      <c r="A45" s="424"/>
      <c r="B45" s="1132">
        <v>111</v>
      </c>
      <c r="C45" s="420">
        <f>'数据-取费表'!N18</f>
        <v>2015</v>
      </c>
      <c r="D45" s="127">
        <v>100</v>
      </c>
      <c r="E45" s="383">
        <f>C45</f>
        <v>2015</v>
      </c>
      <c r="F45" s="376">
        <f>SUMIF(127:127,E45,128:128)-SUMIF(127:127,C45,128:128)+100</f>
        <v>100</v>
      </c>
      <c r="G45" s="383">
        <v>2005</v>
      </c>
      <c r="H45" s="127">
        <f>SUMIF(127:127,G45,128:128)-SUMIF(127:127,C45,128:128)+100</f>
        <v>100</v>
      </c>
      <c r="I45" s="383">
        <v>2008</v>
      </c>
      <c r="J45" s="127">
        <f>SUMIF(127:127,I45,128:128)-SUMIF(127:127,C45,128:128)+100</f>
        <v>100</v>
      </c>
      <c r="K45" s="562"/>
      <c r="L45" s="2714"/>
      <c r="M45" s="2715"/>
      <c r="N45" s="2715"/>
      <c r="O45" s="2715"/>
      <c r="P45" s="3717"/>
      <c r="Q45" s="3468">
        <f t="shared" si="11"/>
        <v>111</v>
      </c>
      <c r="R45" s="700" t="s">
        <v>14</v>
      </c>
      <c r="S45" s="701">
        <f t="shared" si="12"/>
        <v>100</v>
      </c>
      <c r="T45" s="700" t="s">
        <v>14</v>
      </c>
      <c r="U45" s="701">
        <f t="shared" si="13"/>
        <v>100</v>
      </c>
      <c r="V45" s="700" t="s">
        <v>14</v>
      </c>
      <c r="W45" s="701">
        <f t="shared" si="14"/>
        <v>100</v>
      </c>
      <c r="X45" s="702"/>
      <c r="Y45" s="3719"/>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7"/>
      <c r="Q46" s="3470">
        <f t="shared" si="11"/>
        <v>111</v>
      </c>
      <c r="R46" s="704" t="s">
        <v>14</v>
      </c>
      <c r="S46" s="705">
        <f t="shared" si="12"/>
        <v>100</v>
      </c>
      <c r="T46" s="704" t="s">
        <v>14</v>
      </c>
      <c r="U46" s="705">
        <f t="shared" si="13"/>
        <v>100</v>
      </c>
      <c r="V46" s="704" t="s">
        <v>14</v>
      </c>
      <c r="W46" s="705">
        <f t="shared" si="14"/>
        <v>100</v>
      </c>
      <c r="X46" s="3472"/>
      <c r="Y46" s="3719"/>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8"/>
      <c r="Q47" s="3470">
        <f t="shared" si="11"/>
        <v>111</v>
      </c>
      <c r="R47" s="704" t="s">
        <v>14</v>
      </c>
      <c r="S47" s="705">
        <f t="shared" si="12"/>
        <v>100</v>
      </c>
      <c r="T47" s="704" t="s">
        <v>14</v>
      </c>
      <c r="U47" s="705">
        <f t="shared" si="13"/>
        <v>100</v>
      </c>
      <c r="V47" s="704" t="s">
        <v>14</v>
      </c>
      <c r="W47" s="705">
        <f t="shared" si="14"/>
        <v>100</v>
      </c>
      <c r="X47" s="3472"/>
      <c r="Y47" s="3720"/>
      <c r="Z47" s="3473">
        <f t="shared" si="15"/>
        <v>111</v>
      </c>
      <c r="AA47" s="3471">
        <f t="shared" si="3"/>
        <v>1</v>
      </c>
      <c r="AB47" s="3471">
        <f t="shared" si="4"/>
        <v>1</v>
      </c>
      <c r="AC47" s="1961">
        <f t="shared" si="5"/>
        <v>1</v>
      </c>
    </row>
    <row r="48" spans="1:29" ht="15">
      <c r="A48" s="430" t="s">
        <v>1708</v>
      </c>
      <c r="B48" s="431"/>
      <c r="C48" s="1153" t="s">
        <v>0</v>
      </c>
      <c r="D48" s="1154"/>
      <c r="E48" s="1155">
        <v>5</v>
      </c>
      <c r="F48" s="1156"/>
      <c r="G48" s="1157">
        <v>5.59</v>
      </c>
      <c r="H48" s="1158"/>
      <c r="I48" s="1155">
        <v>5</v>
      </c>
      <c r="J48" s="436"/>
      <c r="K48" s="713"/>
      <c r="L48" s="2721"/>
      <c r="M48" s="2713"/>
      <c r="N48" s="2713"/>
      <c r="O48" s="2713"/>
      <c r="P48" s="3692" t="str">
        <f>A48</f>
        <v>成交单价（元/平方米）</v>
      </c>
      <c r="Q48" s="3721"/>
      <c r="R48" s="3722">
        <f>E48</f>
        <v>5</v>
      </c>
      <c r="S48" s="3722"/>
      <c r="T48" s="3722">
        <f>G48</f>
        <v>5.59</v>
      </c>
      <c r="U48" s="3722"/>
      <c r="V48" s="3722">
        <f>I48</f>
        <v>5</v>
      </c>
      <c r="W48" s="3722"/>
      <c r="X48" s="397"/>
      <c r="Y48" s="711"/>
      <c r="Z48" s="397"/>
      <c r="AA48" s="397"/>
      <c r="AB48" s="397"/>
      <c r="AC48" s="578"/>
    </row>
    <row r="49" spans="1:29" ht="15.75" thickBot="1">
      <c r="A49" s="437" t="s">
        <v>1709</v>
      </c>
      <c r="B49" s="438"/>
      <c r="C49" s="1159">
        <f>R50</f>
        <v>5.2</v>
      </c>
      <c r="D49" s="2316" t="s">
        <v>2137</v>
      </c>
      <c r="E49" s="1160">
        <f>R49</f>
        <v>4.9000000000000004</v>
      </c>
      <c r="F49" s="2317"/>
      <c r="G49" s="1159">
        <f>T49</f>
        <v>5.7</v>
      </c>
      <c r="H49" s="2317"/>
      <c r="I49" s="1160">
        <f>V49</f>
        <v>4.9000000000000004</v>
      </c>
      <c r="J49" s="2317"/>
      <c r="K49" s="2319">
        <f>F49+H49+J49</f>
        <v>0</v>
      </c>
      <c r="L49" s="2721"/>
      <c r="M49" s="2713"/>
      <c r="N49" s="2713"/>
      <c r="O49" s="2713"/>
      <c r="P49" s="3692" t="str">
        <f>A49</f>
        <v>比较价值（元/平方米）</v>
      </c>
      <c r="Q49" s="3721"/>
      <c r="R49" s="3722">
        <f>IF(F1="售价",ROUND(PRODUCT(R48,AA7:AA47),0),ROUND(PRODUCT(R48,AA7:AA47),1))</f>
        <v>4.9000000000000004</v>
      </c>
      <c r="S49" s="3722"/>
      <c r="T49" s="3722">
        <f>IF(F1="售价",ROUND(PRODUCT(T48,AB7:AB47),0),ROUND(PRODUCT(T48,AB7:AB47),1))</f>
        <v>5.7</v>
      </c>
      <c r="U49" s="3722"/>
      <c r="V49" s="3722">
        <f>IF(F1="售价",ROUND(PRODUCT(V48,AC7:AC47),0),ROUND(PRODUCT(V48,AC7:AC47),1))</f>
        <v>4.9000000000000004</v>
      </c>
      <c r="W49" s="3722"/>
      <c r="X49" s="397"/>
      <c r="Y49" s="397"/>
      <c r="Z49" s="397"/>
      <c r="AA49" s="397"/>
      <c r="AB49" s="397"/>
      <c r="AC49" s="578"/>
    </row>
    <row r="50" spans="1:29" ht="15.75" thickBot="1">
      <c r="A50" s="441" t="s">
        <v>1710</v>
      </c>
      <c r="B50" s="442"/>
      <c r="C50" s="1162">
        <f>R50</f>
        <v>5.2</v>
      </c>
      <c r="D50" s="1162"/>
      <c r="E50" s="1162"/>
      <c r="F50" s="1162"/>
      <c r="G50" s="1162"/>
      <c r="H50" s="1162"/>
      <c r="I50" s="1162"/>
      <c r="J50" s="443"/>
      <c r="K50" s="714"/>
      <c r="L50" s="2721"/>
      <c r="M50" s="2713"/>
      <c r="N50" s="2713"/>
      <c r="O50" s="2713"/>
      <c r="P50" s="3723" t="str">
        <f>A50</f>
        <v>估价对象XX用房的比较价值（楼面单价，元/平方米）</v>
      </c>
      <c r="Q50" s="3724"/>
      <c r="R50" s="3725">
        <f>IF(F1="售价",ROUND(IF(D49="简单平均",AVERAGE(R49:V49),R49*F49+T49*H49+V49*J49),0),ROUND(IF(D49="简单平均",AVERAGE(R49:V49),R49*F49+T49*H49+V49*J49),1))</f>
        <v>5.2</v>
      </c>
      <c r="S50" s="3725"/>
      <c r="T50" s="3725"/>
      <c r="U50" s="3725"/>
      <c r="V50" s="3725"/>
      <c r="W50" s="3725"/>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2.0408163265306145E-2</v>
      </c>
      <c r="F53" s="449" t="str">
        <f>IF(OR(E53&gt;=0.3,E53&lt;=-0.3),"超过30%","")</f>
        <v/>
      </c>
      <c r="G53" s="448">
        <f>IF(G48&lt;G49,G49/G48-1,G48/G49-1)</f>
        <v>1.9677996422182487E-2</v>
      </c>
      <c r="H53" s="449" t="str">
        <f>IF(OR(G53&gt;=0.3,G53&lt;=-0.3),"超过30%","")</f>
        <v/>
      </c>
      <c r="I53" s="448">
        <f>IF(I48&lt;I49,I49/I48-1,I48/I49-1)</f>
        <v>2.0408163265306145E-2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0.16326530612244894</v>
      </c>
      <c r="F54" s="449" t="str">
        <f>IF(OR(E54&gt;=0.2,E54&lt;=-0.2),"超过20%","")</f>
        <v/>
      </c>
      <c r="G54" s="448">
        <f>IF(G49&lt;I49,I49/G49-1,G49/I49-1)</f>
        <v>0.16326530612244894</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0.11799999999999988</v>
      </c>
      <c r="F55" s="449" t="str">
        <f>IF(OR(E55&gt;=0.3,E55&lt;=-0.3),"超过30%","")</f>
        <v/>
      </c>
      <c r="G55" s="448">
        <f>IF(G48&lt;I48,I48/G48-1,G48/I48-1)</f>
        <v>0.11799999999999988</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3466</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3465</v>
      </c>
      <c r="D66" s="532" t="s">
        <v>3435</v>
      </c>
      <c r="E66" s="532" t="s">
        <v>3436</v>
      </c>
      <c r="F66" s="532" t="s">
        <v>3437</v>
      </c>
      <c r="G66" s="532" t="s">
        <v>3438</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3483</v>
      </c>
      <c r="D89" s="3465" t="s">
        <v>3484</v>
      </c>
      <c r="E89" s="3465" t="s">
        <v>3486</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3490</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3468</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3469</v>
      </c>
      <c r="D108" s="3465" t="s">
        <v>3470</v>
      </c>
      <c r="E108" s="3465" t="s">
        <v>3471</v>
      </c>
      <c r="F108" s="3477" t="s">
        <v>3472</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3478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3474</v>
      </c>
      <c r="D117" s="3465" t="s">
        <v>3475</v>
      </c>
      <c r="E117" s="3465" t="s">
        <v>3477</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3473</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3469</v>
      </c>
      <c r="D123" s="3465" t="s">
        <v>3470</v>
      </c>
      <c r="E123" s="3465" t="s">
        <v>3471</v>
      </c>
      <c r="F123" s="3477" t="s">
        <v>3472</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t="e">
        <f ca="1">ROUND(IF(D2="——",C52/10000,C52/10000-E2),4)</f>
        <v>#DIV/0!</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7" t="s">
        <v>1472</v>
      </c>
      <c r="B6" s="215" t="s">
        <v>1473</v>
      </c>
      <c r="C6" s="216" t="e">
        <f ca="1">基准地价修正!C33*'成本法 (元)'!D10</f>
        <v>#DIV/0!</v>
      </c>
      <c r="D6" s="217"/>
      <c r="E6" s="218"/>
      <c r="F6" s="218"/>
      <c r="G6" s="219"/>
    </row>
    <row r="7" spans="1:8" s="214" customFormat="1" ht="13.5" customHeight="1">
      <c r="A7" s="777" t="s">
        <v>1474</v>
      </c>
      <c r="B7" s="215" t="s">
        <v>1475</v>
      </c>
      <c r="C7" s="220" t="e">
        <f ca="1">ROUND(C6*F7,0)</f>
        <v>#DIV/0!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44958</v>
      </c>
      <c r="D8" s="222"/>
      <c r="E8" s="220"/>
      <c r="F8" s="221"/>
      <c r="G8" s="1855" t="s">
        <v>3425</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44958</v>
      </c>
      <c r="D10" s="844">
        <f ca="1">IF(B1="",'数据-汇总表'!E6,IF(INDIRECT("'数据-取费表'!c"&amp;$G$1)="住宅",INDIRECT("'数据-取费表'!s"&amp;$G$1),INDIRECT("'数据-取费表'!k"&amp;$G$1)+INDIRECT("'数据-取费表'!s"&amp;$G$1)))</f>
        <v>224.79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224.79</v>
      </c>
      <c r="E19" s="211">
        <f>'数据-取费表'!B31</f>
        <v>200</v>
      </c>
      <c r="F19" s="231"/>
      <c r="G19" s="1855" t="s">
        <v>3426</v>
      </c>
    </row>
    <row r="20" spans="1:7" s="214" customFormat="1" ht="13.5" customHeight="1">
      <c r="A20" s="255" t="s">
        <v>1574</v>
      </c>
      <c r="B20" s="210" t="s">
        <v>1575</v>
      </c>
      <c r="C20" s="232" t="e">
        <f ca="1">ROUND((C5+C19)*F20,0)</f>
        <v>#DIV/0!</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t="e">
        <f ca="1">ROUND(SUM(C23:C25),0)</f>
        <v>#DIV/0!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t="e">
        <f ca="1">ROUND(IF('数据-取费表'!B22&lt;=1,C5*F22*'数据-取费表'!B22,C5*(POWER((1+F22),'数据-取费表'!B22)-1)),0)</f>
        <v>#DIV/0!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t="e">
        <f ca="1">ROUND(IF('数据-取费表'!B22&lt;=1,C20*F22*'数据-取费表'!B22/2,C20*(POWER((1+F22),'数据-取费表'!B22/2)-1)),0)</f>
        <v>#DIV/0!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t="e">
        <f ca="1">ROUND((C5+C19+C20)*F27,0)</f>
        <v>#DIV/0!</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1007059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899160</v>
      </c>
      <c r="D34" s="217"/>
      <c r="E34" s="220"/>
      <c r="F34" s="257"/>
      <c r="G34" s="219"/>
    </row>
    <row r="35" spans="1:7" ht="13.5" customHeight="1">
      <c r="A35" s="779" t="s">
        <v>351</v>
      </c>
      <c r="B35" s="215" t="s">
        <v>1527</v>
      </c>
      <c r="C35" s="220">
        <f ca="1">ROUND(C34*F35,0)</f>
        <v>44958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44958</v>
      </c>
      <c r="D37" s="217">
        <f ca="1">D19</f>
        <v>224.79</v>
      </c>
      <c r="E37" s="249">
        <f>'数据-取费表'!B35</f>
        <v>200</v>
      </c>
      <c r="F37" s="259"/>
      <c r="G37" s="261"/>
    </row>
    <row r="38" spans="1:7" ht="13.5" customHeight="1">
      <c r="A38" s="779" t="s">
        <v>354</v>
      </c>
      <c r="B38" s="215" t="s">
        <v>1533</v>
      </c>
      <c r="C38" s="220">
        <f ca="1">ROUND(C34*F38,0)</f>
        <v>17983</v>
      </c>
      <c r="D38" s="220"/>
      <c r="E38" s="220"/>
      <c r="F38" s="259">
        <f>'数据-取费表'!B36</f>
        <v>0.02</v>
      </c>
      <c r="G38" s="219" t="s">
        <v>1528</v>
      </c>
    </row>
    <row r="39" spans="1:7" s="214" customFormat="1" ht="13.5" customHeight="1">
      <c r="A39" s="255" t="s">
        <v>1534</v>
      </c>
      <c r="B39" s="210" t="s">
        <v>1535</v>
      </c>
      <c r="C39" s="232">
        <f ca="1">ROUND(C33*F20,0)</f>
        <v>30212</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32156</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31219</v>
      </c>
      <c r="D42" s="238"/>
      <c r="E42" s="238"/>
      <c r="F42" s="239"/>
      <c r="G42" s="3672" t="s">
        <v>1591</v>
      </c>
    </row>
    <row r="43" spans="1:7" ht="13.5" customHeight="1">
      <c r="A43" s="779" t="s">
        <v>347</v>
      </c>
      <c r="B43" s="215" t="s">
        <v>1545</v>
      </c>
      <c r="C43" s="238">
        <f ca="1">ROUND(IF('数据-取费表'!B22&lt;=1,C39*F22*'数据-取费表'!B20/2,C39*(POWER((1+F22),'数据-取费表'!B20/2)-1)),0)</f>
        <v>937</v>
      </c>
      <c r="D43" s="238"/>
      <c r="E43" s="238"/>
      <c r="F43" s="239"/>
      <c r="G43" s="3673"/>
    </row>
    <row r="44" spans="1:7" ht="13.5" customHeight="1">
      <c r="A44" s="779" t="s">
        <v>348</v>
      </c>
      <c r="B44" s="215" t="s">
        <v>1546</v>
      </c>
      <c r="C44" s="238">
        <f ca="1">ROUND(IF('数据-取费表'!B22&lt;=1,C40*F22*'数据-取费表'!B20/2,C40*(POWER((1+F22),'数据-取费表'!B20/2)-1)),4)</f>
        <v>5.9999999999999995E-4</v>
      </c>
      <c r="D44" s="238"/>
      <c r="E44" s="238"/>
      <c r="F44" s="239"/>
      <c r="G44" s="3674"/>
    </row>
    <row r="45" spans="1:7" s="214" customFormat="1" ht="13.5" customHeight="1">
      <c r="A45" s="255" t="s">
        <v>1547</v>
      </c>
      <c r="B45" s="244" t="s">
        <v>1513</v>
      </c>
      <c r="C45" s="245">
        <f ca="1">C46</f>
        <v>155591</v>
      </c>
      <c r="D45" s="235">
        <f ca="1">C47</f>
        <v>3.0000000000000001E-3</v>
      </c>
      <c r="E45" s="236" t="s">
        <v>1539</v>
      </c>
      <c r="F45" s="246">
        <f ca="1">F27</f>
        <v>0.15</v>
      </c>
      <c r="G45" s="247" t="s">
        <v>1548</v>
      </c>
    </row>
    <row r="46" spans="1:7" s="214" customFormat="1" ht="13.5" customHeight="1">
      <c r="A46" s="779" t="s">
        <v>346</v>
      </c>
      <c r="B46" s="248" t="s">
        <v>1549</v>
      </c>
      <c r="C46" s="249">
        <f ca="1">ROUND((C33+C39)*F27,0)</f>
        <v>155591</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1325777</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1100395</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-5</v>
      </c>
      <c r="C2" s="276" t="s">
        <v>1595</v>
      </c>
      <c r="D2" s="276"/>
      <c r="E2" s="2803"/>
      <c r="F2" s="2803"/>
      <c r="G2" s="2803"/>
      <c r="H2" s="2803"/>
      <c r="I2" s="2803"/>
      <c r="J2" s="2803"/>
      <c r="K2" s="2803"/>
    </row>
    <row r="3" spans="1:33" ht="18" customHeight="1" thickBot="1">
      <c r="A3" s="203" t="s">
        <v>1464</v>
      </c>
      <c r="B3" s="204">
        <f ca="1">ROUND(B2*10000/IF(C1="",'数据-汇总表'!E3,INDIRECT("'数据-取费表'!K"&amp;$K$1)),0)</f>
        <v>-222</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224.79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224.79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4</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224.79</v>
      </c>
      <c r="E20" s="21">
        <f>'数据-取费表'!B28</f>
        <v>200</v>
      </c>
      <c r="F20" s="803"/>
      <c r="G20" s="12"/>
      <c r="H20" s="808"/>
      <c r="I20" s="808"/>
      <c r="J20" s="808"/>
      <c r="K20" s="809"/>
    </row>
    <row r="21" spans="1:33" s="802" customFormat="1" ht="13.5" customHeight="1">
      <c r="A21" s="789" t="s">
        <v>357</v>
      </c>
      <c r="B21" s="812" t="s">
        <v>1628</v>
      </c>
      <c r="C21" s="813">
        <f ca="1">C16+C17+C18</f>
        <v>4</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1</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1</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-5</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37" t="s">
        <v>694</v>
      </c>
      <c r="C6" s="1073">
        <f ca="1">ROUND(F6*F8*F7*(1-F9)/10000,0)</f>
        <v>0</v>
      </c>
      <c r="D6" s="155" t="s">
        <v>2108</v>
      </c>
      <c r="E6" s="302" t="s">
        <v>696</v>
      </c>
      <c r="F6" s="303">
        <f ca="1">INDIRECT("'数据-取费表'!u"&amp;$G$1)</f>
        <v>0</v>
      </c>
      <c r="G6" s="1383"/>
      <c r="H6" s="1068" t="s">
        <v>398</v>
      </c>
      <c r="I6" s="3737" t="s">
        <v>694</v>
      </c>
      <c r="J6" s="301">
        <f ca="1">ROUND(M6*M8*M7*(1-M9)/10000,0)</f>
        <v>0</v>
      </c>
      <c r="K6" s="155" t="s">
        <v>2107</v>
      </c>
      <c r="L6" s="302" t="s">
        <v>696</v>
      </c>
      <c r="M6" s="303">
        <f ca="1">INDIRECT("'数据-取费表'!z"&amp;$G$1)</f>
        <v>0</v>
      </c>
    </row>
    <row r="7" spans="1:37" ht="18" customHeight="1">
      <c r="A7" s="1072"/>
      <c r="B7" s="3738"/>
      <c r="C7" s="1074"/>
      <c r="D7" s="307"/>
      <c r="E7" s="1075" t="s">
        <v>697</v>
      </c>
      <c r="F7" s="303">
        <f ca="1">IF(INDIRECT("'数据-取费表'!ah"&amp;$G$1)="",INDIRECT("'数据-取费表'!k"&amp;$G$1),INDIRECT("'数据-取费表'!ah"&amp;$G$1))</f>
        <v>0</v>
      </c>
      <c r="G7" s="1383"/>
      <c r="H7" s="304"/>
      <c r="I7" s="3738"/>
      <c r="J7" s="306"/>
      <c r="K7" s="307"/>
      <c r="L7" s="302" t="s">
        <v>697</v>
      </c>
      <c r="M7" s="303">
        <f ca="1">F7</f>
        <v>0</v>
      </c>
    </row>
    <row r="8" spans="1:37" ht="18" customHeight="1">
      <c r="A8" s="304"/>
      <c r="B8" s="3738"/>
      <c r="C8" s="306"/>
      <c r="D8" s="307"/>
      <c r="E8" s="302" t="s">
        <v>698</v>
      </c>
      <c r="F8" s="303">
        <f ca="1">INDIRECT("'数据-取费表'!ai"&amp;$G$1)</f>
        <v>0</v>
      </c>
      <c r="G8" s="1383"/>
      <c r="H8" s="304"/>
      <c r="I8" s="3738"/>
      <c r="J8" s="306"/>
      <c r="K8" s="307"/>
      <c r="L8" s="302" t="s">
        <v>698</v>
      </c>
      <c r="M8" s="303">
        <f ca="1">INDIRECT("'数据-取费表'!ai"&amp;$G$1)</f>
        <v>0</v>
      </c>
    </row>
    <row r="9" spans="1:37" ht="18" customHeight="1">
      <c r="A9" s="304"/>
      <c r="B9" s="3739"/>
      <c r="C9" s="306"/>
      <c r="D9" s="307"/>
      <c r="E9" s="302" t="s">
        <v>699</v>
      </c>
      <c r="F9" s="312">
        <f ca="1">INDIRECT("'数据-取费表'!w"&amp;$G$1)</f>
        <v>0</v>
      </c>
      <c r="G9" s="1383"/>
      <c r="H9" s="304"/>
      <c r="I9" s="373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40" t="s">
        <v>837</v>
      </c>
      <c r="L53" s="3741"/>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224.79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19" t="s">
        <v>21</v>
      </c>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t="e">
        <f>ROUND(U2*T2,0)</f>
        <v>#DIV/0!</v>
      </c>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7" t="s">
        <v>3495</v>
      </c>
      <c r="F3" s="2003" t="s">
        <v>3415</v>
      </c>
      <c r="G3" s="751">
        <f>IF(F3="宗地容积率",'数据-汇总表'!I4,IF(F3="估价对象容积率",'数据-汇总表'!I6,'数据-汇总表'!I7))</f>
        <v>2.5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t="e">
        <f t="shared" ref="W3:W4" si="2">ROUND(U3*T3,0)</f>
        <v>#DIV/0!</v>
      </c>
      <c r="X3" s="1215"/>
      <c r="Y3" s="1215"/>
      <c r="Z3" s="1215"/>
      <c r="AA3" s="1215"/>
      <c r="AB3" s="1215"/>
      <c r="AC3" s="1216"/>
      <c r="AD3" s="1217"/>
      <c r="AE3" s="1217"/>
      <c r="AF3" s="1217"/>
      <c r="AG3" s="1217"/>
      <c r="AH3" s="1217"/>
      <c r="AI3" s="1217"/>
      <c r="AJ3" s="1218"/>
    </row>
    <row r="4" spans="1:36" ht="15.75">
      <c r="A4" s="3749"/>
      <c r="B4" s="3750"/>
      <c r="C4" s="3750"/>
      <c r="D4" s="3751"/>
      <c r="E4" s="3751"/>
      <c r="F4" s="3751"/>
      <c r="G4" s="3751"/>
      <c r="H4" s="3751"/>
      <c r="I4" s="3751"/>
      <c r="J4" s="3752"/>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t="e">
        <f t="shared" si="2"/>
        <v>#DIV/0!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7" t="s">
        <v>1955</v>
      </c>
      <c r="X7" s="1213">
        <f>G2</f>
        <v>0</v>
      </c>
      <c r="Y7" s="1213" t="s">
        <v>1956</v>
      </c>
      <c r="Z7" s="1214">
        <f>G3</f>
        <v>2.5</v>
      </c>
      <c r="AA7" s="1215"/>
      <c r="AB7" s="1215"/>
      <c r="AC7" s="1216"/>
      <c r="AD7" s="1217"/>
      <c r="AE7" s="1217"/>
      <c r="AF7" s="1217"/>
      <c r="AG7" s="1217"/>
      <c r="AH7" s="1217"/>
      <c r="AI7" s="1217"/>
      <c r="AJ7" s="1218"/>
    </row>
    <row r="8" spans="1:36" ht="25.5">
      <c r="A8" s="3296"/>
      <c r="B8" s="170" t="s">
        <v>1957</v>
      </c>
      <c r="C8" s="2025" t="s">
        <v>3416</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746" t="s">
        <v>1960</v>
      </c>
      <c r="X8" s="374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748"/>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74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53" t="s">
        <v>3253</v>
      </c>
      <c r="B20" s="167" t="s">
        <v>1994</v>
      </c>
      <c r="C20" s="3322" t="e">
        <f>ROUND(IF(F21="与级别开发程度一致",0,(G21-E21)/C21),0)</f>
        <v>#DIV/0!</v>
      </c>
      <c r="D20" s="3338" t="s">
        <v>1998</v>
      </c>
      <c r="E20" s="3339"/>
      <c r="F20" s="3759" t="s">
        <v>1995</v>
      </c>
      <c r="G20" s="3760"/>
      <c r="H20" s="3323" t="s">
        <v>3417</v>
      </c>
      <c r="I20" s="3323" t="s">
        <v>3418</v>
      </c>
      <c r="J20" s="3324" t="s">
        <v>3419</v>
      </c>
      <c r="K20" s="2046" t="s">
        <v>3420</v>
      </c>
      <c r="L20" s="2046" t="s">
        <v>3421</v>
      </c>
      <c r="M20" s="2046" t="s">
        <v>3422</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54"/>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3496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45728</v>
      </c>
      <c r="H23" s="3340" t="s">
        <v>3254</v>
      </c>
      <c r="I23" s="3341" t="str">
        <f>IF(H23="季度增幅（自定义）",SUMIF(N25:N28,E2,O25:O28),"")</f>
        <v/>
      </c>
      <c r="J23" s="3443" t="s">
        <v>3497</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5.5E-2</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3498</v>
      </c>
      <c r="C25" s="770">
        <f>IF(B25="容积率修正",IF(G3&lt;10,D26,J26),C27)</f>
        <v>0</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f>'数据-基础表'!B3</f>
        <v>224.79</v>
      </c>
      <c r="E33" s="772" t="e">
        <f>ROUND(C33*D33/10000,0)</f>
        <v>#DIV/0!</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7"/>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8"/>
      <c r="B38" s="2040" t="s">
        <v>2037</v>
      </c>
      <c r="C38" s="175" t="e">
        <f>ROUND(D5*C22*C23*C24*C28*F38,0)</f>
        <v>#DIV/0!</v>
      </c>
      <c r="D38" s="2097"/>
      <c r="E38" s="171" t="e">
        <f t="shared" ref="E38:E42" si="5">ROUND(C38*D38/10000,0)</f>
        <v>#DIV/0!</v>
      </c>
      <c r="F38" s="171">
        <f>SUMIF(修正!A57:A68,G2,修正!C57:C68)</f>
        <v>0</v>
      </c>
      <c r="G38" s="171" t="e">
        <f>ROUND(IF(E2="工业",C38*$M$42,C38*$M$41),0)</f>
        <v>#DIV/0!</v>
      </c>
      <c r="H38" s="171">
        <f t="shared" ref="H38:H42" si="6">D38</f>
        <v>0</v>
      </c>
      <c r="I38" s="171" t="e">
        <f t="shared" ref="I38:I42" si="7">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58"/>
      <c r="B39" s="2040" t="s">
        <v>3257</v>
      </c>
      <c r="C39" s="175" t="e">
        <f>ROUND(D5*C22*C23*C24*C28*F39,0)</f>
        <v>#DIV/0!</v>
      </c>
      <c r="D39" s="2097"/>
      <c r="E39" s="171" t="e">
        <f t="shared" si="5"/>
        <v>#DIV/0!</v>
      </c>
      <c r="F39" s="171">
        <f>SUMIF(修正!A57:A68,G2,修正!D57:D68)</f>
        <v>0</v>
      </c>
      <c r="G39" s="171" t="e">
        <f>ROUND(IF(E2="工业",C39*$M$42,C39*$M$41),0)</f>
        <v>#DIV/0!</v>
      </c>
      <c r="H39" s="171">
        <f t="shared" si="6"/>
        <v>0</v>
      </c>
      <c r="I39" s="171" t="e">
        <f t="shared" si="7"/>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5"/>
        <v>#DIV/0!</v>
      </c>
      <c r="F40" s="175">
        <f>SUMIF(修正!A57:A68,G2,修正!E57:E68)</f>
        <v>0</v>
      </c>
      <c r="G40" s="171" t="e">
        <f>ROUND(IF(E2="工业",C40*$M$42,C40*$M$41),0)</f>
        <v>#DIV/0!</v>
      </c>
      <c r="H40" s="171">
        <f t="shared" si="6"/>
        <v>0</v>
      </c>
      <c r="I40" s="171" t="e">
        <f t="shared" si="7"/>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5"/>
        <v>#DIV/0!</v>
      </c>
      <c r="F41" s="175">
        <f>SUMIF(修正!A57:A68,G2,修正!F57:F68)</f>
        <v>0</v>
      </c>
      <c r="G41" s="171" t="e">
        <f>ROUND(IF(E2="工业",C41*$M$42,C41*$M$41),0)</f>
        <v>#DIV/0!</v>
      </c>
      <c r="H41" s="171">
        <f t="shared" si="6"/>
        <v>0</v>
      </c>
      <c r="I41" s="171" t="e">
        <f t="shared" si="7"/>
        <v>#DIV/0!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5"/>
        <v>#DIV/0!</v>
      </c>
      <c r="F42" s="766">
        <f>SUMIF(修正!A57:A68,G2,修正!G57:G68)</f>
        <v>0</v>
      </c>
      <c r="G42" s="187" t="e">
        <f>ROUND(IF(E2="工业",C42*$M$42,C42*$M$41),0)</f>
        <v>#DIV/0!</v>
      </c>
      <c r="H42" s="187">
        <f t="shared" si="6"/>
        <v>0</v>
      </c>
      <c r="I42" s="187" t="e">
        <f t="shared" si="7"/>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#VALUE!</v>
      </c>
      <c r="D44" s="171" t="s">
        <v>1999</v>
      </c>
      <c r="E44" s="2152">
        <f>G24</f>
        <v>5.5E-2</v>
      </c>
      <c r="F44" s="171" t="s">
        <v>2008</v>
      </c>
      <c r="G44" s="183" t="str">
        <f>项目基本情况!E15</f>
        <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3423</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3423</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3423</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3423</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3424</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3423</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3423</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3424</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3423</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3423</v>
      </c>
      <c r="D61" s="1064">
        <f t="shared" ref="D61:D69" si="14">SUMIF($J$60:$N$60,C61,J61:N61)</f>
        <v>0</v>
      </c>
      <c r="E61" s="743">
        <f>ROUND(SUM(D61:D69),4)</f>
        <v>0</v>
      </c>
      <c r="F61" s="1813">
        <f>IF(E2="办公",SUMIF(L1:L12,G2,N1:N12),"——")</f>
        <v>0</v>
      </c>
      <c r="G61" s="1062">
        <f>H61</f>
        <v>0</v>
      </c>
      <c r="H61" s="1065">
        <f t="shared" ref="H61:H69" si="15">IFERROR(ROUNDDOWN($F$61*I61/2,4),"——")</f>
        <v>0</v>
      </c>
      <c r="I61" s="3364">
        <v>0.25</v>
      </c>
      <c r="J61" s="1063">
        <f t="shared" ref="J61:J69" si="16">K61+$G61</f>
        <v>0</v>
      </c>
      <c r="K61" s="1063">
        <f t="shared" ref="K61:K69" si="17">$L61+$G61</f>
        <v>0</v>
      </c>
      <c r="L61" s="1063">
        <v>0</v>
      </c>
      <c r="M61" s="1063">
        <f t="shared" ref="M61:N69" si="18">L61-$G61</f>
        <v>0</v>
      </c>
      <c r="N61" s="1063">
        <f t="shared" si="18"/>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3445</v>
      </c>
      <c r="D62" s="1064">
        <f t="shared" si="14"/>
        <v>0</v>
      </c>
      <c r="E62" s="744"/>
      <c r="F62" s="1813"/>
      <c r="G62" s="1062">
        <f t="shared" ref="G62:G69" si="19">H62</f>
        <v>0</v>
      </c>
      <c r="H62" s="1065">
        <f t="shared" si="15"/>
        <v>0</v>
      </c>
      <c r="I62" s="3364">
        <v>0.26</v>
      </c>
      <c r="J62" s="1063">
        <f t="shared" si="16"/>
        <v>0</v>
      </c>
      <c r="K62" s="1063">
        <f t="shared" si="17"/>
        <v>0</v>
      </c>
      <c r="L62" s="1063">
        <v>0</v>
      </c>
      <c r="M62" s="1063">
        <f t="shared" si="18"/>
        <v>0</v>
      </c>
      <c r="N62" s="1063">
        <f t="shared" si="18"/>
        <v>0</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3423</v>
      </c>
      <c r="D63" s="1064">
        <f t="shared" si="14"/>
        <v>0</v>
      </c>
      <c r="E63" s="744"/>
      <c r="F63" s="1813"/>
      <c r="G63" s="1062">
        <f t="shared" si="19"/>
        <v>0</v>
      </c>
      <c r="H63" s="1065">
        <f t="shared" si="15"/>
        <v>0</v>
      </c>
      <c r="I63" s="3364">
        <v>0.11</v>
      </c>
      <c r="J63" s="1063">
        <f t="shared" si="16"/>
        <v>0</v>
      </c>
      <c r="K63" s="1063">
        <f t="shared" si="17"/>
        <v>0</v>
      </c>
      <c r="L63" s="1063">
        <v>0</v>
      </c>
      <c r="M63" s="1063">
        <f t="shared" si="18"/>
        <v>0</v>
      </c>
      <c r="N63" s="1063">
        <f t="shared" si="18"/>
        <v>0</v>
      </c>
      <c r="AA63" s="1119"/>
      <c r="AB63" s="1119"/>
      <c r="AC63" s="1119"/>
      <c r="AD63" s="1119"/>
      <c r="AE63" s="1119"/>
      <c r="AF63" s="1119"/>
      <c r="AG63" s="1119"/>
      <c r="AH63" s="1119"/>
      <c r="AI63" s="1119"/>
      <c r="AJ63" s="1119"/>
      <c r="AK63" s="1119"/>
    </row>
    <row r="64" spans="1:37" s="1118" customFormat="1" ht="36.75">
      <c r="A64" s="2129" t="s">
        <v>2054</v>
      </c>
      <c r="B64" s="2134" t="s">
        <v>2055</v>
      </c>
      <c r="C64" s="2043" t="s">
        <v>3423</v>
      </c>
      <c r="D64" s="1064">
        <f t="shared" si="14"/>
        <v>0</v>
      </c>
      <c r="E64" s="744"/>
      <c r="F64" s="1813"/>
      <c r="G64" s="1062">
        <f t="shared" si="19"/>
        <v>0</v>
      </c>
      <c r="H64" s="1065">
        <f t="shared" si="15"/>
        <v>0</v>
      </c>
      <c r="I64" s="3364">
        <v>0.05</v>
      </c>
      <c r="J64" s="1063">
        <f t="shared" si="16"/>
        <v>0</v>
      </c>
      <c r="K64" s="1063">
        <f t="shared" si="17"/>
        <v>0</v>
      </c>
      <c r="L64" s="1063">
        <v>0</v>
      </c>
      <c r="M64" s="1063">
        <f t="shared" si="18"/>
        <v>0</v>
      </c>
      <c r="N64" s="1063">
        <f t="shared" si="18"/>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3423</v>
      </c>
      <c r="D65" s="1064">
        <f t="shared" si="14"/>
        <v>0</v>
      </c>
      <c r="E65" s="744"/>
      <c r="F65" s="1813"/>
      <c r="G65" s="1062">
        <f t="shared" si="19"/>
        <v>0</v>
      </c>
      <c r="H65" s="1065">
        <f t="shared" si="15"/>
        <v>0</v>
      </c>
      <c r="I65" s="3364">
        <v>0.05</v>
      </c>
      <c r="J65" s="1063">
        <f t="shared" si="16"/>
        <v>0</v>
      </c>
      <c r="K65" s="1063">
        <f t="shared" si="17"/>
        <v>0</v>
      </c>
      <c r="L65" s="1063">
        <v>0</v>
      </c>
      <c r="M65" s="1063">
        <f t="shared" si="18"/>
        <v>0</v>
      </c>
      <c r="N65" s="1063">
        <f t="shared" si="18"/>
        <v>0</v>
      </c>
      <c r="AA65" s="1119"/>
      <c r="AB65" s="1119"/>
      <c r="AC65" s="1119"/>
      <c r="AD65" s="1119"/>
      <c r="AE65" s="1119"/>
      <c r="AF65" s="1119"/>
      <c r="AG65" s="1119"/>
      <c r="AH65" s="1119"/>
      <c r="AI65" s="1119"/>
      <c r="AJ65" s="1119"/>
      <c r="AK65" s="1119"/>
    </row>
    <row r="66" spans="1:37" s="1118" customFormat="1" ht="24">
      <c r="A66" s="2129" t="s">
        <v>2057</v>
      </c>
      <c r="B66" s="2135" t="s">
        <v>2058</v>
      </c>
      <c r="C66" s="2043" t="s">
        <v>3423</v>
      </c>
      <c r="D66" s="1064">
        <f t="shared" si="14"/>
        <v>0</v>
      </c>
      <c r="E66" s="744"/>
      <c r="F66" s="1813"/>
      <c r="G66" s="1062">
        <f t="shared" si="19"/>
        <v>0</v>
      </c>
      <c r="H66" s="1065">
        <f t="shared" si="15"/>
        <v>0</v>
      </c>
      <c r="I66" s="3364">
        <v>0.06</v>
      </c>
      <c r="J66" s="1063">
        <f t="shared" si="16"/>
        <v>0</v>
      </c>
      <c r="K66" s="1063">
        <f t="shared" si="17"/>
        <v>0</v>
      </c>
      <c r="L66" s="1063">
        <v>0</v>
      </c>
      <c r="M66" s="1063">
        <f t="shared" si="18"/>
        <v>0</v>
      </c>
      <c r="N66" s="1063">
        <f t="shared" si="18"/>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3423</v>
      </c>
      <c r="D67" s="1064">
        <f t="shared" si="14"/>
        <v>0</v>
      </c>
      <c r="E67" s="744"/>
      <c r="F67" s="1813"/>
      <c r="G67" s="1062">
        <f t="shared" si="19"/>
        <v>0</v>
      </c>
      <c r="H67" s="1065">
        <f t="shared" si="15"/>
        <v>0</v>
      </c>
      <c r="I67" s="3364">
        <v>0.06</v>
      </c>
      <c r="J67" s="1063">
        <f t="shared" si="16"/>
        <v>0</v>
      </c>
      <c r="K67" s="1063">
        <f t="shared" si="17"/>
        <v>0</v>
      </c>
      <c r="L67" s="1063">
        <v>0</v>
      </c>
      <c r="M67" s="1063">
        <f t="shared" si="18"/>
        <v>0</v>
      </c>
      <c r="N67" s="1063">
        <f t="shared" si="18"/>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3424</v>
      </c>
      <c r="D68" s="1064">
        <f t="shared" si="14"/>
        <v>0</v>
      </c>
      <c r="E68" s="744"/>
      <c r="F68" s="1813"/>
      <c r="G68" s="1062">
        <f t="shared" si="19"/>
        <v>0</v>
      </c>
      <c r="H68" s="1065">
        <f t="shared" si="15"/>
        <v>0</v>
      </c>
      <c r="I68" s="3364">
        <v>0.09</v>
      </c>
      <c r="J68" s="1063">
        <f t="shared" si="16"/>
        <v>0</v>
      </c>
      <c r="K68" s="1063">
        <f t="shared" si="17"/>
        <v>0</v>
      </c>
      <c r="L68" s="1063">
        <v>0</v>
      </c>
      <c r="M68" s="1063">
        <f t="shared" si="18"/>
        <v>0</v>
      </c>
      <c r="N68" s="1063">
        <f t="shared" si="18"/>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3423</v>
      </c>
      <c r="D69" s="1064">
        <f t="shared" si="14"/>
        <v>0</v>
      </c>
      <c r="E69" s="745"/>
      <c r="F69" s="1813"/>
      <c r="G69" s="1062">
        <f t="shared" si="19"/>
        <v>0</v>
      </c>
      <c r="H69" s="1065">
        <f t="shared" si="15"/>
        <v>0</v>
      </c>
      <c r="I69" s="3365">
        <v>7.0000000000000007E-2</v>
      </c>
      <c r="J69" s="1063">
        <f t="shared" si="16"/>
        <v>0</v>
      </c>
      <c r="K69" s="1063">
        <f t="shared" si="17"/>
        <v>0</v>
      </c>
      <c r="L69" s="1063">
        <v>0</v>
      </c>
      <c r="M69" s="1063">
        <f t="shared" si="18"/>
        <v>0</v>
      </c>
      <c r="N69" s="1063">
        <f t="shared" si="18"/>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755" t="s">
        <v>3292</v>
      </c>
      <c r="B103" s="3755"/>
      <c r="C103" s="3755"/>
      <c r="D103" s="3755"/>
      <c r="E103" s="3755"/>
      <c r="F103" s="3755"/>
      <c r="G103" s="3755"/>
      <c r="H103" s="3755"/>
      <c r="I103" s="3755"/>
      <c r="J103" s="3755"/>
      <c r="K103" s="3387"/>
      <c r="L103" s="3387"/>
      <c r="M103" s="3387"/>
      <c r="N103" s="3387"/>
    </row>
    <row r="104" spans="1:14">
      <c r="A104" s="3756" t="s">
        <v>3293</v>
      </c>
      <c r="B104" s="3756" t="s">
        <v>3294</v>
      </c>
      <c r="C104" s="3388" t="s">
        <v>3295</v>
      </c>
      <c r="D104" s="3389"/>
      <c r="E104" s="3389"/>
      <c r="F104" s="3389"/>
      <c r="G104" s="3389"/>
      <c r="H104" s="3389"/>
      <c r="I104" s="3389"/>
      <c r="J104" s="3390"/>
      <c r="K104" s="3391"/>
      <c r="L104" s="3391"/>
      <c r="M104" s="3391"/>
      <c r="N104" s="3391"/>
    </row>
    <row r="105" spans="1:14">
      <c r="A105" s="3756"/>
      <c r="B105" s="3756"/>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42"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3"/>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744"/>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745" t="s">
        <v>3309</v>
      </c>
      <c r="B113" s="3745"/>
      <c r="C113" s="3745"/>
      <c r="D113" s="3745"/>
      <c r="E113" s="3745"/>
      <c r="F113" s="3745"/>
      <c r="G113" s="3745"/>
      <c r="H113" s="3745"/>
      <c r="I113" s="3745"/>
      <c r="J113" s="374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2.5</v>
      </c>
      <c r="C116" s="3397" t="s">
        <v>3311</v>
      </c>
      <c r="D116" s="3398">
        <f>SUMPRODUCT((A118:A122=F116)*(B117:M117=H116)*B118:M122)</f>
        <v>0</v>
      </c>
      <c r="E116" s="1999" t="s">
        <v>3312</v>
      </c>
      <c r="F116" s="3399" t="str">
        <f>E2</f>
        <v>办公</v>
      </c>
      <c r="G116" s="1999" t="s">
        <v>3313</v>
      </c>
      <c r="H116" s="3399">
        <f>G2</f>
        <v>0</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8">I118</f>
        <v>0.80359999999999998</v>
      </c>
      <c r="K118" s="3385">
        <f t="shared" si="38"/>
        <v>0.80359999999999998</v>
      </c>
      <c r="L118" s="3385">
        <f t="shared" si="38"/>
        <v>0.80359999999999998</v>
      </c>
      <c r="M118" s="3408">
        <f t="shared" si="38"/>
        <v>0.80359999999999998</v>
      </c>
      <c r="N118" s="3395"/>
    </row>
    <row r="119" spans="1:14">
      <c r="A119" s="3407" t="s">
        <v>3327</v>
      </c>
      <c r="B119" s="3385">
        <f>ROUND(0.993-0.0112*B116,4)</f>
        <v>0.96499999999999997</v>
      </c>
      <c r="C119" s="3385">
        <f>B119</f>
        <v>0.96499999999999997</v>
      </c>
      <c r="D119" s="3385">
        <f>ROUND(0.9415-0.0142*B116,4)</f>
        <v>0.90600000000000003</v>
      </c>
      <c r="E119" s="3385">
        <f t="shared" ref="E119:H120" si="39">D119</f>
        <v>0.90600000000000003</v>
      </c>
      <c r="F119" s="3385">
        <f t="shared" si="39"/>
        <v>0.90600000000000003</v>
      </c>
      <c r="G119" s="3385">
        <f t="shared" si="39"/>
        <v>0.90600000000000003</v>
      </c>
      <c r="H119" s="3385">
        <f t="shared" si="39"/>
        <v>0.90600000000000003</v>
      </c>
      <c r="I119" s="3385">
        <f>ROUND(0.838-0.0182*B116,4)</f>
        <v>0.79249999999999998</v>
      </c>
      <c r="J119" s="3385">
        <f t="shared" si="38"/>
        <v>0.79249999999999998</v>
      </c>
      <c r="K119" s="3385">
        <f t="shared" si="38"/>
        <v>0.79249999999999998</v>
      </c>
      <c r="L119" s="3385">
        <f t="shared" si="38"/>
        <v>0.79249999999999998</v>
      </c>
      <c r="M119" s="3408">
        <f t="shared" si="38"/>
        <v>0.79249999999999998</v>
      </c>
      <c r="N119" s="3395"/>
    </row>
    <row r="120" spans="1:14">
      <c r="A120" s="3407" t="s">
        <v>3328</v>
      </c>
      <c r="B120" s="3385">
        <f>ROUND(0.9448-0.0115*B116,4)</f>
        <v>0.91610000000000003</v>
      </c>
      <c r="C120" s="3385">
        <f>B120</f>
        <v>0.91610000000000003</v>
      </c>
      <c r="D120" s="3385">
        <f>ROUND(0.937-0.0145*B116,4)</f>
        <v>0.90080000000000005</v>
      </c>
      <c r="E120" s="3385">
        <f t="shared" si="39"/>
        <v>0.90080000000000005</v>
      </c>
      <c r="F120" s="3385">
        <f t="shared" si="39"/>
        <v>0.90080000000000005</v>
      </c>
      <c r="G120" s="3385">
        <f t="shared" si="39"/>
        <v>0.90080000000000005</v>
      </c>
      <c r="H120" s="3385">
        <f t="shared" si="39"/>
        <v>0.90080000000000005</v>
      </c>
      <c r="I120" s="3385">
        <f>ROUND(0.7965-0.0185*B116,4)</f>
        <v>0.75029999999999997</v>
      </c>
      <c r="J120" s="3385">
        <f t="shared" si="38"/>
        <v>0.75029999999999997</v>
      </c>
      <c r="K120" s="3385">
        <f t="shared" si="38"/>
        <v>0.75029999999999997</v>
      </c>
      <c r="L120" s="3385">
        <f t="shared" si="38"/>
        <v>0.75029999999999997</v>
      </c>
      <c r="M120" s="3408">
        <f t="shared" si="38"/>
        <v>0.75029999999999997</v>
      </c>
      <c r="N120" s="3395"/>
    </row>
    <row r="121" spans="1:14" ht="13.5" thickBot="1">
      <c r="A121" s="3409" t="s">
        <v>3329</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8"/>
        <v>0.54300000000000004</v>
      </c>
      <c r="K121" s="3410">
        <f t="shared" si="38"/>
        <v>0.54300000000000004</v>
      </c>
      <c r="L121" s="3410">
        <f t="shared" si="38"/>
        <v>0.54300000000000004</v>
      </c>
      <c r="M121" s="3411">
        <f t="shared" si="38"/>
        <v>0.54300000000000004</v>
      </c>
      <c r="N121" s="3395"/>
    </row>
    <row r="122" spans="1:14">
      <c r="A122" s="3412" t="s">
        <v>2611</v>
      </c>
      <c r="B122" s="3385">
        <f>ROUND(0.9404-0.0106*B116,4)</f>
        <v>0.91390000000000005</v>
      </c>
      <c r="C122" s="3385">
        <f>B122</f>
        <v>0.91390000000000005</v>
      </c>
      <c r="D122" s="3385">
        <f>ROUND(0.8955-0.0135*B116,4)</f>
        <v>0.86180000000000001</v>
      </c>
      <c r="E122" s="3385">
        <f t="shared" ref="E122:H122" si="40">D122</f>
        <v>0.86180000000000001</v>
      </c>
      <c r="F122" s="3385">
        <f t="shared" si="40"/>
        <v>0.86180000000000001</v>
      </c>
      <c r="G122" s="3385">
        <f t="shared" si="40"/>
        <v>0.86180000000000001</v>
      </c>
      <c r="H122" s="3385">
        <f t="shared" si="40"/>
        <v>0.86180000000000001</v>
      </c>
      <c r="I122" s="3385">
        <f>ROUND(0.7632-0.0166*B116,4)</f>
        <v>0.72170000000000001</v>
      </c>
      <c r="J122" s="3385">
        <f t="shared" si="38"/>
        <v>0.72170000000000001</v>
      </c>
      <c r="K122" s="3385">
        <f t="shared" si="38"/>
        <v>0.72170000000000001</v>
      </c>
      <c r="L122" s="3385">
        <f t="shared" si="38"/>
        <v>0.72170000000000001</v>
      </c>
      <c r="M122" s="3408">
        <f t="shared" si="38"/>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6" priority="6" stopIfTrue="1" operator="notEqual">
      <formula>"——"</formula>
    </cfRule>
  </conditionalFormatting>
  <conditionalFormatting sqref="F61">
    <cfRule type="cellIs" dxfId="115" priority="5" stopIfTrue="1" operator="notEqual">
      <formula>"——"</formula>
    </cfRule>
  </conditionalFormatting>
  <conditionalFormatting sqref="F72">
    <cfRule type="cellIs" dxfId="114" priority="4" stopIfTrue="1" operator="notEqual">
      <formula>"——"</formula>
    </cfRule>
  </conditionalFormatting>
  <conditionalFormatting sqref="F83">
    <cfRule type="cellIs" dxfId="113" priority="3" stopIfTrue="1" operator="notEqual">
      <formula>"——"</formula>
    </cfRule>
  </conditionalFormatting>
  <conditionalFormatting sqref="H50:H58 H61:H69 H72:H80 H83:H91">
    <cfRule type="cellIs" dxfId="112" priority="2" operator="notEqual">
      <formula>"——"</formula>
    </cfRule>
  </conditionalFormatting>
  <conditionalFormatting sqref="H93:H101">
    <cfRule type="cellIs" dxfId="11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61" t="s">
        <v>2316</v>
      </c>
      <c r="K2" s="3762"/>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63" t="s">
        <v>2326</v>
      </c>
      <c r="K3" s="3764"/>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63" t="s">
        <v>2328</v>
      </c>
      <c r="K4" s="3764"/>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65" t="s">
        <v>2332</v>
      </c>
      <c r="B6" s="3766"/>
      <c r="C6" s="3767"/>
      <c r="D6" s="2867"/>
      <c r="E6" s="2868"/>
      <c r="F6" s="2869"/>
      <c r="G6" s="2870"/>
      <c r="H6" s="2845"/>
      <c r="I6" s="2846"/>
      <c r="J6" s="3768">
        <v>1</v>
      </c>
      <c r="K6" s="3769"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68"/>
      <c r="K7" s="3770"/>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72" t="s">
        <v>2346</v>
      </c>
      <c r="C8" s="3773"/>
      <c r="D8" s="2886" t="s">
        <v>2347</v>
      </c>
      <c r="E8" s="2887" t="s">
        <v>2348</v>
      </c>
      <c r="F8" s="2888" t="s">
        <v>2349</v>
      </c>
      <c r="G8" s="2889"/>
      <c r="H8" s="2845"/>
      <c r="I8" s="2846"/>
      <c r="J8" s="3768"/>
      <c r="K8" s="3770"/>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72" t="s">
        <v>2352</v>
      </c>
      <c r="C9" s="3773"/>
      <c r="D9" s="2886">
        <f>ROUND(D6*E9,0)</f>
        <v>0</v>
      </c>
      <c r="E9" s="2890"/>
      <c r="F9" s="2891" t="s">
        <v>2353</v>
      </c>
      <c r="G9" s="2870"/>
      <c r="H9" s="2845"/>
      <c r="I9" s="2846"/>
      <c r="J9" s="3768"/>
      <c r="K9" s="3770"/>
      <c r="L9" s="2880" t="s">
        <v>2354</v>
      </c>
      <c r="M9" s="2881"/>
      <c r="N9" s="2857"/>
      <c r="O9" s="2882"/>
      <c r="P9" s="2882"/>
      <c r="Q9" s="2883">
        <v>365</v>
      </c>
      <c r="R9" s="2884">
        <f t="shared" si="0"/>
        <v>0</v>
      </c>
      <c r="S9" s="2838"/>
      <c r="T9" s="2838"/>
      <c r="U9" s="2838"/>
      <c r="V9" s="2846"/>
    </row>
    <row r="10" spans="1:22" s="2850" customFormat="1" ht="13.15" customHeight="1">
      <c r="A10" s="2885">
        <v>2</v>
      </c>
      <c r="B10" s="3772" t="s">
        <v>2355</v>
      </c>
      <c r="C10" s="3773"/>
      <c r="D10" s="2886">
        <f>ROUND(D6*E10,0)</f>
        <v>0</v>
      </c>
      <c r="E10" s="2890"/>
      <c r="F10" s="2891" t="s">
        <v>2356</v>
      </c>
      <c r="G10" s="2870"/>
      <c r="H10" s="2845"/>
      <c r="I10" s="2846"/>
      <c r="J10" s="3768"/>
      <c r="K10" s="3770"/>
      <c r="L10" s="2880" t="s">
        <v>2357</v>
      </c>
      <c r="M10" s="2881"/>
      <c r="N10" s="2857"/>
      <c r="O10" s="2882"/>
      <c r="P10" s="2882"/>
      <c r="Q10" s="2883">
        <v>365</v>
      </c>
      <c r="R10" s="2884">
        <f t="shared" si="0"/>
        <v>0</v>
      </c>
      <c r="S10" s="2838"/>
      <c r="T10" s="2838"/>
      <c r="U10" s="2838"/>
      <c r="V10" s="2846"/>
    </row>
    <row r="11" spans="1:22" s="2850" customFormat="1" ht="13.15" customHeight="1">
      <c r="A11" s="2885">
        <v>3</v>
      </c>
      <c r="B11" s="3772" t="s">
        <v>2358</v>
      </c>
      <c r="C11" s="3773"/>
      <c r="D11" s="2886">
        <f>D12+D14+D15+D16</f>
        <v>0</v>
      </c>
      <c r="E11" s="2892" t="e">
        <f>D11/D6</f>
        <v>#DIV/0!</v>
      </c>
      <c r="F11" s="2888"/>
      <c r="G11" s="2889"/>
      <c r="H11" s="2845"/>
      <c r="I11" s="2846"/>
      <c r="J11" s="3768"/>
      <c r="K11" s="3770"/>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74" t="s">
        <v>2361</v>
      </c>
      <c r="C12" s="3775"/>
      <c r="D12" s="2894">
        <f>ROUND(D13*1.2%*(1-30%),0)</f>
        <v>0</v>
      </c>
      <c r="E12" s="2895">
        <v>1.2E-2</v>
      </c>
      <c r="F12" s="2888" t="s">
        <v>2362</v>
      </c>
      <c r="G12" s="2889"/>
      <c r="H12" s="2845"/>
      <c r="I12" s="2846"/>
      <c r="J12" s="3768"/>
      <c r="K12" s="3770"/>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68"/>
      <c r="K13" s="3770"/>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74" t="s">
        <v>2367</v>
      </c>
      <c r="C14" s="3775"/>
      <c r="D14" s="2894">
        <f>ROUND(E14*B5/10000,0)</f>
        <v>0</v>
      </c>
      <c r="E14" s="2883"/>
      <c r="F14" s="2888" t="s">
        <v>2368</v>
      </c>
      <c r="G14" s="2889"/>
      <c r="H14" s="2845"/>
      <c r="I14" s="2846"/>
      <c r="J14" s="3768"/>
      <c r="K14" s="3771"/>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74" t="s">
        <v>2371</v>
      </c>
      <c r="C15" s="3775"/>
      <c r="D15" s="2894">
        <f>ROUND(D6*E15,0)</f>
        <v>0</v>
      </c>
      <c r="E15" s="2895">
        <v>5.5E-2</v>
      </c>
      <c r="F15" s="2888" t="s">
        <v>2372</v>
      </c>
      <c r="G15" s="2870"/>
      <c r="H15" s="2845"/>
      <c r="I15" s="2846"/>
      <c r="J15" s="3768">
        <v>2</v>
      </c>
      <c r="K15" s="3769"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74" t="s">
        <v>2380</v>
      </c>
      <c r="C16" s="3775"/>
      <c r="D16" s="2905">
        <f>D6*E16</f>
        <v>0</v>
      </c>
      <c r="E16" s="2906"/>
      <c r="F16" s="2891" t="s">
        <v>2381</v>
      </c>
      <c r="G16" s="2870"/>
      <c r="H16" s="2845"/>
      <c r="I16" s="2846"/>
      <c r="J16" s="3768"/>
      <c r="K16" s="3770"/>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76" t="s">
        <v>2383</v>
      </c>
      <c r="C17" s="3777"/>
      <c r="D17" s="2908">
        <f>ROUND(D6*E17,0)</f>
        <v>0</v>
      </c>
      <c r="E17" s="2909"/>
      <c r="F17" s="2910" t="s">
        <v>2384</v>
      </c>
      <c r="G17" s="2870"/>
      <c r="H17" s="2845"/>
      <c r="I17" s="2846"/>
      <c r="J17" s="3768"/>
      <c r="K17" s="3770"/>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68"/>
      <c r="K18" s="3770"/>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68"/>
      <c r="K19" s="3771"/>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68">
        <v>3</v>
      </c>
      <c r="K20" s="3769"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68"/>
      <c r="K21" s="3770"/>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68"/>
      <c r="K22" s="3770"/>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68"/>
      <c r="K23" s="3770"/>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68"/>
      <c r="K24" s="3771"/>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78">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7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61" t="s">
        <v>2316</v>
      </c>
      <c r="K32" s="3762"/>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63" t="s">
        <v>2326</v>
      </c>
      <c r="K33" s="3764"/>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63" t="s">
        <v>2328</v>
      </c>
      <c r="K34" s="3764"/>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68">
        <v>1</v>
      </c>
      <c r="K36" s="3769"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68"/>
      <c r="K37" s="3770"/>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68"/>
      <c r="K38" s="3770"/>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68"/>
      <c r="K39" s="3770"/>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68"/>
      <c r="K40" s="3771"/>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78">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7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受贵公司委托，我公司对北京市昌平区七北路42号院2号楼2层201、202、206、210共4套商业用房房地产抵押价值进行了预评估。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估价对象为北京市昌平区七北路42号院2号楼2层201、202、206、210共4套商业用房房地产，为所有。根据《国有土地使用证》[]，估价对象（分摊）出让国有建设用地使用权面积为0平方米，建筑面积为224.79平方米。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七北路42号院2号楼2层201、202、206、210共4套商业用房房地产,属开发建设的综合项目（商业、办公），该项目尚在开发建设中。根据《国有土地使用证》[]，估价对象（分摊）出让国有建设用地使用权面积为0平方米，规划建筑面积为224.79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昌平区七北路42号院2号楼2层201、202、206、210共4套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2025年3月12日（评估专业人员实地查勘之日）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387.68180000000001</v>
      </c>
      <c r="C2" s="1871" t="s">
        <v>1651</v>
      </c>
      <c r="D2" s="1872" t="s">
        <v>1652</v>
      </c>
      <c r="E2" s="2605">
        <f>SUM(E6:E13)</f>
        <v>224.79</v>
      </c>
      <c r="F2" s="2704"/>
      <c r="G2" s="1488"/>
      <c r="H2" s="1488"/>
      <c r="I2" s="1488"/>
      <c r="J2" s="1488"/>
      <c r="K2" s="1488"/>
      <c r="L2" s="1488"/>
      <c r="M2" s="1488"/>
      <c r="N2" s="1488"/>
      <c r="O2" s="1488"/>
      <c r="P2" s="1488"/>
      <c r="Q2" s="1488"/>
      <c r="R2" s="1488"/>
      <c r="S2" s="1488"/>
    </row>
    <row r="3" spans="1:22" ht="15.75">
      <c r="A3" s="1869" t="s">
        <v>686</v>
      </c>
      <c r="B3" s="2599">
        <f ca="1">ROUND(B2*10000/E2,0)</f>
        <v>17246</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80" t="s">
        <v>1654</v>
      </c>
      <c r="C5" s="3781"/>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387.68180000000001</v>
      </c>
      <c r="C6" s="1871" t="s">
        <v>1651</v>
      </c>
      <c r="D6" s="2706"/>
      <c r="E6" s="2604">
        <f>IF(OR(A6=0,F6="否"),0,'数据-取费表'!K6+'数据-取费表'!S6)</f>
        <v>224.79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224.79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696" t="s">
        <v>1667</v>
      </c>
      <c r="D4" s="3697"/>
      <c r="E4" s="3698" t="s">
        <v>1668</v>
      </c>
      <c r="F4" s="3699"/>
      <c r="G4" s="3696" t="s">
        <v>1669</v>
      </c>
      <c r="H4" s="3697"/>
      <c r="I4" s="3696" t="s">
        <v>1670</v>
      </c>
      <c r="J4" s="3697"/>
      <c r="K4" s="1888" t="s">
        <v>1671</v>
      </c>
      <c r="L4" s="2712"/>
      <c r="M4" s="2713"/>
      <c r="N4" s="2713"/>
      <c r="O4" s="2713"/>
      <c r="P4" s="3730" t="s">
        <v>1672</v>
      </c>
      <c r="Q4" s="3731"/>
      <c r="R4" s="3727" t="s">
        <v>1668</v>
      </c>
      <c r="S4" s="3728"/>
      <c r="T4" s="3727" t="s">
        <v>1669</v>
      </c>
      <c r="U4" s="3728"/>
      <c r="V4" s="3709" t="s">
        <v>1670</v>
      </c>
      <c r="W4" s="3709"/>
      <c r="X4" s="1354"/>
      <c r="Y4" s="3727" t="s">
        <v>1672</v>
      </c>
      <c r="Z4" s="3728"/>
      <c r="AA4" s="3726" t="s">
        <v>1668</v>
      </c>
      <c r="AB4" s="3726" t="s">
        <v>1669</v>
      </c>
      <c r="AC4" s="3726" t="s">
        <v>1670</v>
      </c>
    </row>
    <row r="5" spans="1:29" ht="15">
      <c r="A5" s="358"/>
      <c r="B5" s="359"/>
      <c r="C5" s="3729" t="s">
        <v>1673</v>
      </c>
      <c r="D5" s="3687"/>
      <c r="E5" s="3782" t="s">
        <v>1674</v>
      </c>
      <c r="F5" s="3685"/>
      <c r="G5" s="3729" t="s">
        <v>1675</v>
      </c>
      <c r="H5" s="3687"/>
      <c r="I5" s="3729" t="s">
        <v>1676</v>
      </c>
      <c r="J5" s="3687"/>
      <c r="K5" s="1889"/>
      <c r="L5" s="2712"/>
      <c r="M5" s="2713"/>
      <c r="N5" s="2713"/>
      <c r="O5" s="2713"/>
      <c r="P5" s="3732"/>
      <c r="Q5" s="3703"/>
      <c r="R5" s="3682"/>
      <c r="S5" s="3683"/>
      <c r="T5" s="3682"/>
      <c r="U5" s="3683"/>
      <c r="V5" s="3709"/>
      <c r="W5" s="3709"/>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1889" t="s">
        <v>1678</v>
      </c>
      <c r="L6" s="2712"/>
      <c r="M6" s="2713"/>
      <c r="N6" s="2713"/>
      <c r="O6" s="2713"/>
      <c r="P6" s="3733"/>
      <c r="Q6" s="3705"/>
      <c r="R6" s="3682"/>
      <c r="S6" s="3683"/>
      <c r="T6" s="3706"/>
      <c r="U6" s="3707"/>
      <c r="V6" s="3709"/>
      <c r="W6" s="3709"/>
      <c r="X6" s="1354"/>
      <c r="Y6" s="3706"/>
      <c r="Z6" s="3707"/>
      <c r="AA6" s="3677"/>
      <c r="AB6" s="3677"/>
      <c r="AC6" s="3677"/>
    </row>
    <row r="7" spans="1:29" s="108" customFormat="1" ht="15.75" thickBot="1">
      <c r="A7" s="362" t="s">
        <v>1679</v>
      </c>
      <c r="B7" s="363"/>
      <c r="C7" s="364">
        <f>'数据-取费表'!B2</f>
        <v>45728</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8" t="s">
        <v>1680</v>
      </c>
      <c r="Q7" s="3711"/>
      <c r="R7" s="700" t="s">
        <v>20</v>
      </c>
      <c r="S7" s="701">
        <f t="shared" ref="S7:S15" si="0">F7</f>
        <v>0</v>
      </c>
      <c r="T7" s="700" t="s">
        <v>20</v>
      </c>
      <c r="U7" s="701">
        <f t="shared" ref="U7:U15" si="1">H7</f>
        <v>0</v>
      </c>
      <c r="V7" s="700" t="s">
        <v>20</v>
      </c>
      <c r="W7" s="701">
        <f t="shared" ref="W7:W15" si="2">J7</f>
        <v>0</v>
      </c>
      <c r="X7" s="702"/>
      <c r="Y7" s="3678" t="s">
        <v>1680</v>
      </c>
      <c r="Z7" s="3679"/>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8" t="s">
        <v>1683</v>
      </c>
      <c r="Q8" s="3679"/>
      <c r="R8" s="700" t="s">
        <v>20</v>
      </c>
      <c r="S8" s="701">
        <f t="shared" si="0"/>
        <v>100</v>
      </c>
      <c r="T8" s="700" t="s">
        <v>20</v>
      </c>
      <c r="U8" s="701">
        <f t="shared" si="1"/>
        <v>100</v>
      </c>
      <c r="V8" s="700" t="s">
        <v>20</v>
      </c>
      <c r="W8" s="701">
        <f t="shared" si="2"/>
        <v>100</v>
      </c>
      <c r="X8" s="702"/>
      <c r="Y8" s="3678" t="s">
        <v>1683</v>
      </c>
      <c r="Z8" s="3679"/>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92"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92"/>
      <c r="Q10" s="1342" t="str">
        <f t="shared" si="6"/>
        <v>土地使用年限（年）</v>
      </c>
      <c r="R10" s="700" t="s">
        <v>14</v>
      </c>
      <c r="S10" s="701">
        <f t="shared" si="0"/>
        <v>100</v>
      </c>
      <c r="T10" s="700" t="s">
        <v>14</v>
      </c>
      <c r="U10" s="701">
        <f t="shared" si="1"/>
        <v>100</v>
      </c>
      <c r="V10" s="700" t="s">
        <v>14</v>
      </c>
      <c r="W10" s="701">
        <f t="shared" si="2"/>
        <v>100</v>
      </c>
      <c r="X10" s="702"/>
      <c r="Y10" s="364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2"/>
      <c r="Q11" s="1342" t="str">
        <f t="shared" si="6"/>
        <v>容积率</v>
      </c>
      <c r="R11" s="700" t="s">
        <v>18</v>
      </c>
      <c r="S11" s="701" t="e">
        <f t="shared" si="0"/>
        <v>#N/A</v>
      </c>
      <c r="T11" s="700" t="s">
        <v>18</v>
      </c>
      <c r="U11" s="701" t="e">
        <f t="shared" si="1"/>
        <v>#N/A</v>
      </c>
      <c r="V11" s="700" t="s">
        <v>18</v>
      </c>
      <c r="W11" s="701" t="e">
        <f t="shared" si="2"/>
        <v>#N/A</v>
      </c>
      <c r="X11" s="702"/>
      <c r="Y11" s="364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92"/>
      <c r="Q12" s="1342">
        <f t="shared" si="6"/>
        <v>111</v>
      </c>
      <c r="R12" s="700" t="s">
        <v>18</v>
      </c>
      <c r="S12" s="701">
        <f t="shared" si="0"/>
        <v>100</v>
      </c>
      <c r="T12" s="700" t="s">
        <v>18</v>
      </c>
      <c r="U12" s="701">
        <f t="shared" si="1"/>
        <v>100</v>
      </c>
      <c r="V12" s="700" t="s">
        <v>18</v>
      </c>
      <c r="W12" s="701">
        <f t="shared" si="2"/>
        <v>100</v>
      </c>
      <c r="X12" s="702"/>
      <c r="Y12" s="36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92"/>
      <c r="Q13" s="1342">
        <f t="shared" si="6"/>
        <v>111</v>
      </c>
      <c r="R13" s="700" t="s">
        <v>18</v>
      </c>
      <c r="S13" s="701">
        <f t="shared" si="0"/>
        <v>100</v>
      </c>
      <c r="T13" s="700" t="s">
        <v>18</v>
      </c>
      <c r="U13" s="701">
        <f t="shared" si="1"/>
        <v>100</v>
      </c>
      <c r="V13" s="700" t="s">
        <v>18</v>
      </c>
      <c r="W13" s="701">
        <f t="shared" si="2"/>
        <v>100</v>
      </c>
      <c r="X13" s="702"/>
      <c r="Y13" s="364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92"/>
      <c r="Q14" s="1342">
        <f t="shared" si="6"/>
        <v>111</v>
      </c>
      <c r="R14" s="700" t="s">
        <v>18</v>
      </c>
      <c r="S14" s="701">
        <f t="shared" si="0"/>
        <v>100</v>
      </c>
      <c r="T14" s="700" t="s">
        <v>18</v>
      </c>
      <c r="U14" s="701">
        <f t="shared" si="1"/>
        <v>100</v>
      </c>
      <c r="V14" s="700" t="s">
        <v>18</v>
      </c>
      <c r="W14" s="701">
        <f t="shared" si="2"/>
        <v>100</v>
      </c>
      <c r="X14" s="702"/>
      <c r="Y14" s="364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1" t="str">
        <f t="shared" si="6"/>
        <v>居住社区成熟度</v>
      </c>
      <c r="R15" s="704" t="s">
        <v>18</v>
      </c>
      <c r="S15" s="705">
        <f t="shared" si="0"/>
        <v>100</v>
      </c>
      <c r="T15" s="704" t="s">
        <v>18</v>
      </c>
      <c r="U15" s="705">
        <f t="shared" si="1"/>
        <v>100</v>
      </c>
      <c r="V15" s="704" t="s">
        <v>18</v>
      </c>
      <c r="W15" s="705">
        <f t="shared" si="2"/>
        <v>100</v>
      </c>
      <c r="X15" s="1354"/>
      <c r="Y15" s="371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13"/>
      <c r="Q16" s="1351"/>
      <c r="R16" s="704"/>
      <c r="S16" s="705"/>
      <c r="T16" s="704"/>
      <c r="U16" s="705"/>
      <c r="V16" s="704"/>
      <c r="W16" s="705"/>
      <c r="X16" s="1354"/>
      <c r="Y16" s="3715"/>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1" t="str">
        <f>B17</f>
        <v>交通便捷度</v>
      </c>
      <c r="R17" s="704" t="s">
        <v>18</v>
      </c>
      <c r="S17" s="705">
        <f>F17</f>
        <v>100</v>
      </c>
      <c r="T17" s="704" t="s">
        <v>18</v>
      </c>
      <c r="U17" s="705">
        <f>H17</f>
        <v>100</v>
      </c>
      <c r="V17" s="704" t="s">
        <v>18</v>
      </c>
      <c r="W17" s="705">
        <f>J17</f>
        <v>100</v>
      </c>
      <c r="X17" s="1354"/>
      <c r="Y17" s="371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13"/>
      <c r="Q18" s="1351"/>
      <c r="R18" s="704"/>
      <c r="S18" s="705"/>
      <c r="T18" s="704"/>
      <c r="U18" s="705"/>
      <c r="V18" s="704"/>
      <c r="W18" s="705"/>
      <c r="X18" s="1354"/>
      <c r="Y18" s="3715"/>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1" t="str">
        <f>B19</f>
        <v>公共配套设施</v>
      </c>
      <c r="R19" s="704" t="s">
        <v>18</v>
      </c>
      <c r="S19" s="705">
        <f>F19</f>
        <v>100</v>
      </c>
      <c r="T19" s="704" t="s">
        <v>18</v>
      </c>
      <c r="U19" s="705">
        <f>H19</f>
        <v>100</v>
      </c>
      <c r="V19" s="704" t="s">
        <v>18</v>
      </c>
      <c r="W19" s="705">
        <f>J19</f>
        <v>100</v>
      </c>
      <c r="X19" s="1354"/>
      <c r="Y19" s="371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13"/>
      <c r="Q20" s="1351"/>
      <c r="R20" s="704"/>
      <c r="S20" s="705"/>
      <c r="T20" s="704"/>
      <c r="U20" s="705"/>
      <c r="V20" s="704"/>
      <c r="W20" s="705"/>
      <c r="X20" s="1354"/>
      <c r="Y20" s="3715"/>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13"/>
      <c r="Q22" s="1351"/>
      <c r="R22" s="704"/>
      <c r="S22" s="705"/>
      <c r="T22" s="704"/>
      <c r="U22" s="705"/>
      <c r="V22" s="704"/>
      <c r="W22" s="705"/>
      <c r="X22" s="1354"/>
      <c r="Y22" s="3715"/>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1" t="str">
        <f>B23</f>
        <v>自然及人文环境</v>
      </c>
      <c r="R23" s="704" t="s">
        <v>18</v>
      </c>
      <c r="S23" s="705">
        <f>F23</f>
        <v>100</v>
      </c>
      <c r="T23" s="704" t="s">
        <v>18</v>
      </c>
      <c r="U23" s="705">
        <f>H23</f>
        <v>100</v>
      </c>
      <c r="V23" s="704" t="s">
        <v>18</v>
      </c>
      <c r="W23" s="705">
        <f>J23</f>
        <v>100</v>
      </c>
      <c r="X23" s="1354"/>
      <c r="Y23" s="371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13"/>
      <c r="Q24" s="1351"/>
      <c r="R24" s="704"/>
      <c r="S24" s="705"/>
      <c r="T24" s="704"/>
      <c r="U24" s="705"/>
      <c r="V24" s="704"/>
      <c r="W24" s="705"/>
      <c r="X24" s="1354"/>
      <c r="Y24" s="371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1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13"/>
      <c r="Q26" s="1351" t="str">
        <f t="shared" si="11"/>
        <v>朝向</v>
      </c>
      <c r="R26" s="704" t="s">
        <v>18</v>
      </c>
      <c r="S26" s="705">
        <f t="shared" si="12"/>
        <v>100</v>
      </c>
      <c r="T26" s="704" t="s">
        <v>18</v>
      </c>
      <c r="U26" s="705">
        <f t="shared" si="13"/>
        <v>100</v>
      </c>
      <c r="V26" s="704" t="s">
        <v>18</v>
      </c>
      <c r="W26" s="705">
        <f t="shared" si="14"/>
        <v>100</v>
      </c>
      <c r="X26" s="1354"/>
      <c r="Y26" s="371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13"/>
      <c r="Q27" s="1342">
        <f t="shared" si="11"/>
        <v>111</v>
      </c>
      <c r="R27" s="700" t="s">
        <v>18</v>
      </c>
      <c r="S27" s="701">
        <f t="shared" si="12"/>
        <v>100</v>
      </c>
      <c r="T27" s="700" t="s">
        <v>18</v>
      </c>
      <c r="U27" s="701">
        <f t="shared" si="13"/>
        <v>100</v>
      </c>
      <c r="V27" s="700" t="s">
        <v>18</v>
      </c>
      <c r="W27" s="701">
        <f t="shared" si="14"/>
        <v>100</v>
      </c>
      <c r="X27" s="702"/>
      <c r="Y27" s="371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13"/>
      <c r="Q28" s="1351">
        <f t="shared" si="11"/>
        <v>111</v>
      </c>
      <c r="R28" s="704" t="s">
        <v>18</v>
      </c>
      <c r="S28" s="705">
        <f t="shared" si="12"/>
        <v>100</v>
      </c>
      <c r="T28" s="704" t="s">
        <v>18</v>
      </c>
      <c r="U28" s="705">
        <f t="shared" si="13"/>
        <v>100</v>
      </c>
      <c r="V28" s="704" t="s">
        <v>18</v>
      </c>
      <c r="W28" s="705">
        <f t="shared" si="14"/>
        <v>100</v>
      </c>
      <c r="X28" s="1354"/>
      <c r="Y28" s="371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13"/>
      <c r="Q29" s="1351">
        <f t="shared" si="11"/>
        <v>111</v>
      </c>
      <c r="R29" s="704" t="s">
        <v>18</v>
      </c>
      <c r="S29" s="705">
        <f t="shared" si="12"/>
        <v>100</v>
      </c>
      <c r="T29" s="704" t="s">
        <v>18</v>
      </c>
      <c r="U29" s="705">
        <f t="shared" si="13"/>
        <v>100</v>
      </c>
      <c r="V29" s="704" t="s">
        <v>18</v>
      </c>
      <c r="W29" s="705">
        <f t="shared" si="14"/>
        <v>100</v>
      </c>
      <c r="X29" s="1354"/>
      <c r="Y29" s="371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13"/>
      <c r="Q30" s="1351">
        <f t="shared" si="11"/>
        <v>111</v>
      </c>
      <c r="R30" s="704" t="s">
        <v>18</v>
      </c>
      <c r="S30" s="705">
        <f t="shared" si="12"/>
        <v>100</v>
      </c>
      <c r="T30" s="704" t="s">
        <v>18</v>
      </c>
      <c r="U30" s="705">
        <f t="shared" si="13"/>
        <v>100</v>
      </c>
      <c r="V30" s="704" t="s">
        <v>18</v>
      </c>
      <c r="W30" s="705">
        <f t="shared" si="14"/>
        <v>100</v>
      </c>
      <c r="X30" s="1354"/>
      <c r="Y30" s="371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13"/>
      <c r="Q31" s="1351">
        <f t="shared" si="11"/>
        <v>111</v>
      </c>
      <c r="R31" s="704" t="s">
        <v>18</v>
      </c>
      <c r="S31" s="705">
        <f t="shared" si="12"/>
        <v>100</v>
      </c>
      <c r="T31" s="704" t="s">
        <v>18</v>
      </c>
      <c r="U31" s="705">
        <f t="shared" si="13"/>
        <v>100</v>
      </c>
      <c r="V31" s="704" t="s">
        <v>18</v>
      </c>
      <c r="W31" s="705">
        <f t="shared" si="14"/>
        <v>100</v>
      </c>
      <c r="X31" s="1354"/>
      <c r="Y31" s="371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16" t="s">
        <v>1696</v>
      </c>
      <c r="Q32" s="1351" t="str">
        <f t="shared" si="11"/>
        <v>建筑类型</v>
      </c>
      <c r="R32" s="704" t="s">
        <v>18</v>
      </c>
      <c r="S32" s="705">
        <f t="shared" si="12"/>
        <v>100</v>
      </c>
      <c r="T32" s="704" t="s">
        <v>18</v>
      </c>
      <c r="U32" s="705">
        <f t="shared" si="13"/>
        <v>100</v>
      </c>
      <c r="V32" s="704" t="s">
        <v>18</v>
      </c>
      <c r="W32" s="705">
        <f t="shared" si="14"/>
        <v>100</v>
      </c>
      <c r="X32" s="1354"/>
      <c r="Y32" s="371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17"/>
      <c r="Q33" s="706" t="str">
        <f t="shared" si="11"/>
        <v>项目建筑规模</v>
      </c>
      <c r="R33" s="707" t="s">
        <v>18</v>
      </c>
      <c r="S33" s="708" t="e">
        <f t="shared" si="12"/>
        <v>#N/A</v>
      </c>
      <c r="T33" s="707" t="s">
        <v>18</v>
      </c>
      <c r="U33" s="708" t="e">
        <f t="shared" si="13"/>
        <v>#N/A</v>
      </c>
      <c r="V33" s="707" t="s">
        <v>18</v>
      </c>
      <c r="W33" s="708" t="e">
        <f t="shared" si="14"/>
        <v>#N/A</v>
      </c>
      <c r="X33" s="709"/>
      <c r="Y33" s="371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17"/>
      <c r="Q34" s="1351" t="str">
        <f t="shared" si="11"/>
        <v>建筑结构</v>
      </c>
      <c r="R34" s="704" t="s">
        <v>18</v>
      </c>
      <c r="S34" s="705">
        <f t="shared" si="12"/>
        <v>100</v>
      </c>
      <c r="T34" s="704" t="s">
        <v>18</v>
      </c>
      <c r="U34" s="705">
        <f t="shared" si="13"/>
        <v>100</v>
      </c>
      <c r="V34" s="704" t="s">
        <v>18</v>
      </c>
      <c r="W34" s="705">
        <f t="shared" si="14"/>
        <v>100</v>
      </c>
      <c r="X34" s="1354"/>
      <c r="Y34" s="371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7"/>
      <c r="Q35" s="1351" t="str">
        <f t="shared" si="11"/>
        <v>建筑品质</v>
      </c>
      <c r="R35" s="704" t="s">
        <v>18</v>
      </c>
      <c r="S35" s="705">
        <f t="shared" si="12"/>
        <v>100</v>
      </c>
      <c r="T35" s="704" t="s">
        <v>18</v>
      </c>
      <c r="U35" s="705">
        <f t="shared" si="13"/>
        <v>100</v>
      </c>
      <c r="V35" s="704" t="s">
        <v>18</v>
      </c>
      <c r="W35" s="705">
        <f t="shared" si="14"/>
        <v>100</v>
      </c>
      <c r="X35" s="1354"/>
      <c r="Y35" s="371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17"/>
      <c r="Q36" s="1351" t="str">
        <f t="shared" si="11"/>
        <v>公共部分装修</v>
      </c>
      <c r="R36" s="704" t="s">
        <v>18</v>
      </c>
      <c r="S36" s="705">
        <f t="shared" si="12"/>
        <v>100</v>
      </c>
      <c r="T36" s="704" t="s">
        <v>18</v>
      </c>
      <c r="U36" s="705">
        <f t="shared" si="13"/>
        <v>100</v>
      </c>
      <c r="V36" s="704" t="s">
        <v>18</v>
      </c>
      <c r="W36" s="705">
        <f t="shared" si="14"/>
        <v>100</v>
      </c>
      <c r="X36" s="1354"/>
      <c r="Y36" s="371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7"/>
      <c r="Q37" s="1342" t="str">
        <f t="shared" si="11"/>
        <v>成新度</v>
      </c>
      <c r="R37" s="700" t="s">
        <v>18</v>
      </c>
      <c r="S37" s="701" t="e">
        <f t="shared" si="12"/>
        <v>#N/A</v>
      </c>
      <c r="T37" s="700" t="s">
        <v>18</v>
      </c>
      <c r="U37" s="701" t="e">
        <f t="shared" si="13"/>
        <v>#N/A</v>
      </c>
      <c r="V37" s="700" t="s">
        <v>18</v>
      </c>
      <c r="W37" s="701" t="e">
        <f t="shared" si="14"/>
        <v>#N/A</v>
      </c>
      <c r="X37" s="702"/>
      <c r="Y37" s="371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17" t="s">
        <v>1696</v>
      </c>
      <c r="Q38" s="1351" t="str">
        <f t="shared" si="11"/>
        <v>物业管理</v>
      </c>
      <c r="R38" s="704" t="s">
        <v>18</v>
      </c>
      <c r="S38" s="705">
        <f t="shared" si="12"/>
        <v>100</v>
      </c>
      <c r="T38" s="704" t="s">
        <v>18</v>
      </c>
      <c r="U38" s="705">
        <f t="shared" si="13"/>
        <v>100</v>
      </c>
      <c r="V38" s="704" t="s">
        <v>18</v>
      </c>
      <c r="W38" s="705">
        <f t="shared" si="14"/>
        <v>100</v>
      </c>
      <c r="X38" s="1354"/>
      <c r="Y38" s="371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17"/>
      <c r="Q39" s="1351" t="str">
        <f t="shared" si="11"/>
        <v>市政基础设施</v>
      </c>
      <c r="R39" s="704" t="s">
        <v>18</v>
      </c>
      <c r="S39" s="705">
        <f t="shared" si="12"/>
        <v>100</v>
      </c>
      <c r="T39" s="704" t="s">
        <v>18</v>
      </c>
      <c r="U39" s="705">
        <f t="shared" si="13"/>
        <v>100</v>
      </c>
      <c r="V39" s="704" t="s">
        <v>18</v>
      </c>
      <c r="W39" s="705">
        <f t="shared" si="14"/>
        <v>100</v>
      </c>
      <c r="X39" s="1354"/>
      <c r="Y39" s="371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17"/>
      <c r="Q40" s="1351" t="str">
        <f t="shared" si="11"/>
        <v>房型</v>
      </c>
      <c r="R40" s="704" t="s">
        <v>18</v>
      </c>
      <c r="S40" s="705">
        <f t="shared" si="12"/>
        <v>100</v>
      </c>
      <c r="T40" s="704" t="s">
        <v>18</v>
      </c>
      <c r="U40" s="705">
        <f t="shared" si="13"/>
        <v>100</v>
      </c>
      <c r="V40" s="704" t="s">
        <v>18</v>
      </c>
      <c r="W40" s="705">
        <f t="shared" si="14"/>
        <v>100</v>
      </c>
      <c r="X40" s="1354"/>
      <c r="Y40" s="371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17"/>
      <c r="Q41" s="706" t="str">
        <f t="shared" si="11"/>
        <v>单套/主力户型建筑面积</v>
      </c>
      <c r="R41" s="707" t="s">
        <v>18</v>
      </c>
      <c r="S41" s="708">
        <f t="shared" si="12"/>
        <v>100</v>
      </c>
      <c r="T41" s="707" t="s">
        <v>18</v>
      </c>
      <c r="U41" s="708">
        <f t="shared" si="13"/>
        <v>100</v>
      </c>
      <c r="V41" s="707" t="s">
        <v>18</v>
      </c>
      <c r="W41" s="708">
        <f t="shared" si="14"/>
        <v>100</v>
      </c>
      <c r="X41" s="709"/>
      <c r="Y41" s="371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17"/>
      <c r="Q42" s="1351" t="str">
        <f t="shared" si="11"/>
        <v>内部装修</v>
      </c>
      <c r="R42" s="704" t="s">
        <v>18</v>
      </c>
      <c r="S42" s="705">
        <f t="shared" si="12"/>
        <v>100</v>
      </c>
      <c r="T42" s="704" t="s">
        <v>18</v>
      </c>
      <c r="U42" s="705">
        <f t="shared" si="13"/>
        <v>100</v>
      </c>
      <c r="V42" s="704" t="s">
        <v>18</v>
      </c>
      <c r="W42" s="705">
        <f t="shared" si="14"/>
        <v>100</v>
      </c>
      <c r="X42" s="1354"/>
      <c r="Y42" s="371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17"/>
      <c r="Q43" s="1351" t="str">
        <f t="shared" si="11"/>
        <v>内部装修维护情况</v>
      </c>
      <c r="R43" s="704" t="s">
        <v>18</v>
      </c>
      <c r="S43" s="705">
        <f t="shared" si="12"/>
        <v>100</v>
      </c>
      <c r="T43" s="704" t="s">
        <v>18</v>
      </c>
      <c r="U43" s="705">
        <f t="shared" si="13"/>
        <v>100</v>
      </c>
      <c r="V43" s="704" t="s">
        <v>18</v>
      </c>
      <c r="W43" s="705">
        <f t="shared" si="14"/>
        <v>100</v>
      </c>
      <c r="X43" s="1354"/>
      <c r="Y43" s="371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17"/>
      <c r="Q44" s="1342">
        <f t="shared" si="11"/>
        <v>111</v>
      </c>
      <c r="R44" s="700" t="s">
        <v>18</v>
      </c>
      <c r="S44" s="701">
        <f t="shared" si="12"/>
        <v>100</v>
      </c>
      <c r="T44" s="700" t="s">
        <v>18</v>
      </c>
      <c r="U44" s="701">
        <f t="shared" si="13"/>
        <v>100</v>
      </c>
      <c r="V44" s="700" t="s">
        <v>18</v>
      </c>
      <c r="W44" s="701">
        <f t="shared" si="14"/>
        <v>100</v>
      </c>
      <c r="X44" s="702"/>
      <c r="Y44" s="371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7"/>
      <c r="Q45" s="1351">
        <f t="shared" si="11"/>
        <v>111</v>
      </c>
      <c r="R45" s="704" t="s">
        <v>18</v>
      </c>
      <c r="S45" s="705">
        <f t="shared" si="12"/>
        <v>100</v>
      </c>
      <c r="T45" s="704" t="s">
        <v>18</v>
      </c>
      <c r="U45" s="705">
        <f t="shared" si="13"/>
        <v>100</v>
      </c>
      <c r="V45" s="704" t="s">
        <v>18</v>
      </c>
      <c r="W45" s="705">
        <f t="shared" si="14"/>
        <v>100</v>
      </c>
      <c r="X45" s="1354"/>
      <c r="Y45" s="371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8"/>
      <c r="Q46" s="1351">
        <f t="shared" si="11"/>
        <v>111</v>
      </c>
      <c r="R46" s="704" t="s">
        <v>17</v>
      </c>
      <c r="S46" s="705">
        <f t="shared" si="12"/>
        <v>100</v>
      </c>
      <c r="T46" s="704" t="s">
        <v>17</v>
      </c>
      <c r="U46" s="705">
        <f t="shared" si="13"/>
        <v>100</v>
      </c>
      <c r="V46" s="704" t="s">
        <v>17</v>
      </c>
      <c r="W46" s="705">
        <f t="shared" si="14"/>
        <v>100</v>
      </c>
      <c r="X46" s="1354"/>
      <c r="Y46" s="372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21" t="str">
        <f>A47</f>
        <v>成交单价（元/平方米）</v>
      </c>
      <c r="Q47" s="3721"/>
      <c r="R47" s="3722">
        <f>E47</f>
        <v>0</v>
      </c>
      <c r="S47" s="3722"/>
      <c r="T47" s="3722">
        <f>G47</f>
        <v>0</v>
      </c>
      <c r="U47" s="3722"/>
      <c r="V47" s="3722">
        <f>I47</f>
        <v>0</v>
      </c>
      <c r="W47" s="372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0" priority="19" stopIfTrue="1" operator="containsText" text="超过">
      <formula>NOT(ISERROR(SEARCH("超过",F52)))</formula>
    </cfRule>
  </conditionalFormatting>
  <conditionalFormatting sqref="J54">
    <cfRule type="containsText" dxfId="109" priority="18" stopIfTrue="1" operator="containsText" text="超过">
      <formula>NOT(ISERROR(SEARCH("超过",J54)))</formula>
    </cfRule>
  </conditionalFormatting>
  <conditionalFormatting sqref="H54">
    <cfRule type="containsText" dxfId="108" priority="17" stopIfTrue="1" operator="containsText" text="超过">
      <formula>NOT(ISERROR(SEARCH("超过",H54)))</formula>
    </cfRule>
  </conditionalFormatting>
  <conditionalFormatting sqref="F54">
    <cfRule type="containsText" dxfId="107" priority="16" stopIfTrue="1" operator="containsText" text="超过">
      <formula>NOT(ISERROR(SEARCH("超过",F54)))</formula>
    </cfRule>
  </conditionalFormatting>
  <conditionalFormatting sqref="F53 H53 J53">
    <cfRule type="containsText" dxfId="106" priority="15" stopIfTrue="1" operator="containsText" text="超过">
      <formula>NOT(ISERROR(SEARCH("超过",F53)))</formula>
    </cfRule>
  </conditionalFormatting>
  <conditionalFormatting sqref="E52">
    <cfRule type="expression" dxfId="105" priority="14" stopIfTrue="1">
      <formula>$F$52="超过30%"</formula>
    </cfRule>
  </conditionalFormatting>
  <conditionalFormatting sqref="G54">
    <cfRule type="expression" dxfId="104" priority="12" stopIfTrue="1">
      <formula>$H$54="超过30%"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224.79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912"/>
      <c r="M4" s="913"/>
      <c r="N4" s="913"/>
      <c r="O4" s="913"/>
      <c r="P4" s="3730" t="s">
        <v>1775</v>
      </c>
      <c r="Q4" s="3731"/>
      <c r="R4" s="3727" t="s">
        <v>1771</v>
      </c>
      <c r="S4" s="3728"/>
      <c r="T4" s="3727" t="s">
        <v>1772</v>
      </c>
      <c r="U4" s="3728"/>
      <c r="V4" s="3709" t="s">
        <v>1773</v>
      </c>
      <c r="W4" s="3709"/>
      <c r="X4" s="1354"/>
      <c r="Y4" s="3727" t="s">
        <v>1775</v>
      </c>
      <c r="Z4" s="3728"/>
      <c r="AA4" s="3726" t="s">
        <v>1771</v>
      </c>
      <c r="AB4" s="3676" t="s">
        <v>1772</v>
      </c>
      <c r="AC4" s="3726" t="s">
        <v>1773</v>
      </c>
    </row>
    <row r="5" spans="1:29" ht="15">
      <c r="A5" s="358"/>
      <c r="B5" s="359"/>
      <c r="C5" s="3729" t="s">
        <v>1673</v>
      </c>
      <c r="D5" s="3687"/>
      <c r="E5" s="3782" t="s">
        <v>1674</v>
      </c>
      <c r="F5" s="3685"/>
      <c r="G5" s="3729" t="s">
        <v>1675</v>
      </c>
      <c r="H5" s="3687"/>
      <c r="I5" s="3729" t="s">
        <v>1676</v>
      </c>
      <c r="J5" s="3687"/>
      <c r="K5" s="559"/>
      <c r="L5" s="912"/>
      <c r="M5" s="913"/>
      <c r="N5" s="913"/>
      <c r="O5" s="913"/>
      <c r="P5" s="3732"/>
      <c r="Q5" s="3703"/>
      <c r="R5" s="3682"/>
      <c r="S5" s="3683"/>
      <c r="T5" s="3682"/>
      <c r="U5" s="3683"/>
      <c r="V5" s="3709"/>
      <c r="W5" s="3709"/>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912"/>
      <c r="M6" s="913"/>
      <c r="N6" s="913"/>
      <c r="O6" s="913"/>
      <c r="P6" s="3733"/>
      <c r="Q6" s="3705"/>
      <c r="R6" s="3682"/>
      <c r="S6" s="3683"/>
      <c r="T6" s="3706"/>
      <c r="U6" s="3707"/>
      <c r="V6" s="3709"/>
      <c r="W6" s="3709"/>
      <c r="X6" s="1354"/>
      <c r="Y6" s="3706"/>
      <c r="Z6" s="3707"/>
      <c r="AA6" s="3677"/>
      <c r="AB6" s="3677"/>
      <c r="AC6" s="3677"/>
    </row>
    <row r="7" spans="1:29" s="108" customFormat="1" ht="15.75" thickBot="1">
      <c r="A7" s="362" t="s">
        <v>1679</v>
      </c>
      <c r="B7" s="363"/>
      <c r="C7" s="364">
        <f>'数据-取费表'!B2</f>
        <v>45728</v>
      </c>
      <c r="D7" s="365">
        <v>100</v>
      </c>
      <c r="E7" s="366"/>
      <c r="F7" s="367">
        <f>SUMIF(52:52,YEAR(E7)&amp;"-"&amp;MONTH(E7),53:53)</f>
        <v>0</v>
      </c>
      <c r="G7" s="366"/>
      <c r="H7" s="365">
        <f>SUMIF(52:52,YEAR(G7)&amp;"-"&amp;MONTH(G7),53:53)</f>
        <v>0</v>
      </c>
      <c r="I7" s="366"/>
      <c r="J7" s="365">
        <f>SUMIF(52:52,YEAR(I7)&amp;"-"&amp;MONTH(I7),53:53)</f>
        <v>0</v>
      </c>
      <c r="K7" s="560"/>
      <c r="L7" s="914"/>
      <c r="M7" s="915"/>
      <c r="N7" s="915"/>
      <c r="O7" s="915"/>
      <c r="P7" s="3678" t="s">
        <v>1680</v>
      </c>
      <c r="Q7" s="3711"/>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8" t="s">
        <v>1683</v>
      </c>
      <c r="Q8" s="3679"/>
      <c r="R8" s="700" t="s">
        <v>14</v>
      </c>
      <c r="S8" s="701">
        <f t="shared" si="0"/>
        <v>100</v>
      </c>
      <c r="T8" s="700" t="s">
        <v>14</v>
      </c>
      <c r="U8" s="701">
        <f t="shared" si="1"/>
        <v>100</v>
      </c>
      <c r="V8" s="700" t="s">
        <v>14</v>
      </c>
      <c r="W8" s="701">
        <f t="shared" si="2"/>
        <v>100</v>
      </c>
      <c r="X8" s="702"/>
      <c r="Y8" s="3678" t="s">
        <v>1683</v>
      </c>
      <c r="Z8" s="3679"/>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1"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21"/>
      <c r="Q10" s="1342" t="str">
        <f t="shared" si="6"/>
        <v>土地使用年限（年）</v>
      </c>
      <c r="R10" s="700" t="s">
        <v>14</v>
      </c>
      <c r="S10" s="701">
        <f t="shared" si="0"/>
        <v>100</v>
      </c>
      <c r="T10" s="700" t="s">
        <v>14</v>
      </c>
      <c r="U10" s="701">
        <f t="shared" si="1"/>
        <v>100</v>
      </c>
      <c r="V10" s="700" t="s">
        <v>14</v>
      </c>
      <c r="W10" s="701">
        <f t="shared" si="2"/>
        <v>100</v>
      </c>
      <c r="X10" s="702"/>
      <c r="Y10" s="364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1"/>
      <c r="Q11" s="1342" t="str">
        <f t="shared" si="6"/>
        <v>容积率</v>
      </c>
      <c r="R11" s="700" t="s">
        <v>14</v>
      </c>
      <c r="S11" s="701">
        <f t="shared" si="0"/>
        <v>100</v>
      </c>
      <c r="T11" s="700" t="s">
        <v>14</v>
      </c>
      <c r="U11" s="701">
        <f t="shared" si="1"/>
        <v>100</v>
      </c>
      <c r="V11" s="700" t="s">
        <v>14</v>
      </c>
      <c r="W11" s="701">
        <f t="shared" si="2"/>
        <v>100</v>
      </c>
      <c r="X11" s="702"/>
      <c r="Y11" s="364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1"/>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1"/>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1"/>
      <c r="Q14" s="1342">
        <f t="shared" si="6"/>
        <v>111</v>
      </c>
      <c r="R14" s="700" t="s">
        <v>14</v>
      </c>
      <c r="S14" s="701">
        <f t="shared" si="0"/>
        <v>100</v>
      </c>
      <c r="T14" s="700" t="s">
        <v>14</v>
      </c>
      <c r="U14" s="701">
        <f t="shared" si="1"/>
        <v>100</v>
      </c>
      <c r="V14" s="700" t="s">
        <v>14</v>
      </c>
      <c r="W14" s="701">
        <f t="shared" si="2"/>
        <v>100</v>
      </c>
      <c r="X14" s="702"/>
      <c r="Y14" s="364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4" t="s">
        <v>1691</v>
      </c>
      <c r="Q15" s="1351" t="str">
        <f t="shared" si="6"/>
        <v>产业集聚程度</v>
      </c>
      <c r="R15" s="704" t="s">
        <v>14</v>
      </c>
      <c r="S15" s="705">
        <f t="shared" si="0"/>
        <v>100</v>
      </c>
      <c r="T15" s="704" t="s">
        <v>14</v>
      </c>
      <c r="U15" s="705">
        <f t="shared" si="1"/>
        <v>100</v>
      </c>
      <c r="V15" s="704" t="s">
        <v>14</v>
      </c>
      <c r="W15" s="705">
        <f t="shared" si="2"/>
        <v>100</v>
      </c>
      <c r="X15" s="1354"/>
      <c r="Y15" s="371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5"/>
      <c r="Q16" s="1351"/>
      <c r="R16" s="704"/>
      <c r="S16" s="705"/>
      <c r="T16" s="704"/>
      <c r="U16" s="705"/>
      <c r="V16" s="704"/>
      <c r="W16" s="705"/>
      <c r="X16" s="1354"/>
      <c r="Y16" s="3715"/>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5"/>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5"/>
      <c r="Q18" s="1351"/>
      <c r="R18" s="704"/>
      <c r="S18" s="705"/>
      <c r="T18" s="704"/>
      <c r="U18" s="705"/>
      <c r="V18" s="704"/>
      <c r="W18" s="705"/>
      <c r="X18" s="1354"/>
      <c r="Y18" s="3715"/>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5"/>
      <c r="Q19" s="1351" t="str">
        <f>B19</f>
        <v>公共配套设施</v>
      </c>
      <c r="R19" s="704" t="s">
        <v>14</v>
      </c>
      <c r="S19" s="705">
        <f>F19</f>
        <v>100</v>
      </c>
      <c r="T19" s="704" t="s">
        <v>14</v>
      </c>
      <c r="U19" s="705">
        <f>H19</f>
        <v>100</v>
      </c>
      <c r="V19" s="704" t="s">
        <v>14</v>
      </c>
      <c r="W19" s="705">
        <f>J19</f>
        <v>100</v>
      </c>
      <c r="X19" s="1354"/>
      <c r="Y19" s="371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5"/>
      <c r="Q20" s="1351"/>
      <c r="R20" s="704"/>
      <c r="S20" s="705"/>
      <c r="T20" s="704"/>
      <c r="U20" s="705"/>
      <c r="V20" s="704"/>
      <c r="W20" s="705"/>
      <c r="X20" s="1354"/>
      <c r="Y20" s="3715"/>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5"/>
      <c r="Q21" s="1351" t="str">
        <f>B21</f>
        <v>基础设施水平</v>
      </c>
      <c r="R21" s="704" t="s">
        <v>14</v>
      </c>
      <c r="S21" s="705">
        <f>F21</f>
        <v>100</v>
      </c>
      <c r="T21" s="704" t="s">
        <v>14</v>
      </c>
      <c r="U21" s="705">
        <f>H21</f>
        <v>100</v>
      </c>
      <c r="V21" s="704" t="s">
        <v>14</v>
      </c>
      <c r="W21" s="705">
        <f>J21</f>
        <v>100</v>
      </c>
      <c r="X21" s="1354"/>
      <c r="Y21" s="371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5"/>
      <c r="Q22" s="1351"/>
      <c r="R22" s="704"/>
      <c r="S22" s="705"/>
      <c r="T22" s="704"/>
      <c r="U22" s="705"/>
      <c r="V22" s="704"/>
      <c r="W22" s="705"/>
      <c r="X22" s="1354"/>
      <c r="Y22" s="3715"/>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5"/>
      <c r="Q23" s="1351" t="str">
        <f>B23</f>
        <v>环境质量</v>
      </c>
      <c r="R23" s="704" t="s">
        <v>14</v>
      </c>
      <c r="S23" s="705">
        <f>F23</f>
        <v>100</v>
      </c>
      <c r="T23" s="704" t="s">
        <v>14</v>
      </c>
      <c r="U23" s="705">
        <f>H23</f>
        <v>100</v>
      </c>
      <c r="V23" s="704" t="s">
        <v>14</v>
      </c>
      <c r="W23" s="705">
        <f>J23</f>
        <v>100</v>
      </c>
      <c r="X23" s="1354"/>
      <c r="Y23" s="371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5"/>
      <c r="Q24" s="1351"/>
      <c r="R24" s="704"/>
      <c r="S24" s="705"/>
      <c r="T24" s="704"/>
      <c r="U24" s="705"/>
      <c r="V24" s="704"/>
      <c r="W24" s="705"/>
      <c r="X24" s="1354"/>
      <c r="Y24" s="371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5"/>
      <c r="Q25" s="1351">
        <f>B25</f>
        <v>111</v>
      </c>
      <c r="R25" s="704" t="s">
        <v>14</v>
      </c>
      <c r="S25" s="705">
        <f>F25</f>
        <v>100</v>
      </c>
      <c r="T25" s="704" t="s">
        <v>14</v>
      </c>
      <c r="U25" s="705">
        <f>H25</f>
        <v>100</v>
      </c>
      <c r="V25" s="704" t="s">
        <v>14</v>
      </c>
      <c r="W25" s="705">
        <f>J25</f>
        <v>100</v>
      </c>
      <c r="X25" s="1354"/>
      <c r="Y25" s="371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5"/>
      <c r="Q26" s="1351">
        <f t="shared" ref="Q26:Q40" si="11">B26</f>
        <v>111</v>
      </c>
      <c r="R26" s="704" t="s">
        <v>14</v>
      </c>
      <c r="S26" s="705">
        <f>F26</f>
        <v>100</v>
      </c>
      <c r="T26" s="704" t="s">
        <v>14</v>
      </c>
      <c r="U26" s="705">
        <f>H26</f>
        <v>100</v>
      </c>
      <c r="V26" s="704" t="s">
        <v>14</v>
      </c>
      <c r="W26" s="705">
        <f>J26</f>
        <v>100</v>
      </c>
      <c r="X26" s="1354"/>
      <c r="Y26" s="371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5"/>
      <c r="Q27" s="1342">
        <f t="shared" si="11"/>
        <v>111</v>
      </c>
      <c r="R27" s="700" t="s">
        <v>14</v>
      </c>
      <c r="S27" s="701">
        <f>F27</f>
        <v>100</v>
      </c>
      <c r="T27" s="700" t="s">
        <v>14</v>
      </c>
      <c r="U27" s="701">
        <f>H27</f>
        <v>100</v>
      </c>
      <c r="V27" s="700" t="s">
        <v>14</v>
      </c>
      <c r="W27" s="701">
        <f>J27</f>
        <v>100</v>
      </c>
      <c r="X27" s="702"/>
      <c r="Y27" s="371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5"/>
      <c r="Q28" s="1351">
        <f t="shared" si="11"/>
        <v>111</v>
      </c>
      <c r="R28" s="704" t="s">
        <v>14</v>
      </c>
      <c r="S28" s="705">
        <f t="shared" ref="S28:S40" si="12">F28</f>
        <v>100</v>
      </c>
      <c r="T28" s="704" t="s">
        <v>14</v>
      </c>
      <c r="U28" s="705">
        <f t="shared" ref="U28:U40" si="13">H28</f>
        <v>100</v>
      </c>
      <c r="V28" s="704" t="s">
        <v>14</v>
      </c>
      <c r="W28" s="705">
        <f t="shared" ref="W28:W40" si="14">J28</f>
        <v>100</v>
      </c>
      <c r="X28" s="1354"/>
      <c r="Y28" s="371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83" t="s">
        <v>1696</v>
      </c>
      <c r="Q29" s="1351" t="str">
        <f t="shared" si="11"/>
        <v>建筑类型</v>
      </c>
      <c r="R29" s="704" t="s">
        <v>14</v>
      </c>
      <c r="S29" s="705">
        <f t="shared" si="12"/>
        <v>100</v>
      </c>
      <c r="T29" s="704" t="s">
        <v>14</v>
      </c>
      <c r="U29" s="705">
        <f t="shared" si="13"/>
        <v>100</v>
      </c>
      <c r="V29" s="704" t="s">
        <v>14</v>
      </c>
      <c r="W29" s="705">
        <f t="shared" si="14"/>
        <v>100</v>
      </c>
      <c r="X29" s="1354"/>
      <c r="Y29" s="371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9"/>
      <c r="Q30" s="706" t="str">
        <f t="shared" si="11"/>
        <v>项目建筑规模</v>
      </c>
      <c r="R30" s="707" t="s">
        <v>14</v>
      </c>
      <c r="S30" s="708" t="e">
        <f t="shared" si="12"/>
        <v>#N/A</v>
      </c>
      <c r="T30" s="707" t="s">
        <v>14</v>
      </c>
      <c r="U30" s="708" t="e">
        <f t="shared" si="13"/>
        <v>#N/A</v>
      </c>
      <c r="V30" s="707" t="s">
        <v>14</v>
      </c>
      <c r="W30" s="708" t="e">
        <f t="shared" si="14"/>
        <v>#N/A</v>
      </c>
      <c r="X30" s="709"/>
      <c r="Y30" s="371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9"/>
      <c r="Q31" s="1351" t="str">
        <f t="shared" si="11"/>
        <v>建筑结构</v>
      </c>
      <c r="R31" s="704" t="s">
        <v>14</v>
      </c>
      <c r="S31" s="705">
        <f t="shared" si="12"/>
        <v>100</v>
      </c>
      <c r="T31" s="704" t="s">
        <v>14</v>
      </c>
      <c r="U31" s="705">
        <f t="shared" si="13"/>
        <v>100</v>
      </c>
      <c r="V31" s="704" t="s">
        <v>14</v>
      </c>
      <c r="W31" s="705">
        <f t="shared" si="14"/>
        <v>100</v>
      </c>
      <c r="X31" s="1354"/>
      <c r="Y31" s="371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9"/>
      <c r="Q32" s="1351" t="str">
        <f t="shared" si="11"/>
        <v>公共部分装修</v>
      </c>
      <c r="R32" s="704" t="s">
        <v>14</v>
      </c>
      <c r="S32" s="705">
        <f t="shared" si="12"/>
        <v>100</v>
      </c>
      <c r="T32" s="704" t="s">
        <v>14</v>
      </c>
      <c r="U32" s="705">
        <f t="shared" si="13"/>
        <v>100</v>
      </c>
      <c r="V32" s="704" t="s">
        <v>14</v>
      </c>
      <c r="W32" s="705">
        <f t="shared" si="14"/>
        <v>100</v>
      </c>
      <c r="X32" s="1354"/>
      <c r="Y32" s="371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9"/>
      <c r="Q33" s="1351" t="str">
        <f t="shared" si="11"/>
        <v>成新度</v>
      </c>
      <c r="R33" s="704" t="s">
        <v>14</v>
      </c>
      <c r="S33" s="705" t="e">
        <f t="shared" si="12"/>
        <v>#N/A</v>
      </c>
      <c r="T33" s="704" t="s">
        <v>14</v>
      </c>
      <c r="U33" s="705" t="e">
        <f t="shared" si="13"/>
        <v>#N/A</v>
      </c>
      <c r="V33" s="704" t="s">
        <v>14</v>
      </c>
      <c r="W33" s="705" t="e">
        <f t="shared" si="14"/>
        <v>#N/A</v>
      </c>
      <c r="X33" s="1354"/>
      <c r="Y33" s="371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9"/>
      <c r="Q34" s="1342" t="str">
        <f t="shared" si="11"/>
        <v>物业管理</v>
      </c>
      <c r="R34" s="700" t="s">
        <v>14</v>
      </c>
      <c r="S34" s="701">
        <f t="shared" si="12"/>
        <v>100</v>
      </c>
      <c r="T34" s="700" t="s">
        <v>14</v>
      </c>
      <c r="U34" s="701">
        <f t="shared" si="13"/>
        <v>100</v>
      </c>
      <c r="V34" s="700" t="s">
        <v>14</v>
      </c>
      <c r="W34" s="701">
        <f t="shared" si="14"/>
        <v>100</v>
      </c>
      <c r="X34" s="702"/>
      <c r="Y34" s="371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9" t="s">
        <v>1696</v>
      </c>
      <c r="Q35" s="1351" t="str">
        <f t="shared" si="11"/>
        <v>市政基础设施</v>
      </c>
      <c r="R35" s="704" t="s">
        <v>14</v>
      </c>
      <c r="S35" s="705">
        <f t="shared" si="12"/>
        <v>100</v>
      </c>
      <c r="T35" s="704" t="s">
        <v>14</v>
      </c>
      <c r="U35" s="705">
        <f t="shared" si="13"/>
        <v>100</v>
      </c>
      <c r="V35" s="704" t="s">
        <v>14</v>
      </c>
      <c r="W35" s="705">
        <f t="shared" si="14"/>
        <v>100</v>
      </c>
      <c r="X35" s="1354"/>
      <c r="Y35" s="371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9"/>
      <c r="Q36" s="1351" t="str">
        <f t="shared" si="11"/>
        <v>内部装修</v>
      </c>
      <c r="R36" s="704" t="s">
        <v>14</v>
      </c>
      <c r="S36" s="705">
        <f t="shared" si="12"/>
        <v>100</v>
      </c>
      <c r="T36" s="704" t="s">
        <v>14</v>
      </c>
      <c r="U36" s="705">
        <f t="shared" si="13"/>
        <v>100</v>
      </c>
      <c r="V36" s="704" t="s">
        <v>14</v>
      </c>
      <c r="W36" s="705">
        <f t="shared" si="14"/>
        <v>100</v>
      </c>
      <c r="X36" s="1354"/>
      <c r="Y36" s="371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9"/>
      <c r="Q37" s="1351" t="str">
        <f t="shared" si="11"/>
        <v>内部装修状况</v>
      </c>
      <c r="R37" s="704" t="s">
        <v>14</v>
      </c>
      <c r="S37" s="705">
        <f t="shared" si="12"/>
        <v>100</v>
      </c>
      <c r="T37" s="704" t="s">
        <v>14</v>
      </c>
      <c r="U37" s="705">
        <f t="shared" si="13"/>
        <v>100</v>
      </c>
      <c r="V37" s="704" t="s">
        <v>14</v>
      </c>
      <c r="W37" s="705">
        <f t="shared" si="14"/>
        <v>100</v>
      </c>
      <c r="X37" s="1354"/>
      <c r="Y37" s="371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9"/>
      <c r="Q38" s="706">
        <f t="shared" si="11"/>
        <v>111</v>
      </c>
      <c r="R38" s="707" t="s">
        <v>14</v>
      </c>
      <c r="S38" s="708">
        <f t="shared" si="12"/>
        <v>100</v>
      </c>
      <c r="T38" s="707" t="s">
        <v>14</v>
      </c>
      <c r="U38" s="708">
        <f t="shared" si="13"/>
        <v>100</v>
      </c>
      <c r="V38" s="707" t="s">
        <v>14</v>
      </c>
      <c r="W38" s="708">
        <f t="shared" si="14"/>
        <v>100</v>
      </c>
      <c r="X38" s="709"/>
      <c r="Y38" s="371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9"/>
      <c r="Q39" s="1351">
        <f t="shared" si="11"/>
        <v>111</v>
      </c>
      <c r="R39" s="704" t="s">
        <v>14</v>
      </c>
      <c r="S39" s="705">
        <f t="shared" si="12"/>
        <v>100</v>
      </c>
      <c r="T39" s="704" t="s">
        <v>14</v>
      </c>
      <c r="U39" s="705">
        <f t="shared" si="13"/>
        <v>100</v>
      </c>
      <c r="V39" s="704" t="s">
        <v>14</v>
      </c>
      <c r="W39" s="705">
        <f t="shared" si="14"/>
        <v>100</v>
      </c>
      <c r="X39" s="1354"/>
      <c r="Y39" s="371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0"/>
      <c r="Q40" s="1351">
        <f t="shared" si="11"/>
        <v>111</v>
      </c>
      <c r="R40" s="704" t="s">
        <v>14</v>
      </c>
      <c r="S40" s="705">
        <f t="shared" si="12"/>
        <v>100</v>
      </c>
      <c r="T40" s="704" t="s">
        <v>14</v>
      </c>
      <c r="U40" s="705">
        <f t="shared" si="13"/>
        <v>100</v>
      </c>
      <c r="V40" s="704" t="s">
        <v>14</v>
      </c>
      <c r="W40" s="705">
        <f t="shared" si="14"/>
        <v>100</v>
      </c>
      <c r="X40" s="1354"/>
      <c r="Y40" s="372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21" t="str">
        <f>A41</f>
        <v>成交单价（元/平方米）</v>
      </c>
      <c r="Q41" s="3721"/>
      <c r="R41" s="3722">
        <f>E41</f>
        <v>0</v>
      </c>
      <c r="S41" s="3722"/>
      <c r="T41" s="3722">
        <f>G41</f>
        <v>0</v>
      </c>
      <c r="U41" s="3722"/>
      <c r="V41" s="3722">
        <f>I41</f>
        <v>0</v>
      </c>
      <c r="W41" s="372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2"/>
      <c r="M4" s="2713"/>
      <c r="N4" s="2713"/>
      <c r="O4" s="2713"/>
      <c r="P4" s="3730" t="s">
        <v>1775</v>
      </c>
      <c r="Q4" s="3731"/>
      <c r="R4" s="3727" t="s">
        <v>1771</v>
      </c>
      <c r="S4" s="3728"/>
      <c r="T4" s="3727" t="s">
        <v>1772</v>
      </c>
      <c r="U4" s="3728"/>
      <c r="V4" s="3709" t="s">
        <v>1773</v>
      </c>
      <c r="W4" s="3709"/>
      <c r="X4" s="1354"/>
      <c r="Y4" s="3727" t="s">
        <v>1775</v>
      </c>
      <c r="Z4" s="3728"/>
      <c r="AA4" s="3726" t="s">
        <v>1771</v>
      </c>
      <c r="AB4" s="3676" t="s">
        <v>1772</v>
      </c>
      <c r="AC4" s="3726" t="s">
        <v>1773</v>
      </c>
    </row>
    <row r="5" spans="1:29" ht="15">
      <c r="A5" s="358"/>
      <c r="B5" s="359"/>
      <c r="C5" s="3729" t="s">
        <v>1673</v>
      </c>
      <c r="D5" s="3687"/>
      <c r="E5" s="3782" t="s">
        <v>1674</v>
      </c>
      <c r="F5" s="3685"/>
      <c r="G5" s="3729" t="s">
        <v>1675</v>
      </c>
      <c r="H5" s="3687"/>
      <c r="I5" s="3729" t="s">
        <v>1676</v>
      </c>
      <c r="J5" s="3687"/>
      <c r="K5" s="559"/>
      <c r="L5" s="2712"/>
      <c r="M5" s="2713"/>
      <c r="N5" s="2713"/>
      <c r="O5" s="2713"/>
      <c r="P5" s="3732"/>
      <c r="Q5" s="3703"/>
      <c r="R5" s="3682"/>
      <c r="S5" s="3683"/>
      <c r="T5" s="3682"/>
      <c r="U5" s="3683"/>
      <c r="V5" s="3709"/>
      <c r="W5" s="3709"/>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33"/>
      <c r="Q6" s="3705"/>
      <c r="R6" s="3682"/>
      <c r="S6" s="3683"/>
      <c r="T6" s="3706"/>
      <c r="U6" s="3707"/>
      <c r="V6" s="3709"/>
      <c r="W6" s="3709"/>
      <c r="X6" s="1354"/>
      <c r="Y6" s="3706"/>
      <c r="Z6" s="3707"/>
      <c r="AA6" s="3677"/>
      <c r="AB6" s="3677"/>
      <c r="AC6" s="3677"/>
    </row>
    <row r="7" spans="1:29" s="108" customFormat="1" ht="15.75" thickBot="1">
      <c r="A7" s="362" t="s">
        <v>1679</v>
      </c>
      <c r="B7" s="363"/>
      <c r="C7" s="364">
        <f>'数据-取费表'!B2</f>
        <v>45728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8" t="s">
        <v>1680</v>
      </c>
      <c r="Q7" s="3711"/>
      <c r="R7" s="700" t="s">
        <v>14</v>
      </c>
      <c r="S7" s="701">
        <f t="shared" ref="S7:S14" si="0">F7</f>
        <v>0</v>
      </c>
      <c r="T7" s="700" t="s">
        <v>14</v>
      </c>
      <c r="U7" s="701">
        <f t="shared" ref="U7:U14" si="1">H7</f>
        <v>0</v>
      </c>
      <c r="V7" s="700" t="s">
        <v>14</v>
      </c>
      <c r="W7" s="701">
        <f t="shared" ref="W7:W14" si="2">J7</f>
        <v>0</v>
      </c>
      <c r="X7" s="702"/>
      <c r="Y7" s="3678" t="s">
        <v>1680</v>
      </c>
      <c r="Z7" s="3679"/>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8" t="s">
        <v>1683</v>
      </c>
      <c r="Q8" s="3679"/>
      <c r="R8" s="700" t="s">
        <v>14</v>
      </c>
      <c r="S8" s="701">
        <f t="shared" si="0"/>
        <v>100</v>
      </c>
      <c r="T8" s="700" t="s">
        <v>14</v>
      </c>
      <c r="U8" s="701">
        <f t="shared" si="1"/>
        <v>100</v>
      </c>
      <c r="V8" s="700" t="s">
        <v>14</v>
      </c>
      <c r="W8" s="701">
        <f t="shared" si="2"/>
        <v>100</v>
      </c>
      <c r="X8" s="702"/>
      <c r="Y8" s="3678" t="s">
        <v>1683</v>
      </c>
      <c r="Z8" s="3679"/>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21" t="s">
        <v>1686</v>
      </c>
      <c r="Q9" s="1342" t="str">
        <f t="shared" ref="Q9:Q14" si="6">B9</f>
        <v>用途</v>
      </c>
      <c r="R9" s="700" t="s">
        <v>14</v>
      </c>
      <c r="S9" s="701">
        <f t="shared" si="0"/>
        <v>100</v>
      </c>
      <c r="T9" s="700" t="s">
        <v>14</v>
      </c>
      <c r="U9" s="701">
        <f t="shared" si="1"/>
        <v>100</v>
      </c>
      <c r="V9" s="700" t="s">
        <v>14</v>
      </c>
      <c r="W9" s="701">
        <f t="shared" si="2"/>
        <v>100</v>
      </c>
      <c r="X9" s="702"/>
      <c r="Y9" s="3648"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21"/>
      <c r="Q10" s="1342" t="str">
        <f t="shared" si="6"/>
        <v>土地使用年限（年）</v>
      </c>
      <c r="R10" s="700" t="s">
        <v>14</v>
      </c>
      <c r="S10" s="701">
        <f t="shared" si="0"/>
        <v>100</v>
      </c>
      <c r="T10" s="700" t="s">
        <v>14</v>
      </c>
      <c r="U10" s="701">
        <f t="shared" si="1"/>
        <v>100</v>
      </c>
      <c r="V10" s="700" t="s">
        <v>14</v>
      </c>
      <c r="W10" s="701">
        <f t="shared" si="2"/>
        <v>100</v>
      </c>
      <c r="X10" s="702"/>
      <c r="Y10" s="364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21"/>
      <c r="Q11" s="1342">
        <f t="shared" si="6"/>
        <v>111</v>
      </c>
      <c r="R11" s="700" t="s">
        <v>14</v>
      </c>
      <c r="S11" s="701">
        <f t="shared" si="0"/>
        <v>100</v>
      </c>
      <c r="T11" s="700" t="s">
        <v>14</v>
      </c>
      <c r="U11" s="701">
        <f t="shared" si="1"/>
        <v>100</v>
      </c>
      <c r="V11" s="700" t="s">
        <v>14</v>
      </c>
      <c r="W11" s="701">
        <f t="shared" si="2"/>
        <v>100</v>
      </c>
      <c r="X11" s="702"/>
      <c r="Y11" s="364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21"/>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21"/>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4" t="s">
        <v>1691</v>
      </c>
      <c r="Q14" s="1351" t="str">
        <f t="shared" si="6"/>
        <v>交通便捷度</v>
      </c>
      <c r="R14" s="704" t="s">
        <v>14</v>
      </c>
      <c r="S14" s="705">
        <f t="shared" si="0"/>
        <v>100</v>
      </c>
      <c r="T14" s="704" t="s">
        <v>14</v>
      </c>
      <c r="U14" s="705">
        <f t="shared" si="1"/>
        <v>100</v>
      </c>
      <c r="V14" s="704" t="s">
        <v>14</v>
      </c>
      <c r="W14" s="705">
        <f t="shared" si="2"/>
        <v>100</v>
      </c>
      <c r="X14" s="1354"/>
      <c r="Y14" s="371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15"/>
      <c r="Q15" s="1351"/>
      <c r="R15" s="704"/>
      <c r="S15" s="705"/>
      <c r="T15" s="704"/>
      <c r="U15" s="705"/>
      <c r="V15" s="704"/>
      <c r="W15" s="705"/>
      <c r="X15" s="1354"/>
      <c r="Y15" s="3715"/>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5"/>
      <c r="Q16" s="1351" t="str">
        <f>B16</f>
        <v>公共配套设施</v>
      </c>
      <c r="R16" s="704" t="s">
        <v>14</v>
      </c>
      <c r="S16" s="705">
        <f>F16</f>
        <v>100</v>
      </c>
      <c r="T16" s="704" t="s">
        <v>14</v>
      </c>
      <c r="U16" s="705">
        <f>H16</f>
        <v>100</v>
      </c>
      <c r="V16" s="704" t="s">
        <v>14</v>
      </c>
      <c r="W16" s="705">
        <f>J16</f>
        <v>100</v>
      </c>
      <c r="X16" s="1354"/>
      <c r="Y16" s="371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15"/>
      <c r="Q17" s="1351"/>
      <c r="R17" s="704"/>
      <c r="S17" s="705"/>
      <c r="T17" s="704"/>
      <c r="U17" s="705"/>
      <c r="V17" s="704"/>
      <c r="W17" s="705"/>
      <c r="X17" s="1354"/>
      <c r="Y17" s="3715"/>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5"/>
      <c r="Q18" s="1351" t="str">
        <f>B18</f>
        <v>基础设施水平</v>
      </c>
      <c r="R18" s="704" t="s">
        <v>14</v>
      </c>
      <c r="S18" s="705">
        <f>F18</f>
        <v>100</v>
      </c>
      <c r="T18" s="704" t="s">
        <v>14</v>
      </c>
      <c r="U18" s="705">
        <f>H18</f>
        <v>100</v>
      </c>
      <c r="V18" s="704" t="s">
        <v>14</v>
      </c>
      <c r="W18" s="705">
        <f>J18</f>
        <v>100</v>
      </c>
      <c r="X18" s="1354"/>
      <c r="Y18" s="371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15"/>
      <c r="Q19" s="1351"/>
      <c r="R19" s="704"/>
      <c r="S19" s="705"/>
      <c r="T19" s="704"/>
      <c r="U19" s="705"/>
      <c r="V19" s="704"/>
      <c r="W19" s="705"/>
      <c r="X19" s="1354"/>
      <c r="Y19" s="3715"/>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5"/>
      <c r="Q20" s="1351" t="str">
        <f>B20</f>
        <v>自然及人文环境</v>
      </c>
      <c r="R20" s="704" t="s">
        <v>14</v>
      </c>
      <c r="S20" s="705">
        <f>F20</f>
        <v>100</v>
      </c>
      <c r="T20" s="704" t="s">
        <v>14</v>
      </c>
      <c r="U20" s="705">
        <f>H20</f>
        <v>100</v>
      </c>
      <c r="V20" s="704" t="s">
        <v>14</v>
      </c>
      <c r="W20" s="705">
        <f>J20</f>
        <v>100</v>
      </c>
      <c r="X20" s="1354"/>
      <c r="Y20" s="371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15"/>
      <c r="Q21" s="1351"/>
      <c r="R21" s="704"/>
      <c r="S21" s="705"/>
      <c r="T21" s="704"/>
      <c r="U21" s="705"/>
      <c r="V21" s="704"/>
      <c r="W21" s="705"/>
      <c r="X21" s="1354"/>
      <c r="Y21" s="371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5"/>
      <c r="Q22" s="1351" t="str">
        <f>B22</f>
        <v>楼层</v>
      </c>
      <c r="R22" s="704" t="s">
        <v>14</v>
      </c>
      <c r="S22" s="705">
        <f>F22</f>
        <v>100</v>
      </c>
      <c r="T22" s="704" t="s">
        <v>14</v>
      </c>
      <c r="U22" s="705">
        <f>H22</f>
        <v>100</v>
      </c>
      <c r="V22" s="704" t="s">
        <v>14</v>
      </c>
      <c r="W22" s="705">
        <f>J22</f>
        <v>100</v>
      </c>
      <c r="X22" s="1354"/>
      <c r="Y22" s="371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5"/>
      <c r="Q23" s="1351">
        <f>B23</f>
        <v>111</v>
      </c>
      <c r="R23" s="704" t="s">
        <v>14</v>
      </c>
      <c r="S23" s="705">
        <f>F23</f>
        <v>100</v>
      </c>
      <c r="T23" s="704" t="s">
        <v>14</v>
      </c>
      <c r="U23" s="705">
        <f>H23</f>
        <v>100</v>
      </c>
      <c r="V23" s="704" t="s">
        <v>14</v>
      </c>
      <c r="W23" s="705">
        <f>J23</f>
        <v>100</v>
      </c>
      <c r="X23" s="1354"/>
      <c r="Y23" s="371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5"/>
      <c r="Q24" s="1351">
        <f t="shared" ref="Q24:Q36" si="11">B24</f>
        <v>111</v>
      </c>
      <c r="R24" s="704" t="s">
        <v>14</v>
      </c>
      <c r="S24" s="705">
        <f>F24</f>
        <v>100</v>
      </c>
      <c r="T24" s="704" t="s">
        <v>14</v>
      </c>
      <c r="U24" s="705">
        <f>H24</f>
        <v>100</v>
      </c>
      <c r="V24" s="704" t="s">
        <v>14</v>
      </c>
      <c r="W24" s="705">
        <f>J24</f>
        <v>100</v>
      </c>
      <c r="X24" s="1354"/>
      <c r="Y24" s="371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5"/>
      <c r="Q25" s="1342">
        <f t="shared" si="11"/>
        <v>111</v>
      </c>
      <c r="R25" s="700" t="s">
        <v>14</v>
      </c>
      <c r="S25" s="701">
        <f>F25</f>
        <v>100</v>
      </c>
      <c r="T25" s="700" t="s">
        <v>14</v>
      </c>
      <c r="U25" s="701">
        <f>H25</f>
        <v>100</v>
      </c>
      <c r="V25" s="700" t="s">
        <v>14</v>
      </c>
      <c r="W25" s="701">
        <f>J25</f>
        <v>100</v>
      </c>
      <c r="X25" s="702"/>
      <c r="Y25" s="371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9"/>
      <c r="Q27" s="706" t="str">
        <f t="shared" si="11"/>
        <v>项目停车位配比</v>
      </c>
      <c r="R27" s="707" t="s">
        <v>14</v>
      </c>
      <c r="S27" s="708">
        <f t="shared" si="12"/>
        <v>100</v>
      </c>
      <c r="T27" s="707" t="s">
        <v>14</v>
      </c>
      <c r="U27" s="708">
        <f t="shared" si="13"/>
        <v>100</v>
      </c>
      <c r="V27" s="707" t="s">
        <v>14</v>
      </c>
      <c r="W27" s="708">
        <f t="shared" si="14"/>
        <v>100</v>
      </c>
      <c r="X27" s="709"/>
      <c r="Y27" s="371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9"/>
      <c r="Q28" s="1351" t="str">
        <f t="shared" si="11"/>
        <v>公共部分装修</v>
      </c>
      <c r="R28" s="704" t="s">
        <v>14</v>
      </c>
      <c r="S28" s="705">
        <f t="shared" si="12"/>
        <v>100</v>
      </c>
      <c r="T28" s="704" t="s">
        <v>14</v>
      </c>
      <c r="U28" s="705">
        <f t="shared" si="13"/>
        <v>100</v>
      </c>
      <c r="V28" s="704" t="s">
        <v>14</v>
      </c>
      <c r="W28" s="705">
        <f t="shared" si="14"/>
        <v>100</v>
      </c>
      <c r="X28" s="1354"/>
      <c r="Y28" s="371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9"/>
      <c r="Q29" s="1351" t="str">
        <f t="shared" si="11"/>
        <v>成新率</v>
      </c>
      <c r="R29" s="704" t="s">
        <v>14</v>
      </c>
      <c r="S29" s="705" t="e">
        <f t="shared" si="12"/>
        <v>#N/A</v>
      </c>
      <c r="T29" s="704" t="s">
        <v>14</v>
      </c>
      <c r="U29" s="705" t="e">
        <f t="shared" si="13"/>
        <v>#N/A</v>
      </c>
      <c r="V29" s="704" t="s">
        <v>14</v>
      </c>
      <c r="W29" s="705" t="e">
        <f t="shared" si="14"/>
        <v>#N/A</v>
      </c>
      <c r="X29" s="1354"/>
      <c r="Y29" s="371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9"/>
      <c r="Q30" s="1351" t="str">
        <f t="shared" si="11"/>
        <v>物业等级</v>
      </c>
      <c r="R30" s="704" t="s">
        <v>14</v>
      </c>
      <c r="S30" s="705">
        <f t="shared" si="12"/>
        <v>100</v>
      </c>
      <c r="T30" s="704" t="s">
        <v>14</v>
      </c>
      <c r="U30" s="705">
        <f t="shared" si="13"/>
        <v>100</v>
      </c>
      <c r="V30" s="704" t="s">
        <v>14</v>
      </c>
      <c r="W30" s="705">
        <f t="shared" si="14"/>
        <v>100</v>
      </c>
      <c r="X30" s="1354"/>
      <c r="Y30" s="371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9"/>
      <c r="Q31" s="1342" t="str">
        <f t="shared" si="11"/>
        <v>停车位面积</v>
      </c>
      <c r="R31" s="700" t="s">
        <v>14</v>
      </c>
      <c r="S31" s="701" t="e">
        <f t="shared" si="12"/>
        <v>#N/A</v>
      </c>
      <c r="T31" s="700" t="s">
        <v>14</v>
      </c>
      <c r="U31" s="701" t="e">
        <f t="shared" si="13"/>
        <v>#N/A</v>
      </c>
      <c r="V31" s="700" t="s">
        <v>14</v>
      </c>
      <c r="W31" s="701" t="e">
        <f t="shared" si="14"/>
        <v>#N/A</v>
      </c>
      <c r="X31" s="702"/>
      <c r="Y31" s="371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9" t="s">
        <v>1696</v>
      </c>
      <c r="Q32" s="1351" t="str">
        <f t="shared" si="11"/>
        <v>车位类型</v>
      </c>
      <c r="R32" s="704" t="s">
        <v>14</v>
      </c>
      <c r="S32" s="705">
        <f t="shared" si="12"/>
        <v>100</v>
      </c>
      <c r="T32" s="704" t="s">
        <v>14</v>
      </c>
      <c r="U32" s="705">
        <f t="shared" si="13"/>
        <v>100</v>
      </c>
      <c r="V32" s="704" t="s">
        <v>14</v>
      </c>
      <c r="W32" s="705">
        <f t="shared" si="14"/>
        <v>100</v>
      </c>
      <c r="X32" s="1354"/>
      <c r="Y32" s="371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9"/>
      <c r="Q33" s="1351" t="str">
        <f t="shared" si="11"/>
        <v>是否直接入户</v>
      </c>
      <c r="R33" s="704" t="s">
        <v>14</v>
      </c>
      <c r="S33" s="705">
        <f t="shared" si="12"/>
        <v>100</v>
      </c>
      <c r="T33" s="704" t="s">
        <v>14</v>
      </c>
      <c r="U33" s="705">
        <f t="shared" si="13"/>
        <v>100</v>
      </c>
      <c r="V33" s="704" t="s">
        <v>14</v>
      </c>
      <c r="W33" s="705">
        <f t="shared" si="14"/>
        <v>100</v>
      </c>
      <c r="X33" s="1354"/>
      <c r="Y33" s="371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9"/>
      <c r="Q34" s="1351">
        <f t="shared" si="11"/>
        <v>111</v>
      </c>
      <c r="R34" s="704" t="s">
        <v>14</v>
      </c>
      <c r="S34" s="705">
        <f t="shared" si="12"/>
        <v>100</v>
      </c>
      <c r="T34" s="704" t="s">
        <v>14</v>
      </c>
      <c r="U34" s="705">
        <f t="shared" si="13"/>
        <v>100</v>
      </c>
      <c r="V34" s="704" t="s">
        <v>14</v>
      </c>
      <c r="W34" s="705">
        <f t="shared" si="14"/>
        <v>100</v>
      </c>
      <c r="X34" s="1354"/>
      <c r="Y34" s="371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9"/>
      <c r="Q35" s="706">
        <f t="shared" si="11"/>
        <v>111</v>
      </c>
      <c r="R35" s="707" t="s">
        <v>14</v>
      </c>
      <c r="S35" s="708">
        <f t="shared" si="12"/>
        <v>100</v>
      </c>
      <c r="T35" s="707" t="s">
        <v>14</v>
      </c>
      <c r="U35" s="708">
        <f t="shared" si="13"/>
        <v>100</v>
      </c>
      <c r="V35" s="707" t="s">
        <v>14</v>
      </c>
      <c r="W35" s="708">
        <f t="shared" si="14"/>
        <v>100</v>
      </c>
      <c r="X35" s="709"/>
      <c r="Y35" s="371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9"/>
      <c r="Q36" s="1351">
        <f t="shared" si="11"/>
        <v>111</v>
      </c>
      <c r="R36" s="704" t="s">
        <v>14</v>
      </c>
      <c r="S36" s="705">
        <f t="shared" si="12"/>
        <v>100</v>
      </c>
      <c r="T36" s="704" t="s">
        <v>14</v>
      </c>
      <c r="U36" s="705">
        <f t="shared" si="13"/>
        <v>100</v>
      </c>
      <c r="V36" s="704" t="s">
        <v>14</v>
      </c>
      <c r="W36" s="705">
        <f t="shared" si="14"/>
        <v>100</v>
      </c>
      <c r="X36" s="1354"/>
      <c r="Y36" s="3719"/>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21" t="str">
        <f>A37</f>
        <v>成交单价</v>
      </c>
      <c r="Q37" s="3721"/>
      <c r="R37" s="3722">
        <f>E37</f>
        <v>0</v>
      </c>
      <c r="S37" s="3722"/>
      <c r="T37" s="3722">
        <f>G37</f>
        <v>0</v>
      </c>
      <c r="U37" s="3722"/>
      <c r="V37" s="3722">
        <f>I37</f>
        <v>0</v>
      </c>
      <c r="W37" s="372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21" t="str">
        <f>A38</f>
        <v>比较价值（元/平方米）</v>
      </c>
      <c r="Q38" s="3721"/>
      <c r="R38" s="3722" t="e">
        <f>IF(F1="售价",ROUND(PRODUCT(R37,AA7:AA36),0),ROUND(PRODUCT(R37,AA7:AA36),1))</f>
        <v>#DIV/0!</v>
      </c>
      <c r="S38" s="3722"/>
      <c r="T38" s="3722" t="e">
        <f>IF(F1="售价",ROUND(PRODUCT(T37,AB7:AB36),0),ROUND(PRODUCT(T37,AB7:AB36),1))</f>
        <v>#DIV/0!</v>
      </c>
      <c r="U38" s="3722"/>
      <c r="V38" s="3722" t="e">
        <f>IF(F1="售价",ROUND(PRODUCT(V37,AC7:AC36),0),ROUND(PRODUCT(V37,AC7:AC36),1))</f>
        <v>#DIV/0!</v>
      </c>
      <c r="W38" s="372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34" t="str">
        <f>A39</f>
        <v>估价对象XX用房的比较价值（楼面单价，元/平方米）</v>
      </c>
      <c r="Q39" s="3735"/>
      <c r="R39" s="3784" t="e">
        <f>IF(F1="售价",ROUND(IF(D38="简单平均",AVERAGE(R38:W38),R38*F38+T38*H38+V38*J38),0),ROUND(IF(D38="简单平均",AVERAGE(R38:V38),R38*F38+T38*H38+V38*J38),1))</f>
        <v>#DIV/0!</v>
      </c>
      <c r="S39" s="3784"/>
      <c r="T39" s="3784"/>
      <c r="U39" s="3784"/>
      <c r="V39" s="3784"/>
      <c r="W39" s="3784"/>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2"/>
      <c r="M4" s="2713"/>
      <c r="N4" s="2713"/>
      <c r="O4" s="2713"/>
      <c r="P4" s="3730" t="s">
        <v>1775</v>
      </c>
      <c r="Q4" s="3731"/>
      <c r="R4" s="3727" t="s">
        <v>1771</v>
      </c>
      <c r="S4" s="3728"/>
      <c r="T4" s="3727" t="s">
        <v>1772</v>
      </c>
      <c r="U4" s="3728"/>
      <c r="V4" s="3709" t="s">
        <v>1773</v>
      </c>
      <c r="W4" s="3709"/>
      <c r="X4" s="1354"/>
      <c r="Y4" s="3727" t="s">
        <v>1775</v>
      </c>
      <c r="Z4" s="3728"/>
      <c r="AA4" s="3726" t="s">
        <v>1771</v>
      </c>
      <c r="AB4" s="3676" t="s">
        <v>1772</v>
      </c>
      <c r="AC4" s="3726" t="s">
        <v>1773</v>
      </c>
    </row>
    <row r="5" spans="1:29" ht="15">
      <c r="A5" s="358"/>
      <c r="B5" s="359"/>
      <c r="C5" s="3729" t="s">
        <v>1673</v>
      </c>
      <c r="D5" s="3687"/>
      <c r="E5" s="3782" t="s">
        <v>1674</v>
      </c>
      <c r="F5" s="3685"/>
      <c r="G5" s="3729" t="s">
        <v>1675</v>
      </c>
      <c r="H5" s="3687"/>
      <c r="I5" s="3729" t="s">
        <v>1676</v>
      </c>
      <c r="J5" s="3687"/>
      <c r="K5" s="559"/>
      <c r="L5" s="2712"/>
      <c r="M5" s="2713"/>
      <c r="N5" s="2713"/>
      <c r="O5" s="2713"/>
      <c r="P5" s="3732"/>
      <c r="Q5" s="3703"/>
      <c r="R5" s="3682"/>
      <c r="S5" s="3683"/>
      <c r="T5" s="3682"/>
      <c r="U5" s="3683"/>
      <c r="V5" s="3709"/>
      <c r="W5" s="3709"/>
      <c r="X5" s="1354"/>
      <c r="Y5" s="3682"/>
      <c r="Z5" s="3683"/>
      <c r="AA5" s="3676"/>
      <c r="AB5" s="3676"/>
      <c r="AC5" s="3676"/>
    </row>
    <row r="6" spans="1:29" ht="15.75" thickBot="1">
      <c r="A6" s="360"/>
      <c r="B6" s="361"/>
      <c r="C6" s="3688" t="s">
        <v>1677</v>
      </c>
      <c r="D6" s="3689"/>
      <c r="E6" s="3690" t="s">
        <v>1677</v>
      </c>
      <c r="F6" s="3691"/>
      <c r="G6" s="3688" t="s">
        <v>1677</v>
      </c>
      <c r="H6" s="3689"/>
      <c r="I6" s="3688" t="s">
        <v>1677</v>
      </c>
      <c r="J6" s="3689"/>
      <c r="K6" s="559" t="s">
        <v>1678</v>
      </c>
      <c r="L6" s="2712"/>
      <c r="M6" s="2713"/>
      <c r="N6" s="2713"/>
      <c r="O6" s="2713"/>
      <c r="P6" s="3733"/>
      <c r="Q6" s="3705"/>
      <c r="R6" s="3682"/>
      <c r="S6" s="3683"/>
      <c r="T6" s="3706"/>
      <c r="U6" s="3707"/>
      <c r="V6" s="3709"/>
      <c r="W6" s="3709"/>
      <c r="X6" s="1354"/>
      <c r="Y6" s="3706"/>
      <c r="Z6" s="3707"/>
      <c r="AA6" s="3677"/>
      <c r="AB6" s="3677"/>
      <c r="AC6" s="3677"/>
    </row>
    <row r="7" spans="1:29" s="108" customFormat="1" ht="15.75" thickBot="1">
      <c r="A7" s="362" t="s">
        <v>1679</v>
      </c>
      <c r="B7" s="363"/>
      <c r="C7" s="364">
        <f>'数据-取费表'!B2</f>
        <v>45728</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8" t="s">
        <v>1680</v>
      </c>
      <c r="Q7" s="3711"/>
      <c r="R7" s="700" t="s">
        <v>14</v>
      </c>
      <c r="S7" s="701">
        <f t="shared" ref="S7:S14" si="0">F7</f>
        <v>0</v>
      </c>
      <c r="T7" s="700" t="s">
        <v>14</v>
      </c>
      <c r="U7" s="701">
        <f t="shared" ref="U7:U14" si="1">H7</f>
        <v>0</v>
      </c>
      <c r="V7" s="700" t="s">
        <v>14</v>
      </c>
      <c r="W7" s="701">
        <f t="shared" ref="W7:W14" si="2">J7</f>
        <v>0</v>
      </c>
      <c r="X7" s="702"/>
      <c r="Y7" s="3678" t="s">
        <v>1680</v>
      </c>
      <c r="Z7" s="3679"/>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8" t="s">
        <v>1683</v>
      </c>
      <c r="Q8" s="3679"/>
      <c r="R8" s="700" t="s">
        <v>14</v>
      </c>
      <c r="S8" s="701">
        <f t="shared" si="0"/>
        <v>100</v>
      </c>
      <c r="T8" s="700" t="s">
        <v>14</v>
      </c>
      <c r="U8" s="701">
        <f t="shared" si="1"/>
        <v>100</v>
      </c>
      <c r="V8" s="700" t="s">
        <v>14</v>
      </c>
      <c r="W8" s="701">
        <f t="shared" si="2"/>
        <v>100</v>
      </c>
      <c r="X8" s="702"/>
      <c r="Y8" s="3678" t="s">
        <v>1683</v>
      </c>
      <c r="Z8" s="3679"/>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21" t="s">
        <v>1686</v>
      </c>
      <c r="Q9" s="1342" t="str">
        <f t="shared" ref="Q9:Q14" si="6">B9</f>
        <v>用途</v>
      </c>
      <c r="R9" s="700" t="s">
        <v>14</v>
      </c>
      <c r="S9" s="701">
        <f t="shared" si="0"/>
        <v>100</v>
      </c>
      <c r="T9" s="700" t="s">
        <v>14</v>
      </c>
      <c r="U9" s="701">
        <f t="shared" si="1"/>
        <v>100</v>
      </c>
      <c r="V9" s="700" t="s">
        <v>14</v>
      </c>
      <c r="W9" s="701">
        <f t="shared" si="2"/>
        <v>100</v>
      </c>
      <c r="X9" s="702"/>
      <c r="Y9" s="3648"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21"/>
      <c r="Q10" s="1342" t="str">
        <f t="shared" si="6"/>
        <v>土地使用年限（年）</v>
      </c>
      <c r="R10" s="700" t="s">
        <v>14</v>
      </c>
      <c r="S10" s="701">
        <f t="shared" si="0"/>
        <v>100</v>
      </c>
      <c r="T10" s="700" t="s">
        <v>14</v>
      </c>
      <c r="U10" s="701">
        <f t="shared" si="1"/>
        <v>100</v>
      </c>
      <c r="V10" s="700" t="s">
        <v>14</v>
      </c>
      <c r="W10" s="701">
        <f t="shared" si="2"/>
        <v>100</v>
      </c>
      <c r="X10" s="702"/>
      <c r="Y10" s="364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21"/>
      <c r="Q11" s="1342">
        <f t="shared" si="6"/>
        <v>111</v>
      </c>
      <c r="R11" s="700" t="s">
        <v>14</v>
      </c>
      <c r="S11" s="701">
        <f t="shared" si="0"/>
        <v>100</v>
      </c>
      <c r="T11" s="700" t="s">
        <v>14</v>
      </c>
      <c r="U11" s="701">
        <f t="shared" si="1"/>
        <v>100</v>
      </c>
      <c r="V11" s="700" t="s">
        <v>14</v>
      </c>
      <c r="W11" s="701">
        <f t="shared" si="2"/>
        <v>100</v>
      </c>
      <c r="X11" s="702"/>
      <c r="Y11" s="364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21"/>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4" t="s">
        <v>1691</v>
      </c>
      <c r="Q14" s="1351" t="str">
        <f t="shared" si="6"/>
        <v>交通便捷度</v>
      </c>
      <c r="R14" s="704" t="s">
        <v>14</v>
      </c>
      <c r="S14" s="705">
        <f t="shared" si="0"/>
        <v>100</v>
      </c>
      <c r="T14" s="704" t="s">
        <v>14</v>
      </c>
      <c r="U14" s="705">
        <f t="shared" si="1"/>
        <v>100</v>
      </c>
      <c r="V14" s="704" t="s">
        <v>14</v>
      </c>
      <c r="W14" s="705">
        <f t="shared" si="2"/>
        <v>100</v>
      </c>
      <c r="X14" s="1354"/>
      <c r="Y14" s="371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15"/>
      <c r="Q15" s="1351"/>
      <c r="R15" s="704"/>
      <c r="S15" s="705"/>
      <c r="T15" s="704"/>
      <c r="U15" s="705"/>
      <c r="V15" s="704"/>
      <c r="W15" s="705"/>
      <c r="X15" s="1354"/>
      <c r="Y15" s="3715"/>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5"/>
      <c r="Q16" s="1351" t="str">
        <f>B16</f>
        <v>公共配套设施</v>
      </c>
      <c r="R16" s="704" t="s">
        <v>14</v>
      </c>
      <c r="S16" s="705">
        <f>F16</f>
        <v>100</v>
      </c>
      <c r="T16" s="704" t="s">
        <v>14</v>
      </c>
      <c r="U16" s="705">
        <f>H16</f>
        <v>100</v>
      </c>
      <c r="V16" s="704" t="s">
        <v>14</v>
      </c>
      <c r="W16" s="705">
        <f>J16</f>
        <v>100</v>
      </c>
      <c r="X16" s="1354"/>
      <c r="Y16" s="371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15"/>
      <c r="Q17" s="1351"/>
      <c r="R17" s="704"/>
      <c r="S17" s="705"/>
      <c r="T17" s="704"/>
      <c r="U17" s="705"/>
      <c r="V17" s="704"/>
      <c r="W17" s="705"/>
      <c r="X17" s="1354"/>
      <c r="Y17" s="3715"/>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5"/>
      <c r="Q18" s="1351" t="str">
        <f>B18</f>
        <v>基础设施水平</v>
      </c>
      <c r="R18" s="704" t="s">
        <v>14</v>
      </c>
      <c r="S18" s="705">
        <f>F18</f>
        <v>100</v>
      </c>
      <c r="T18" s="704" t="s">
        <v>14</v>
      </c>
      <c r="U18" s="705">
        <f>H18</f>
        <v>100</v>
      </c>
      <c r="V18" s="704" t="s">
        <v>14</v>
      </c>
      <c r="W18" s="705">
        <f>J18</f>
        <v>100</v>
      </c>
      <c r="X18" s="1354"/>
      <c r="Y18" s="371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15"/>
      <c r="Q19" s="1351"/>
      <c r="R19" s="704"/>
      <c r="S19" s="705"/>
      <c r="T19" s="704"/>
      <c r="U19" s="705"/>
      <c r="V19" s="704"/>
      <c r="W19" s="705"/>
      <c r="X19" s="1354"/>
      <c r="Y19" s="3715"/>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5"/>
      <c r="Q20" s="1351" t="str">
        <f>B20</f>
        <v>自然及人文环境</v>
      </c>
      <c r="R20" s="704" t="s">
        <v>14</v>
      </c>
      <c r="S20" s="705">
        <f>F20</f>
        <v>100</v>
      </c>
      <c r="T20" s="704" t="s">
        <v>14</v>
      </c>
      <c r="U20" s="705">
        <f>H20</f>
        <v>100</v>
      </c>
      <c r="V20" s="704" t="s">
        <v>14</v>
      </c>
      <c r="W20" s="705">
        <f>J20</f>
        <v>100</v>
      </c>
      <c r="X20" s="1354"/>
      <c r="Y20" s="371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15"/>
      <c r="Q21" s="1351"/>
      <c r="R21" s="704"/>
      <c r="S21" s="705"/>
      <c r="T21" s="704"/>
      <c r="U21" s="705"/>
      <c r="V21" s="704"/>
      <c r="W21" s="705"/>
      <c r="X21" s="1354"/>
      <c r="Y21" s="371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5"/>
      <c r="Q22" s="1351" t="str">
        <f>B22</f>
        <v>楼层</v>
      </c>
      <c r="R22" s="704" t="s">
        <v>14</v>
      </c>
      <c r="S22" s="705">
        <f>F22</f>
        <v>100</v>
      </c>
      <c r="T22" s="704" t="s">
        <v>14</v>
      </c>
      <c r="U22" s="705">
        <f>H22</f>
        <v>100</v>
      </c>
      <c r="V22" s="704" t="s">
        <v>14</v>
      </c>
      <c r="W22" s="705">
        <f>J22</f>
        <v>100</v>
      </c>
      <c r="X22" s="1354"/>
      <c r="Y22" s="371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5"/>
      <c r="Q23" s="1351">
        <f>B23</f>
        <v>111</v>
      </c>
      <c r="R23" s="704" t="s">
        <v>14</v>
      </c>
      <c r="S23" s="705">
        <f>F23</f>
        <v>100</v>
      </c>
      <c r="T23" s="704" t="s">
        <v>14</v>
      </c>
      <c r="U23" s="705">
        <f>H23</f>
        <v>100</v>
      </c>
      <c r="V23" s="704" t="s">
        <v>14</v>
      </c>
      <c r="W23" s="705">
        <f>J23</f>
        <v>100</v>
      </c>
      <c r="X23" s="1354"/>
      <c r="Y23" s="371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5"/>
      <c r="Q24" s="1351">
        <f t="shared" ref="Q24:Q34" si="11">B24</f>
        <v>111</v>
      </c>
      <c r="R24" s="704" t="s">
        <v>14</v>
      </c>
      <c r="S24" s="705">
        <f>F24</f>
        <v>100</v>
      </c>
      <c r="T24" s="704" t="s">
        <v>14</v>
      </c>
      <c r="U24" s="705">
        <f>H24</f>
        <v>100</v>
      </c>
      <c r="V24" s="704" t="s">
        <v>14</v>
      </c>
      <c r="W24" s="705">
        <f>J24</f>
        <v>100</v>
      </c>
      <c r="X24" s="1354"/>
      <c r="Y24" s="371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15"/>
      <c r="Q25" s="1342">
        <f t="shared" si="11"/>
        <v>111</v>
      </c>
      <c r="R25" s="700" t="s">
        <v>14</v>
      </c>
      <c r="S25" s="701">
        <f>F25</f>
        <v>100</v>
      </c>
      <c r="T25" s="700" t="s">
        <v>14</v>
      </c>
      <c r="U25" s="701">
        <f>H25</f>
        <v>100</v>
      </c>
      <c r="V25" s="700" t="s">
        <v>14</v>
      </c>
      <c r="W25" s="701">
        <f>J25</f>
        <v>100</v>
      </c>
      <c r="X25" s="702"/>
      <c r="Y25" s="371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8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9"/>
      <c r="Q27" s="706" t="str">
        <f t="shared" si="11"/>
        <v>成新率</v>
      </c>
      <c r="R27" s="707" t="s">
        <v>14</v>
      </c>
      <c r="S27" s="708" t="e">
        <f t="shared" si="12"/>
        <v>#N/A</v>
      </c>
      <c r="T27" s="707" t="s">
        <v>14</v>
      </c>
      <c r="U27" s="708" t="e">
        <f t="shared" si="13"/>
        <v>#N/A</v>
      </c>
      <c r="V27" s="707" t="s">
        <v>14</v>
      </c>
      <c r="W27" s="708" t="e">
        <f t="shared" si="14"/>
        <v>#N/A</v>
      </c>
      <c r="X27" s="709"/>
      <c r="Y27" s="371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9"/>
      <c r="Q28" s="1351" t="str">
        <f t="shared" si="11"/>
        <v>物业等级</v>
      </c>
      <c r="R28" s="704" t="s">
        <v>14</v>
      </c>
      <c r="S28" s="705">
        <f t="shared" si="12"/>
        <v>100</v>
      </c>
      <c r="T28" s="704" t="s">
        <v>14</v>
      </c>
      <c r="U28" s="705">
        <f t="shared" si="13"/>
        <v>100</v>
      </c>
      <c r="V28" s="704" t="s">
        <v>14</v>
      </c>
      <c r="W28" s="705">
        <f t="shared" si="14"/>
        <v>100</v>
      </c>
      <c r="X28" s="1354"/>
      <c r="Y28" s="371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9"/>
      <c r="Q29" s="1351" t="str">
        <f t="shared" si="11"/>
        <v>有无电梯</v>
      </c>
      <c r="R29" s="704" t="s">
        <v>14</v>
      </c>
      <c r="S29" s="705">
        <f t="shared" si="12"/>
        <v>100</v>
      </c>
      <c r="T29" s="704" t="s">
        <v>14</v>
      </c>
      <c r="U29" s="705">
        <f t="shared" si="13"/>
        <v>100</v>
      </c>
      <c r="V29" s="704" t="s">
        <v>14</v>
      </c>
      <c r="W29" s="705">
        <f t="shared" si="14"/>
        <v>100</v>
      </c>
      <c r="X29" s="1354"/>
      <c r="Y29" s="371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9"/>
      <c r="Q30" s="1351" t="str">
        <f t="shared" si="11"/>
        <v>建筑面积</v>
      </c>
      <c r="R30" s="704" t="s">
        <v>14</v>
      </c>
      <c r="S30" s="705" t="e">
        <f t="shared" si="12"/>
        <v>#N/A</v>
      </c>
      <c r="T30" s="704" t="s">
        <v>14</v>
      </c>
      <c r="U30" s="705" t="e">
        <f t="shared" si="13"/>
        <v>#N/A</v>
      </c>
      <c r="V30" s="704" t="s">
        <v>14</v>
      </c>
      <c r="W30" s="705" t="e">
        <f t="shared" si="14"/>
        <v>#N/A</v>
      </c>
      <c r="X30" s="1354"/>
      <c r="Y30" s="371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9"/>
      <c r="Q31" s="1342" t="str">
        <f t="shared" si="11"/>
        <v>是否封闭</v>
      </c>
      <c r="R31" s="700" t="s">
        <v>14</v>
      </c>
      <c r="S31" s="701">
        <f t="shared" si="12"/>
        <v>100</v>
      </c>
      <c r="T31" s="700" t="s">
        <v>14</v>
      </c>
      <c r="U31" s="701">
        <f t="shared" si="13"/>
        <v>100</v>
      </c>
      <c r="V31" s="700" t="s">
        <v>14</v>
      </c>
      <c r="W31" s="701">
        <f t="shared" si="14"/>
        <v>100</v>
      </c>
      <c r="X31" s="702"/>
      <c r="Y31" s="371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9" t="s">
        <v>1696</v>
      </c>
      <c r="Q32" s="1351">
        <f t="shared" si="11"/>
        <v>111</v>
      </c>
      <c r="R32" s="704" t="s">
        <v>14</v>
      </c>
      <c r="S32" s="705">
        <f t="shared" si="12"/>
        <v>100</v>
      </c>
      <c r="T32" s="704" t="s">
        <v>14</v>
      </c>
      <c r="U32" s="705">
        <f t="shared" si="13"/>
        <v>100</v>
      </c>
      <c r="V32" s="704" t="s">
        <v>14</v>
      </c>
      <c r="W32" s="705">
        <f t="shared" si="14"/>
        <v>100</v>
      </c>
      <c r="X32" s="1354"/>
      <c r="Y32" s="371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9"/>
      <c r="Q33" s="1351">
        <f t="shared" si="11"/>
        <v>111</v>
      </c>
      <c r="R33" s="704" t="s">
        <v>14</v>
      </c>
      <c r="S33" s="705">
        <f t="shared" si="12"/>
        <v>100</v>
      </c>
      <c r="T33" s="704" t="s">
        <v>14</v>
      </c>
      <c r="U33" s="705">
        <f t="shared" si="13"/>
        <v>100</v>
      </c>
      <c r="V33" s="704" t="s">
        <v>14</v>
      </c>
      <c r="W33" s="705">
        <f t="shared" si="14"/>
        <v>100</v>
      </c>
      <c r="X33" s="1354"/>
      <c r="Y33" s="371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9"/>
      <c r="Q34" s="1351">
        <f t="shared" si="11"/>
        <v>111</v>
      </c>
      <c r="R34" s="704" t="s">
        <v>14</v>
      </c>
      <c r="S34" s="705">
        <f t="shared" si="12"/>
        <v>100</v>
      </c>
      <c r="T34" s="704" t="s">
        <v>14</v>
      </c>
      <c r="U34" s="705">
        <f t="shared" si="13"/>
        <v>100</v>
      </c>
      <c r="V34" s="704" t="s">
        <v>14</v>
      </c>
      <c r="W34" s="705">
        <f t="shared" si="14"/>
        <v>100</v>
      </c>
      <c r="X34" s="1354"/>
      <c r="Y34" s="371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21" t="str">
        <f>A35</f>
        <v>成交单价（元/平方米）</v>
      </c>
      <c r="Q35" s="3721"/>
      <c r="R35" s="3722">
        <f>E35</f>
        <v>0</v>
      </c>
      <c r="S35" s="3722"/>
      <c r="T35" s="3722">
        <f>G35</f>
        <v>0</v>
      </c>
      <c r="U35" s="3722"/>
      <c r="V35" s="3722">
        <f>I35</f>
        <v>0</v>
      </c>
      <c r="W35" s="372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21" t="str">
        <f>A36</f>
        <v>比较价值（元/平方米）</v>
      </c>
      <c r="Q36" s="3721"/>
      <c r="R36" s="3722" t="e">
        <f>IF(F1="售价",ROUND(PRODUCT(R35,AA7:AA34),0),ROUND(PRODUCT(R35,AA7:AA34),1))</f>
        <v>#DIV/0!</v>
      </c>
      <c r="S36" s="3722"/>
      <c r="T36" s="3722" t="e">
        <f>IF(F1="售价",ROUND(PRODUCT(T35,AB7:AB34),0),ROUND(PRODUCT(T35,AB7:AB34),1))</f>
        <v>#DIV/0!</v>
      </c>
      <c r="U36" s="3722"/>
      <c r="V36" s="3722" t="e">
        <f>IF(F1="售价",ROUND(PRODUCT(V35,AC7:AC34),0),ROUND(PRODUCT(V35,AC7:AC34),1))</f>
        <v>#DIV/0!</v>
      </c>
      <c r="W36" s="372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34" t="str">
        <f>A37</f>
        <v>估价对象XX用房的比较价值（楼面单价，元/平方米）</v>
      </c>
      <c r="Q37" s="3735"/>
      <c r="R37" s="3784" t="e">
        <f>IF(F1="售价",ROUND(IF(D36="简单平均",AVERAGE(R36:W36),R36*F36+T36*H36+V36*J36),0),ROUND(IF(D36="简单平均",AVERAGE(R36:V36),R36*F36+T36*H36+V36*J36),1))</f>
        <v>#DIV/0!</v>
      </c>
      <c r="S37" s="3784"/>
      <c r="T37" s="3784"/>
      <c r="U37" s="3784"/>
      <c r="V37" s="3784"/>
      <c r="W37" s="3784"/>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96" t="s">
        <v>1770</v>
      </c>
      <c r="D4" s="3697"/>
      <c r="E4" s="3698" t="s">
        <v>1771</v>
      </c>
      <c r="F4" s="3699"/>
      <c r="G4" s="3696" t="s">
        <v>1772</v>
      </c>
      <c r="H4" s="3697"/>
      <c r="I4" s="3696" t="s">
        <v>1773</v>
      </c>
      <c r="J4" s="3697"/>
      <c r="K4" s="559" t="s">
        <v>1774</v>
      </c>
      <c r="L4" s="2712"/>
      <c r="M4" s="2713"/>
      <c r="N4" s="2713"/>
      <c r="O4" s="2713"/>
      <c r="P4" s="3730" t="s">
        <v>1775</v>
      </c>
      <c r="Q4" s="3731"/>
      <c r="R4" s="3727" t="s">
        <v>1771</v>
      </c>
      <c r="S4" s="3728"/>
      <c r="T4" s="3727" t="s">
        <v>1772</v>
      </c>
      <c r="U4" s="3728"/>
      <c r="V4" s="3709" t="s">
        <v>1773</v>
      </c>
      <c r="W4" s="3709"/>
      <c r="X4" s="1354"/>
      <c r="Y4" s="3727" t="s">
        <v>1775</v>
      </c>
      <c r="Z4" s="3728"/>
      <c r="AA4" s="3726" t="s">
        <v>1771</v>
      </c>
      <c r="AB4" s="3676" t="s">
        <v>1772</v>
      </c>
      <c r="AC4" s="3726" t="s">
        <v>1773</v>
      </c>
    </row>
    <row r="5" spans="1:30" ht="15">
      <c r="A5" s="358"/>
      <c r="B5" s="359"/>
      <c r="C5" s="3729" t="s">
        <v>1673</v>
      </c>
      <c r="D5" s="3687"/>
      <c r="E5" s="3782" t="s">
        <v>1674</v>
      </c>
      <c r="F5" s="3685"/>
      <c r="G5" s="3729" t="s">
        <v>1675</v>
      </c>
      <c r="H5" s="3687"/>
      <c r="I5" s="3729" t="s">
        <v>1676</v>
      </c>
      <c r="J5" s="3687"/>
      <c r="K5" s="559"/>
      <c r="L5" s="2712"/>
      <c r="M5" s="2713"/>
      <c r="N5" s="2713"/>
      <c r="O5" s="2713"/>
      <c r="P5" s="3732"/>
      <c r="Q5" s="3703"/>
      <c r="R5" s="3682"/>
      <c r="S5" s="3683"/>
      <c r="T5" s="3682"/>
      <c r="U5" s="3683"/>
      <c r="V5" s="3709"/>
      <c r="W5" s="3709"/>
      <c r="X5" s="1354"/>
      <c r="Y5" s="3682"/>
      <c r="Z5" s="3683"/>
      <c r="AA5" s="3676"/>
      <c r="AB5" s="3676"/>
      <c r="AC5" s="3676"/>
    </row>
    <row r="6" spans="1:30" ht="15.75" thickBot="1">
      <c r="A6" s="360"/>
      <c r="B6" s="361"/>
      <c r="C6" s="3688" t="s">
        <v>1677</v>
      </c>
      <c r="D6" s="3689"/>
      <c r="E6" s="3690" t="s">
        <v>1677</v>
      </c>
      <c r="F6" s="3691"/>
      <c r="G6" s="3688" t="s">
        <v>1677</v>
      </c>
      <c r="H6" s="3689"/>
      <c r="I6" s="3688" t="s">
        <v>1677</v>
      </c>
      <c r="J6" s="3689"/>
      <c r="K6" s="559" t="s">
        <v>1678</v>
      </c>
      <c r="L6" s="2712"/>
      <c r="M6" s="2713"/>
      <c r="N6" s="2713"/>
      <c r="O6" s="2713"/>
      <c r="P6" s="3733"/>
      <c r="Q6" s="3705"/>
      <c r="R6" s="3682"/>
      <c r="S6" s="3683"/>
      <c r="T6" s="3706"/>
      <c r="U6" s="3707"/>
      <c r="V6" s="3709"/>
      <c r="W6" s="3709"/>
      <c r="X6" s="1354"/>
      <c r="Y6" s="3706"/>
      <c r="Z6" s="3707"/>
      <c r="AA6" s="3677"/>
      <c r="AB6" s="3677"/>
      <c r="AC6" s="3677"/>
    </row>
    <row r="7" spans="1:30" s="108" customFormat="1" ht="15.75" thickBot="1">
      <c r="A7" s="362" t="s">
        <v>1679</v>
      </c>
      <c r="B7" s="363"/>
      <c r="C7" s="364">
        <f>'数据-取费表'!B2</f>
        <v>45728</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8" t="s">
        <v>1680</v>
      </c>
      <c r="Q7" s="3711"/>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8" t="s">
        <v>1683</v>
      </c>
      <c r="Q8" s="3679"/>
      <c r="R8" s="700" t="s">
        <v>14</v>
      </c>
      <c r="S8" s="701">
        <f t="shared" si="0"/>
        <v>0</v>
      </c>
      <c r="T8" s="700" t="s">
        <v>14</v>
      </c>
      <c r="U8" s="701">
        <f t="shared" si="1"/>
        <v>0</v>
      </c>
      <c r="V8" s="700" t="s">
        <v>14</v>
      </c>
      <c r="W8" s="701">
        <f t="shared" si="2"/>
        <v>0</v>
      </c>
      <c r="X8" s="702"/>
      <c r="Y8" s="3678" t="s">
        <v>1683</v>
      </c>
      <c r="Z8" s="3679"/>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21"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6"/>
      <c r="M10" s="2717"/>
      <c r="N10" s="2717"/>
      <c r="O10" s="2770"/>
      <c r="P10" s="3721"/>
      <c r="Q10" s="1342" t="str">
        <f t="shared" si="6"/>
        <v>土地使用年限（年）</v>
      </c>
      <c r="R10" s="700" t="s">
        <v>14</v>
      </c>
      <c r="S10" s="701">
        <f t="shared" si="0"/>
        <v>115</v>
      </c>
      <c r="T10" s="700" t="s">
        <v>14</v>
      </c>
      <c r="U10" s="701">
        <f t="shared" si="1"/>
        <v>115</v>
      </c>
      <c r="V10" s="700" t="s">
        <v>14</v>
      </c>
      <c r="W10" s="701">
        <f t="shared" si="2"/>
        <v>115</v>
      </c>
      <c r="X10" s="702"/>
      <c r="Y10" s="3648"/>
      <c r="Z10" s="52" t="str">
        <f t="shared" si="7"/>
        <v>土地使用年限（年）</v>
      </c>
      <c r="AA10" s="703">
        <f t="shared" si="3"/>
        <v>0.86956521739130432</v>
      </c>
      <c r="AB10" s="703">
        <f t="shared" si="4"/>
        <v>0.86956521739130432</v>
      </c>
      <c r="AC10" s="703">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21"/>
      <c r="Q11" s="1342" t="str">
        <f t="shared" si="6"/>
        <v>容积率</v>
      </c>
      <c r="R11" s="700" t="s">
        <v>14</v>
      </c>
      <c r="S11" s="701" t="e">
        <f t="shared" si="0"/>
        <v>#N/A</v>
      </c>
      <c r="T11" s="700" t="s">
        <v>14</v>
      </c>
      <c r="U11" s="701" t="e">
        <f t="shared" si="1"/>
        <v>#N/A</v>
      </c>
      <c r="V11" s="700" t="s">
        <v>14</v>
      </c>
      <c r="W11" s="701" t="e">
        <f t="shared" si="2"/>
        <v>#N/A</v>
      </c>
      <c r="X11" s="702"/>
      <c r="Y11" s="364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21"/>
      <c r="Q12" s="1342" t="str">
        <f t="shared" si="6"/>
        <v>配建</v>
      </c>
      <c r="R12" s="700" t="s">
        <v>14</v>
      </c>
      <c r="S12" s="701">
        <f t="shared" si="0"/>
        <v>100</v>
      </c>
      <c r="T12" s="700" t="s">
        <v>14</v>
      </c>
      <c r="U12" s="701">
        <f t="shared" si="1"/>
        <v>100</v>
      </c>
      <c r="V12" s="700" t="s">
        <v>14</v>
      </c>
      <c r="W12" s="701">
        <f t="shared" si="2"/>
        <v>100</v>
      </c>
      <c r="X12" s="702"/>
      <c r="Y12" s="364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4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21"/>
      <c r="Q14" s="1342">
        <f t="shared" si="6"/>
        <v>111</v>
      </c>
      <c r="R14" s="700" t="s">
        <v>14</v>
      </c>
      <c r="S14" s="701">
        <f t="shared" si="0"/>
        <v>100</v>
      </c>
      <c r="T14" s="700" t="s">
        <v>14</v>
      </c>
      <c r="U14" s="701">
        <f t="shared" si="1"/>
        <v>100</v>
      </c>
      <c r="V14" s="700" t="s">
        <v>14</v>
      </c>
      <c r="W14" s="701">
        <f t="shared" si="2"/>
        <v>100</v>
      </c>
      <c r="X14" s="702"/>
      <c r="Y14" s="364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4" t="s">
        <v>1691</v>
      </c>
      <c r="Q15" s="1351" t="str">
        <f t="shared" si="6"/>
        <v>居住社区成熟度</v>
      </c>
      <c r="R15" s="704" t="s">
        <v>14</v>
      </c>
      <c r="S15" s="705">
        <f t="shared" si="0"/>
        <v>100</v>
      </c>
      <c r="T15" s="704" t="s">
        <v>14</v>
      </c>
      <c r="U15" s="705">
        <f t="shared" si="1"/>
        <v>100</v>
      </c>
      <c r="V15" s="704" t="s">
        <v>14</v>
      </c>
      <c r="W15" s="705">
        <f t="shared" si="2"/>
        <v>100</v>
      </c>
      <c r="X15" s="1354"/>
      <c r="Y15" s="371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15"/>
      <c r="Q16" s="1351"/>
      <c r="R16" s="704"/>
      <c r="S16" s="705"/>
      <c r="T16" s="704"/>
      <c r="U16" s="705"/>
      <c r="V16" s="704"/>
      <c r="W16" s="705"/>
      <c r="X16" s="1354"/>
      <c r="Y16" s="3715"/>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5"/>
      <c r="Q17" s="1351" t="str">
        <f>B17</f>
        <v>商业繁华度</v>
      </c>
      <c r="R17" s="704" t="s">
        <v>14</v>
      </c>
      <c r="S17" s="705">
        <f>F17</f>
        <v>100</v>
      </c>
      <c r="T17" s="704" t="s">
        <v>14</v>
      </c>
      <c r="U17" s="705">
        <f>H17</f>
        <v>100</v>
      </c>
      <c r="V17" s="704" t="s">
        <v>14</v>
      </c>
      <c r="W17" s="705">
        <f>J17</f>
        <v>100</v>
      </c>
      <c r="X17" s="1354"/>
      <c r="Y17" s="371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15"/>
      <c r="Q18" s="1351"/>
      <c r="R18" s="704"/>
      <c r="S18" s="705"/>
      <c r="T18" s="704"/>
      <c r="U18" s="705"/>
      <c r="V18" s="704"/>
      <c r="W18" s="705"/>
      <c r="X18" s="1354"/>
      <c r="Y18" s="3715"/>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5"/>
      <c r="Q19" s="1351" t="str">
        <f>B19</f>
        <v>办公集聚程度</v>
      </c>
      <c r="R19" s="704" t="s">
        <v>14</v>
      </c>
      <c r="S19" s="705">
        <f>F19</f>
        <v>100</v>
      </c>
      <c r="T19" s="704" t="s">
        <v>14</v>
      </c>
      <c r="U19" s="705">
        <f>H19</f>
        <v>100</v>
      </c>
      <c r="V19" s="704" t="s">
        <v>14</v>
      </c>
      <c r="W19" s="705">
        <f>J19</f>
        <v>100</v>
      </c>
      <c r="X19" s="1354"/>
      <c r="Y19" s="371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15"/>
      <c r="Q20" s="1351"/>
      <c r="R20" s="704"/>
      <c r="S20" s="705"/>
      <c r="T20" s="704"/>
      <c r="U20" s="705"/>
      <c r="V20" s="704"/>
      <c r="W20" s="705"/>
      <c r="X20" s="1354"/>
      <c r="Y20" s="3715"/>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5"/>
      <c r="Q21" s="1351" t="str">
        <f>B21</f>
        <v>交通便捷度</v>
      </c>
      <c r="R21" s="704" t="s">
        <v>14</v>
      </c>
      <c r="S21" s="705">
        <f>F21</f>
        <v>100</v>
      </c>
      <c r="T21" s="704" t="s">
        <v>14</v>
      </c>
      <c r="U21" s="705">
        <f>H21</f>
        <v>100</v>
      </c>
      <c r="V21" s="704" t="s">
        <v>14</v>
      </c>
      <c r="W21" s="705">
        <f>J21</f>
        <v>100</v>
      </c>
      <c r="X21" s="1354"/>
      <c r="Y21" s="371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15"/>
      <c r="Q22" s="1351"/>
      <c r="R22" s="704"/>
      <c r="S22" s="705"/>
      <c r="T22" s="704"/>
      <c r="U22" s="705"/>
      <c r="V22" s="704"/>
      <c r="W22" s="705"/>
      <c r="X22" s="1354"/>
      <c r="Y22" s="371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5"/>
      <c r="Q23" s="1351" t="str">
        <f t="shared" ref="Q23:Q37" si="8">B23</f>
        <v>区域土地利用方向</v>
      </c>
      <c r="R23" s="704" t="s">
        <v>14</v>
      </c>
      <c r="S23" s="705">
        <f>F23</f>
        <v>100</v>
      </c>
      <c r="T23" s="704" t="s">
        <v>14</v>
      </c>
      <c r="U23" s="705">
        <f>H23</f>
        <v>100</v>
      </c>
      <c r="V23" s="704" t="s">
        <v>14</v>
      </c>
      <c r="W23" s="705">
        <f>J23</f>
        <v>100</v>
      </c>
      <c r="X23" s="1354"/>
      <c r="Y23" s="371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15"/>
      <c r="Q24" s="1351"/>
      <c r="R24" s="704"/>
      <c r="S24" s="705"/>
      <c r="T24" s="704"/>
      <c r="U24" s="705"/>
      <c r="V24" s="704"/>
      <c r="W24" s="705"/>
      <c r="X24" s="1354"/>
      <c r="Y24" s="3715"/>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5"/>
      <c r="Q25" s="1351" t="str">
        <f t="shared" si="8"/>
        <v>自然及人文环境状况</v>
      </c>
      <c r="R25" s="704" t="s">
        <v>14</v>
      </c>
      <c r="S25" s="705">
        <f>F25</f>
        <v>100</v>
      </c>
      <c r="T25" s="704" t="s">
        <v>14</v>
      </c>
      <c r="U25" s="705">
        <f>H25</f>
        <v>100</v>
      </c>
      <c r="V25" s="704" t="s">
        <v>14</v>
      </c>
      <c r="W25" s="705">
        <f>J25</f>
        <v>100</v>
      </c>
      <c r="X25" s="1354"/>
      <c r="Y25" s="371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15"/>
      <c r="Q26" s="1351"/>
      <c r="R26" s="704"/>
      <c r="S26" s="705"/>
      <c r="T26" s="704"/>
      <c r="U26" s="705"/>
      <c r="V26" s="704"/>
      <c r="W26" s="705"/>
      <c r="X26" s="1354"/>
      <c r="Y26" s="3715"/>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5"/>
      <c r="Q27" s="1342" t="str">
        <f t="shared" si="8"/>
        <v>公共配套设施</v>
      </c>
      <c r="R27" s="700" t="s">
        <v>14</v>
      </c>
      <c r="S27" s="701">
        <f>F27</f>
        <v>100</v>
      </c>
      <c r="T27" s="700" t="s">
        <v>14</v>
      </c>
      <c r="U27" s="701">
        <f>H27</f>
        <v>100</v>
      </c>
      <c r="V27" s="700" t="s">
        <v>14</v>
      </c>
      <c r="W27" s="701">
        <f>J27</f>
        <v>100</v>
      </c>
      <c r="X27" s="702"/>
      <c r="Y27" s="371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15"/>
      <c r="Q28" s="1342"/>
      <c r="R28" s="700"/>
      <c r="S28" s="701"/>
      <c r="T28" s="700"/>
      <c r="U28" s="701"/>
      <c r="V28" s="700"/>
      <c r="W28" s="701"/>
      <c r="X28" s="702"/>
      <c r="Y28" s="3715"/>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5"/>
      <c r="Q29" s="1342" t="str">
        <f t="shared" ref="Q29" si="9">B29</f>
        <v>基础设施水平</v>
      </c>
      <c r="R29" s="700" t="s">
        <v>14</v>
      </c>
      <c r="S29" s="701">
        <f>F29</f>
        <v>100</v>
      </c>
      <c r="T29" s="700" t="s">
        <v>14</v>
      </c>
      <c r="U29" s="701">
        <f>H29</f>
        <v>100</v>
      </c>
      <c r="V29" s="700" t="s">
        <v>14</v>
      </c>
      <c r="W29" s="701">
        <f>J29</f>
        <v>100</v>
      </c>
      <c r="X29" s="702"/>
      <c r="Y29" s="371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15"/>
      <c r="Q30" s="1342"/>
      <c r="R30" s="700"/>
      <c r="S30" s="701"/>
      <c r="T30" s="700"/>
      <c r="U30" s="701"/>
      <c r="V30" s="700"/>
      <c r="W30" s="701"/>
      <c r="X30" s="702"/>
      <c r="Y30" s="371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5"/>
      <c r="Q32" s="1351" t="str">
        <f t="shared" si="8"/>
        <v>毗邻道路的类型与等级</v>
      </c>
      <c r="R32" s="704" t="s">
        <v>14</v>
      </c>
      <c r="S32" s="705">
        <f t="shared" si="10"/>
        <v>100</v>
      </c>
      <c r="T32" s="704" t="s">
        <v>14</v>
      </c>
      <c r="U32" s="705">
        <f t="shared" si="11"/>
        <v>100</v>
      </c>
      <c r="V32" s="704" t="s">
        <v>14</v>
      </c>
      <c r="W32" s="705">
        <f t="shared" si="12"/>
        <v>100</v>
      </c>
      <c r="X32" s="1354"/>
      <c r="Y32" s="371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15"/>
      <c r="Q33" s="1351"/>
      <c r="R33" s="704"/>
      <c r="S33" s="705"/>
      <c r="T33" s="704"/>
      <c r="U33" s="705"/>
      <c r="V33" s="704"/>
      <c r="W33" s="705"/>
      <c r="X33" s="1354"/>
      <c r="Y33" s="371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5"/>
      <c r="Q34" s="1351" t="str">
        <f t="shared" si="8"/>
        <v>土地级别</v>
      </c>
      <c r="R34" s="704" t="s">
        <v>14</v>
      </c>
      <c r="S34" s="705">
        <f t="shared" si="10"/>
        <v>100</v>
      </c>
      <c r="T34" s="704" t="s">
        <v>14</v>
      </c>
      <c r="U34" s="705">
        <f t="shared" si="11"/>
        <v>100</v>
      </c>
      <c r="V34" s="704" t="s">
        <v>14</v>
      </c>
      <c r="W34" s="705">
        <f t="shared" si="12"/>
        <v>100</v>
      </c>
      <c r="X34" s="1354"/>
      <c r="Y34" s="371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5"/>
      <c r="Q35" s="1351">
        <f t="shared" si="8"/>
        <v>111</v>
      </c>
      <c r="R35" s="704" t="s">
        <v>14</v>
      </c>
      <c r="S35" s="705">
        <f t="shared" si="10"/>
        <v>100</v>
      </c>
      <c r="T35" s="704" t="s">
        <v>14</v>
      </c>
      <c r="U35" s="705">
        <f t="shared" si="11"/>
        <v>100</v>
      </c>
      <c r="V35" s="704" t="s">
        <v>14</v>
      </c>
      <c r="W35" s="705">
        <f t="shared" si="12"/>
        <v>100</v>
      </c>
      <c r="X35" s="1354"/>
      <c r="Y35" s="371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3" t="s">
        <v>1696</v>
      </c>
      <c r="Q36" s="1351">
        <f t="shared" si="8"/>
        <v>111</v>
      </c>
      <c r="R36" s="704" t="s">
        <v>14</v>
      </c>
      <c r="S36" s="705">
        <f t="shared" si="10"/>
        <v>100</v>
      </c>
      <c r="T36" s="704" t="s">
        <v>14</v>
      </c>
      <c r="U36" s="705">
        <f t="shared" si="11"/>
        <v>100</v>
      </c>
      <c r="V36" s="704" t="s">
        <v>14</v>
      </c>
      <c r="W36" s="705">
        <f t="shared" si="12"/>
        <v>100</v>
      </c>
      <c r="X36" s="1354"/>
      <c r="Y36" s="371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9"/>
      <c r="Q37" s="1351">
        <f t="shared" si="8"/>
        <v>111</v>
      </c>
      <c r="R37" s="707" t="s">
        <v>14</v>
      </c>
      <c r="S37" s="708">
        <f t="shared" si="10"/>
        <v>100</v>
      </c>
      <c r="T37" s="707" t="s">
        <v>14</v>
      </c>
      <c r="U37" s="708">
        <f t="shared" si="11"/>
        <v>100</v>
      </c>
      <c r="V37" s="707" t="s">
        <v>14</v>
      </c>
      <c r="W37" s="708">
        <f t="shared" si="12"/>
        <v>100</v>
      </c>
      <c r="X37" s="709"/>
      <c r="Y37" s="371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9"/>
      <c r="Q38" s="1351" t="str">
        <f>B38</f>
        <v>宗地面积</v>
      </c>
      <c r="R38" s="704" t="s">
        <v>14</v>
      </c>
      <c r="S38" s="705" t="e">
        <f t="shared" si="10"/>
        <v>#N/A</v>
      </c>
      <c r="T38" s="704" t="s">
        <v>14</v>
      </c>
      <c r="U38" s="705" t="e">
        <f t="shared" si="11"/>
        <v>#N/A</v>
      </c>
      <c r="V38" s="704" t="s">
        <v>14</v>
      </c>
      <c r="W38" s="705" t="e">
        <f t="shared" si="12"/>
        <v>#N/A</v>
      </c>
      <c r="X38" s="1354"/>
      <c r="Y38" s="371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9"/>
      <c r="Q39" s="1351" t="str">
        <f t="shared" ref="Q39:Q45" si="14">B39</f>
        <v>宗地形状</v>
      </c>
      <c r="R39" s="704" t="s">
        <v>14</v>
      </c>
      <c r="S39" s="705">
        <f t="shared" si="10"/>
        <v>100</v>
      </c>
      <c r="T39" s="704" t="s">
        <v>14</v>
      </c>
      <c r="U39" s="705">
        <f t="shared" si="11"/>
        <v>100</v>
      </c>
      <c r="V39" s="704" t="s">
        <v>14</v>
      </c>
      <c r="W39" s="705">
        <f t="shared" si="12"/>
        <v>100</v>
      </c>
      <c r="X39" s="1354"/>
      <c r="Y39" s="371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9"/>
      <c r="Q40" s="1351" t="str">
        <f t="shared" si="14"/>
        <v>临街宽度及深度</v>
      </c>
      <c r="R40" s="704" t="s">
        <v>14</v>
      </c>
      <c r="S40" s="705">
        <f t="shared" si="10"/>
        <v>100</v>
      </c>
      <c r="T40" s="704" t="s">
        <v>14</v>
      </c>
      <c r="U40" s="705">
        <f t="shared" si="11"/>
        <v>100</v>
      </c>
      <c r="V40" s="704" t="s">
        <v>14</v>
      </c>
      <c r="W40" s="705">
        <f t="shared" si="12"/>
        <v>100</v>
      </c>
      <c r="X40" s="1354"/>
      <c r="Y40" s="371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19"/>
      <c r="Q41" s="1351" t="str">
        <f t="shared" si="14"/>
        <v>宗地开发程度</v>
      </c>
      <c r="R41" s="700" t="s">
        <v>14</v>
      </c>
      <c r="S41" s="701">
        <f t="shared" si="10"/>
        <v>100</v>
      </c>
      <c r="T41" s="700" t="s">
        <v>14</v>
      </c>
      <c r="U41" s="701">
        <f t="shared" si="11"/>
        <v>100</v>
      </c>
      <c r="V41" s="700" t="s">
        <v>14</v>
      </c>
      <c r="W41" s="701">
        <f t="shared" si="12"/>
        <v>100</v>
      </c>
      <c r="X41" s="702"/>
      <c r="Y41" s="371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9" t="s">
        <v>1696</v>
      </c>
      <c r="Q42" s="1351" t="str">
        <f t="shared" si="14"/>
        <v>工程地质条件</v>
      </c>
      <c r="R42" s="704" t="s">
        <v>14</v>
      </c>
      <c r="S42" s="705">
        <f t="shared" si="10"/>
        <v>100</v>
      </c>
      <c r="T42" s="704" t="s">
        <v>14</v>
      </c>
      <c r="U42" s="705">
        <f t="shared" si="11"/>
        <v>100</v>
      </c>
      <c r="V42" s="704" t="s">
        <v>14</v>
      </c>
      <c r="W42" s="705">
        <f t="shared" si="12"/>
        <v>100</v>
      </c>
      <c r="X42" s="1354"/>
      <c r="Y42" s="371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9"/>
      <c r="Q43" s="1351">
        <f t="shared" si="14"/>
        <v>111</v>
      </c>
      <c r="R43" s="704" t="s">
        <v>14</v>
      </c>
      <c r="S43" s="705">
        <f t="shared" si="10"/>
        <v>100</v>
      </c>
      <c r="T43" s="704" t="s">
        <v>14</v>
      </c>
      <c r="U43" s="705">
        <f t="shared" si="11"/>
        <v>100</v>
      </c>
      <c r="V43" s="704" t="s">
        <v>14</v>
      </c>
      <c r="W43" s="705">
        <f t="shared" si="12"/>
        <v>100</v>
      </c>
      <c r="X43" s="1354"/>
      <c r="Y43" s="371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9"/>
      <c r="Q44" s="1351">
        <f t="shared" si="14"/>
        <v>111</v>
      </c>
      <c r="R44" s="704" t="s">
        <v>14</v>
      </c>
      <c r="S44" s="705">
        <f t="shared" si="10"/>
        <v>100</v>
      </c>
      <c r="T44" s="704" t="s">
        <v>14</v>
      </c>
      <c r="U44" s="705">
        <f t="shared" si="11"/>
        <v>100</v>
      </c>
      <c r="V44" s="704" t="s">
        <v>14</v>
      </c>
      <c r="W44" s="705">
        <f t="shared" si="12"/>
        <v>100</v>
      </c>
      <c r="X44" s="1354"/>
      <c r="Y44" s="371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9"/>
      <c r="Q45" s="1351">
        <f t="shared" si="14"/>
        <v>111</v>
      </c>
      <c r="R45" s="707" t="s">
        <v>14</v>
      </c>
      <c r="S45" s="708">
        <f t="shared" si="10"/>
        <v>100</v>
      </c>
      <c r="T45" s="707" t="s">
        <v>14</v>
      </c>
      <c r="U45" s="708">
        <f t="shared" si="11"/>
        <v>100</v>
      </c>
      <c r="V45" s="707" t="s">
        <v>14</v>
      </c>
      <c r="W45" s="708">
        <f t="shared" si="12"/>
        <v>100</v>
      </c>
      <c r="X45" s="709"/>
      <c r="Y45" s="371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21" t="str">
        <f>A46</f>
        <v>成交单价</v>
      </c>
      <c r="Q46" s="3721"/>
      <c r="R46" s="3709">
        <f>E46</f>
        <v>0</v>
      </c>
      <c r="S46" s="3709"/>
      <c r="T46" s="3709">
        <f>G46</f>
        <v>0</v>
      </c>
      <c r="U46" s="3709"/>
      <c r="V46" s="3709">
        <f>I46</f>
        <v>0</v>
      </c>
      <c r="W46" s="370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21" t="str">
        <f>A47</f>
        <v>比较价值（元/平方米）</v>
      </c>
      <c r="Q47" s="3721"/>
      <c r="R47" s="3785" t="e">
        <f>ROUND(PRODUCT(R46,AA7:AA45),0)</f>
        <v>#DIV/0!</v>
      </c>
      <c r="S47" s="3785"/>
      <c r="T47" s="3785" t="e">
        <f>ROUND(PRODUCT(T46,AB7:AB45),0)</f>
        <v>#DIV/0!</v>
      </c>
      <c r="U47" s="3785"/>
      <c r="V47" s="3785" t="e">
        <f>ROUND(PRODUCT(V46,AC7:AC45),0)</f>
        <v>#DIV/0!</v>
      </c>
      <c r="W47" s="378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34" t="str">
        <f>A48</f>
        <v>估价对象XX用房的比较价值（楼面单价，元/平方米）</v>
      </c>
      <c r="Q48" s="3735"/>
      <c r="R48" s="3786" t="e">
        <f>ROUND(IF(D47="简单平均",AVERAGE(R47:W47),R47*F47+T47*H47+V47*J47),0)</f>
        <v>#DIV/0!</v>
      </c>
      <c r="S48" s="3786"/>
      <c r="T48" s="3786"/>
      <c r="U48" s="3786"/>
      <c r="V48" s="3786"/>
      <c r="W48" s="3786"/>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696" t="s">
        <v>1887</v>
      </c>
      <c r="H55" s="3787"/>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224.79</v>
      </c>
      <c r="F56" s="885" t="e">
        <f t="shared" ref="F56:F64" si="15">ROUND(B56*E56/10000,0)</f>
        <v>#DIV/0!</v>
      </c>
      <c r="G56" s="3692"/>
      <c r="H56" s="3721"/>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4">
        <v>0.25</v>
      </c>
      <c r="E57" s="642"/>
      <c r="F57" s="885" t="e">
        <f t="shared" si="15"/>
        <v>#DIV/0!</v>
      </c>
      <c r="G57" s="3003" t="s">
        <v>1892</v>
      </c>
      <c r="H57" s="886" t="str">
        <f>项目基本情况!B37</f>
        <v>七级</v>
      </c>
      <c r="I57" s="890">
        <f>SUMIF(修正!A57:A68,H57,修正!B57:B68)</f>
        <v>0.6</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4">
        <v>0.25</v>
      </c>
      <c r="E58" s="642"/>
      <c r="F58" s="885" t="e">
        <f t="shared" si="15"/>
        <v>#DIV/0!</v>
      </c>
      <c r="G58" s="3004"/>
      <c r="H58" s="886" t="str">
        <f>项目基本情况!B37</f>
        <v>七级</v>
      </c>
      <c r="I58" s="890">
        <f>SUMIF(修正!A57:A68,H58,修正!C57:C68)</f>
        <v>0.3</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4">
        <v>0.25</v>
      </c>
      <c r="E59" s="642"/>
      <c r="F59" s="885" t="e">
        <f t="shared" si="15"/>
        <v>#DIV/0!</v>
      </c>
      <c r="G59" s="3004"/>
      <c r="H59" s="886" t="str">
        <f>项目基本情况!B37</f>
        <v>七级</v>
      </c>
      <c r="I59" s="890">
        <f>SUMIF(修正!A57:A68,H59,修正!D57:D68)</f>
        <v>0.25</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4">
        <v>0.25</v>
      </c>
      <c r="E63" s="217">
        <f>'数据-汇总表'!E14</f>
        <v>0</v>
      </c>
      <c r="F63" s="885" t="e">
        <f t="shared" si="15"/>
        <v>#DIV/0!</v>
      </c>
      <c r="G63" s="1986" t="s">
        <v>1892</v>
      </c>
      <c r="H63" s="886" t="str">
        <f>项目基本情况!B37</f>
        <v>七级</v>
      </c>
      <c r="I63" s="890">
        <f>SUMIF(修正!A57:A68,H63,修正!G57:G68)</f>
        <v>0.15</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224.79</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2025-3-1</v>
      </c>
      <c r="D67" s="691">
        <f>EDATE(C67,-3)</f>
        <v>45627</v>
      </c>
      <c r="E67" s="691">
        <f>EDATE(D67,-3)</f>
        <v>45536</v>
      </c>
      <c r="F67" s="691">
        <f t="shared" ref="F67:O67" si="18">EDATE(E67,-3)</f>
        <v>45444</v>
      </c>
      <c r="G67" s="691">
        <f t="shared" si="18"/>
        <v>45352</v>
      </c>
      <c r="H67" s="691">
        <f t="shared" si="18"/>
        <v>45261</v>
      </c>
      <c r="I67" s="691">
        <f t="shared" si="18"/>
        <v>45170</v>
      </c>
      <c r="J67" s="691">
        <f t="shared" si="18"/>
        <v>45078</v>
      </c>
      <c r="K67" s="691">
        <f t="shared" si="18"/>
        <v>44986</v>
      </c>
      <c r="L67" s="691">
        <f t="shared" si="18"/>
        <v>44896</v>
      </c>
      <c r="M67" s="691">
        <f t="shared" si="18"/>
        <v>44805</v>
      </c>
      <c r="N67" s="691">
        <f t="shared" si="18"/>
        <v>44713</v>
      </c>
      <c r="O67" s="691">
        <f t="shared" si="18"/>
        <v>44621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2"/>
      <c r="M4" s="2713"/>
      <c r="N4" s="2713"/>
      <c r="O4" s="2713"/>
      <c r="P4" s="3730" t="s">
        <v>1775</v>
      </c>
      <c r="Q4" s="3731"/>
      <c r="R4" s="3727" t="s">
        <v>1771</v>
      </c>
      <c r="S4" s="3728"/>
      <c r="T4" s="3727" t="s">
        <v>1772</v>
      </c>
      <c r="U4" s="3728"/>
      <c r="V4" s="3709" t="s">
        <v>1773</v>
      </c>
      <c r="W4" s="3709"/>
      <c r="X4" s="1354"/>
      <c r="Y4" s="3727" t="s">
        <v>1775</v>
      </c>
      <c r="Z4" s="3728"/>
      <c r="AA4" s="3726" t="s">
        <v>1771</v>
      </c>
      <c r="AB4" s="3676" t="s">
        <v>1772</v>
      </c>
      <c r="AC4" s="3726" t="s">
        <v>1773</v>
      </c>
    </row>
    <row r="5" spans="1:29" ht="15">
      <c r="A5" s="358"/>
      <c r="B5" s="359"/>
      <c r="C5" s="3729" t="s">
        <v>1673</v>
      </c>
      <c r="D5" s="3687"/>
      <c r="E5" s="3782" t="s">
        <v>1674</v>
      </c>
      <c r="F5" s="3685"/>
      <c r="G5" s="3729" t="s">
        <v>1675</v>
      </c>
      <c r="H5" s="3687"/>
      <c r="I5" s="3729" t="s">
        <v>1676</v>
      </c>
      <c r="J5" s="3687"/>
      <c r="K5" s="559"/>
      <c r="L5" s="2712"/>
      <c r="M5" s="2713"/>
      <c r="N5" s="2713"/>
      <c r="O5" s="2713"/>
      <c r="P5" s="3732"/>
      <c r="Q5" s="3703"/>
      <c r="R5" s="3682"/>
      <c r="S5" s="3683"/>
      <c r="T5" s="3682"/>
      <c r="U5" s="3683"/>
      <c r="V5" s="3709"/>
      <c r="W5" s="3709"/>
      <c r="X5" s="1354"/>
      <c r="Y5" s="3682"/>
      <c r="Z5" s="3683"/>
      <c r="AA5" s="3676"/>
      <c r="AB5" s="3676"/>
      <c r="AC5" s="3676"/>
    </row>
    <row r="6" spans="1:29" ht="15.75" thickBot="1">
      <c r="A6" s="360"/>
      <c r="B6" s="361"/>
      <c r="C6" s="3788" t="s">
        <v>1919</v>
      </c>
      <c r="D6" s="3789"/>
      <c r="E6" s="3790" t="s">
        <v>1919</v>
      </c>
      <c r="F6" s="3791"/>
      <c r="G6" s="3788" t="s">
        <v>1919</v>
      </c>
      <c r="H6" s="3789"/>
      <c r="I6" s="3788" t="s">
        <v>1919</v>
      </c>
      <c r="J6" s="3789"/>
      <c r="K6" s="559" t="s">
        <v>1678</v>
      </c>
      <c r="L6" s="2712"/>
      <c r="M6" s="2713"/>
      <c r="N6" s="2713"/>
      <c r="O6" s="2713"/>
      <c r="P6" s="3733"/>
      <c r="Q6" s="3705"/>
      <c r="R6" s="3682"/>
      <c r="S6" s="3683"/>
      <c r="T6" s="3706"/>
      <c r="U6" s="3707"/>
      <c r="V6" s="3709"/>
      <c r="W6" s="3709"/>
      <c r="X6" s="1354"/>
      <c r="Y6" s="3706"/>
      <c r="Z6" s="3707"/>
      <c r="AA6" s="3677"/>
      <c r="AB6" s="3677"/>
      <c r="AC6" s="3677"/>
    </row>
    <row r="7" spans="1:29" s="108" customFormat="1" ht="15.75" thickBot="1">
      <c r="A7" s="362" t="s">
        <v>1679</v>
      </c>
      <c r="B7" s="363"/>
      <c r="C7" s="364">
        <f>'数据-取费表'!B2</f>
        <v>45728</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8" t="s">
        <v>1680</v>
      </c>
      <c r="Q7" s="3711"/>
      <c r="R7" s="700" t="s">
        <v>14</v>
      </c>
      <c r="S7" s="701">
        <f t="shared" ref="S7:S15" si="0">F7</f>
        <v>0</v>
      </c>
      <c r="T7" s="700" t="s">
        <v>14</v>
      </c>
      <c r="U7" s="701">
        <f t="shared" ref="U7:U15" si="1">H7</f>
        <v>0</v>
      </c>
      <c r="V7" s="700" t="s">
        <v>14</v>
      </c>
      <c r="W7" s="701">
        <f t="shared" ref="W7:W15" si="2">J7</f>
        <v>0</v>
      </c>
      <c r="X7" s="702"/>
      <c r="Y7" s="3678" t="s">
        <v>1680</v>
      </c>
      <c r="Z7" s="3679"/>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8" t="s">
        <v>1683</v>
      </c>
      <c r="Q8" s="3679"/>
      <c r="R8" s="700" t="s">
        <v>14</v>
      </c>
      <c r="S8" s="701">
        <f t="shared" si="0"/>
        <v>0</v>
      </c>
      <c r="T8" s="700" t="s">
        <v>14</v>
      </c>
      <c r="U8" s="701">
        <f t="shared" si="1"/>
        <v>0</v>
      </c>
      <c r="V8" s="700" t="s">
        <v>14</v>
      </c>
      <c r="W8" s="701">
        <f t="shared" si="2"/>
        <v>0</v>
      </c>
      <c r="X8" s="702"/>
      <c r="Y8" s="3678" t="s">
        <v>1683</v>
      </c>
      <c r="Z8" s="3679"/>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21" t="s">
        <v>1686</v>
      </c>
      <c r="Q9" s="1342" t="str">
        <f t="shared" ref="Q9:Q15" si="6">B9</f>
        <v>用途</v>
      </c>
      <c r="R9" s="700" t="s">
        <v>14</v>
      </c>
      <c r="S9" s="701">
        <f t="shared" si="0"/>
        <v>100</v>
      </c>
      <c r="T9" s="700" t="s">
        <v>14</v>
      </c>
      <c r="U9" s="701">
        <f t="shared" si="1"/>
        <v>100</v>
      </c>
      <c r="V9" s="700" t="s">
        <v>14</v>
      </c>
      <c r="W9" s="701">
        <f t="shared" si="2"/>
        <v>100</v>
      </c>
      <c r="X9" s="702"/>
      <c r="Y9" s="364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6"/>
      <c r="M10" s="2717"/>
      <c r="N10" s="2717"/>
      <c r="O10" s="2770"/>
      <c r="P10" s="3721"/>
      <c r="Q10" s="1342" t="str">
        <f t="shared" si="6"/>
        <v>土地使用年限（年）</v>
      </c>
      <c r="R10" s="700" t="s">
        <v>14</v>
      </c>
      <c r="S10" s="701">
        <f t="shared" si="0"/>
        <v>115</v>
      </c>
      <c r="T10" s="700" t="s">
        <v>14</v>
      </c>
      <c r="U10" s="701">
        <f t="shared" si="1"/>
        <v>115</v>
      </c>
      <c r="V10" s="700" t="s">
        <v>14</v>
      </c>
      <c r="W10" s="701">
        <f t="shared" si="2"/>
        <v>115</v>
      </c>
      <c r="X10" s="702"/>
      <c r="Y10" s="3648"/>
      <c r="Z10" s="52" t="str">
        <f t="shared" si="7"/>
        <v>土地使用年限（年）</v>
      </c>
      <c r="AA10" s="703">
        <f t="shared" si="3"/>
        <v>0.86956521739130432</v>
      </c>
      <c r="AB10" s="703">
        <f t="shared" si="4"/>
        <v>0.86956521739130432</v>
      </c>
      <c r="AC10" s="703">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21"/>
      <c r="Q11" s="1342" t="str">
        <f t="shared" si="6"/>
        <v>容积率</v>
      </c>
      <c r="R11" s="700" t="s">
        <v>14</v>
      </c>
      <c r="S11" s="701" t="e">
        <f t="shared" si="0"/>
        <v>#N/A</v>
      </c>
      <c r="T11" s="700" t="s">
        <v>14</v>
      </c>
      <c r="U11" s="701" t="e">
        <f t="shared" si="1"/>
        <v>#N/A</v>
      </c>
      <c r="V11" s="700" t="s">
        <v>14</v>
      </c>
      <c r="W11" s="701" t="e">
        <f t="shared" si="2"/>
        <v>#N/A</v>
      </c>
      <c r="X11" s="702"/>
      <c r="Y11" s="364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21"/>
      <c r="Q12" s="1342">
        <f t="shared" si="6"/>
        <v>111</v>
      </c>
      <c r="R12" s="700" t="s">
        <v>14</v>
      </c>
      <c r="S12" s="701">
        <f t="shared" si="0"/>
        <v>100</v>
      </c>
      <c r="T12" s="700" t="s">
        <v>14</v>
      </c>
      <c r="U12" s="701">
        <f t="shared" si="1"/>
        <v>100</v>
      </c>
      <c r="V12" s="700" t="s">
        <v>14</v>
      </c>
      <c r="W12" s="701">
        <f t="shared" si="2"/>
        <v>100</v>
      </c>
      <c r="X12" s="702"/>
      <c r="Y12" s="364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21"/>
      <c r="Q13" s="1342">
        <f t="shared" si="6"/>
        <v>111</v>
      </c>
      <c r="R13" s="700" t="s">
        <v>14</v>
      </c>
      <c r="S13" s="701">
        <f t="shared" si="0"/>
        <v>100</v>
      </c>
      <c r="T13" s="700" t="s">
        <v>14</v>
      </c>
      <c r="U13" s="701">
        <f t="shared" si="1"/>
        <v>100</v>
      </c>
      <c r="V13" s="700" t="s">
        <v>14</v>
      </c>
      <c r="W13" s="701">
        <f t="shared" si="2"/>
        <v>100</v>
      </c>
      <c r="X13" s="702"/>
      <c r="Y13" s="364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21"/>
      <c r="Q14" s="1342">
        <f t="shared" si="6"/>
        <v>111</v>
      </c>
      <c r="R14" s="700" t="s">
        <v>14</v>
      </c>
      <c r="S14" s="701">
        <f t="shared" si="0"/>
        <v>100</v>
      </c>
      <c r="T14" s="700" t="s">
        <v>14</v>
      </c>
      <c r="U14" s="701">
        <f t="shared" si="1"/>
        <v>100</v>
      </c>
      <c r="V14" s="700" t="s">
        <v>14</v>
      </c>
      <c r="W14" s="701">
        <f t="shared" si="2"/>
        <v>100</v>
      </c>
      <c r="X14" s="702"/>
      <c r="Y14" s="3648"/>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4" t="s">
        <v>1691</v>
      </c>
      <c r="Q15" s="1351" t="str">
        <f t="shared" si="6"/>
        <v>产业集聚程度</v>
      </c>
      <c r="R15" s="704" t="s">
        <v>14</v>
      </c>
      <c r="S15" s="705">
        <f t="shared" si="0"/>
        <v>100</v>
      </c>
      <c r="T15" s="704" t="s">
        <v>14</v>
      </c>
      <c r="U15" s="705">
        <f t="shared" si="1"/>
        <v>100</v>
      </c>
      <c r="V15" s="704" t="s">
        <v>14</v>
      </c>
      <c r="W15" s="705">
        <f t="shared" si="2"/>
        <v>100</v>
      </c>
      <c r="X15" s="1354"/>
      <c r="Y15" s="371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15"/>
      <c r="Q16" s="1351"/>
      <c r="R16" s="704"/>
      <c r="S16" s="705"/>
      <c r="T16" s="704"/>
      <c r="U16" s="705"/>
      <c r="V16" s="704"/>
      <c r="W16" s="705"/>
      <c r="X16" s="1354"/>
      <c r="Y16" s="3715"/>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5"/>
      <c r="Q17" s="1351" t="str">
        <f>B17</f>
        <v>交通便捷度</v>
      </c>
      <c r="R17" s="704" t="s">
        <v>14</v>
      </c>
      <c r="S17" s="705">
        <f>F17</f>
        <v>100</v>
      </c>
      <c r="T17" s="704" t="s">
        <v>14</v>
      </c>
      <c r="U17" s="705">
        <f>H17</f>
        <v>100</v>
      </c>
      <c r="V17" s="704" t="s">
        <v>14</v>
      </c>
      <c r="W17" s="705">
        <f>J17</f>
        <v>100</v>
      </c>
      <c r="X17" s="1354"/>
      <c r="Y17" s="371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15"/>
      <c r="Q18" s="1351"/>
      <c r="R18" s="704"/>
      <c r="S18" s="705"/>
      <c r="T18" s="704"/>
      <c r="U18" s="705"/>
      <c r="V18" s="704"/>
      <c r="W18" s="705"/>
      <c r="X18" s="1354"/>
      <c r="Y18" s="371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5"/>
      <c r="Q19" s="1351" t="str">
        <f t="shared" ref="Q19:Q33" si="8">B19</f>
        <v>区域土地利用方向</v>
      </c>
      <c r="R19" s="704" t="s">
        <v>14</v>
      </c>
      <c r="S19" s="705">
        <f>F19</f>
        <v>100</v>
      </c>
      <c r="T19" s="704" t="s">
        <v>14</v>
      </c>
      <c r="U19" s="705">
        <f>H19</f>
        <v>100</v>
      </c>
      <c r="V19" s="704" t="s">
        <v>14</v>
      </c>
      <c r="W19" s="705">
        <f>J19</f>
        <v>100</v>
      </c>
      <c r="X19" s="1354"/>
      <c r="Y19" s="371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15"/>
      <c r="Q20" s="1351"/>
      <c r="R20" s="704"/>
      <c r="S20" s="705"/>
      <c r="T20" s="704"/>
      <c r="U20" s="705"/>
      <c r="V20" s="704"/>
      <c r="W20" s="705"/>
      <c r="X20" s="1354"/>
      <c r="Y20" s="3715"/>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5"/>
      <c r="Q21" s="1351" t="str">
        <f t="shared" si="8"/>
        <v>环境状况</v>
      </c>
      <c r="R21" s="704" t="s">
        <v>14</v>
      </c>
      <c r="S21" s="705">
        <f>F21</f>
        <v>100</v>
      </c>
      <c r="T21" s="704" t="s">
        <v>14</v>
      </c>
      <c r="U21" s="705">
        <f>H21</f>
        <v>100</v>
      </c>
      <c r="V21" s="704" t="s">
        <v>14</v>
      </c>
      <c r="W21" s="705">
        <f>J21</f>
        <v>100</v>
      </c>
      <c r="X21" s="1354"/>
      <c r="Y21" s="371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15"/>
      <c r="Q22" s="1351"/>
      <c r="R22" s="704"/>
      <c r="S22" s="705"/>
      <c r="T22" s="704"/>
      <c r="U22" s="705"/>
      <c r="V22" s="704"/>
      <c r="W22" s="705"/>
      <c r="X22" s="1354"/>
      <c r="Y22" s="3715"/>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5"/>
      <c r="Q23" s="1342" t="str">
        <f t="shared" si="8"/>
        <v>公共配套设施</v>
      </c>
      <c r="R23" s="700" t="s">
        <v>14</v>
      </c>
      <c r="S23" s="701">
        <f>F23</f>
        <v>100</v>
      </c>
      <c r="T23" s="700" t="s">
        <v>14</v>
      </c>
      <c r="U23" s="701">
        <f>H23</f>
        <v>100</v>
      </c>
      <c r="V23" s="700" t="s">
        <v>14</v>
      </c>
      <c r="W23" s="701">
        <f>J23</f>
        <v>100</v>
      </c>
      <c r="X23" s="702"/>
      <c r="Y23" s="371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15"/>
      <c r="Q24" s="1342"/>
      <c r="R24" s="700"/>
      <c r="S24" s="701"/>
      <c r="T24" s="700"/>
      <c r="U24" s="701"/>
      <c r="V24" s="700"/>
      <c r="W24" s="701"/>
      <c r="X24" s="702"/>
      <c r="Y24" s="3715"/>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5"/>
      <c r="Q25" s="1342" t="str">
        <f t="shared" ref="Q25" si="9">B25</f>
        <v>基础设施水平</v>
      </c>
      <c r="R25" s="700" t="s">
        <v>14</v>
      </c>
      <c r="S25" s="701">
        <f>F25</f>
        <v>100</v>
      </c>
      <c r="T25" s="700" t="s">
        <v>14</v>
      </c>
      <c r="U25" s="701">
        <f>H25</f>
        <v>100</v>
      </c>
      <c r="V25" s="700" t="s">
        <v>14</v>
      </c>
      <c r="W25" s="701">
        <f>J25</f>
        <v>100</v>
      </c>
      <c r="X25" s="702"/>
      <c r="Y25" s="371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15"/>
      <c r="Q26" s="1342"/>
      <c r="R26" s="700"/>
      <c r="S26" s="701"/>
      <c r="T26" s="700"/>
      <c r="U26" s="701"/>
      <c r="V26" s="700"/>
      <c r="W26" s="701"/>
      <c r="X26" s="702"/>
      <c r="Y26" s="371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5"/>
      <c r="Q28" s="1351" t="str">
        <f t="shared" si="8"/>
        <v>毗邻道路的类型与等级</v>
      </c>
      <c r="R28" s="704" t="s">
        <v>14</v>
      </c>
      <c r="S28" s="705">
        <f t="shared" si="10"/>
        <v>100</v>
      </c>
      <c r="T28" s="704" t="s">
        <v>14</v>
      </c>
      <c r="U28" s="705">
        <f t="shared" si="11"/>
        <v>100</v>
      </c>
      <c r="V28" s="704" t="s">
        <v>14</v>
      </c>
      <c r="W28" s="705">
        <f t="shared" si="12"/>
        <v>100</v>
      </c>
      <c r="X28" s="1354"/>
      <c r="Y28" s="371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15"/>
      <c r="Q29" s="1351"/>
      <c r="R29" s="704"/>
      <c r="S29" s="705"/>
      <c r="T29" s="704"/>
      <c r="U29" s="705"/>
      <c r="V29" s="704"/>
      <c r="W29" s="705"/>
      <c r="X29" s="1354"/>
      <c r="Y29" s="371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5"/>
      <c r="Q30" s="1351" t="str">
        <f t="shared" si="8"/>
        <v>土地级别</v>
      </c>
      <c r="R30" s="704" t="s">
        <v>14</v>
      </c>
      <c r="S30" s="705">
        <f t="shared" si="10"/>
        <v>100</v>
      </c>
      <c r="T30" s="704" t="s">
        <v>14</v>
      </c>
      <c r="U30" s="705">
        <f t="shared" si="11"/>
        <v>100</v>
      </c>
      <c r="V30" s="704" t="s">
        <v>14</v>
      </c>
      <c r="W30" s="705">
        <f t="shared" si="12"/>
        <v>100</v>
      </c>
      <c r="X30" s="1354"/>
      <c r="Y30" s="371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5"/>
      <c r="Q31" s="1351">
        <f t="shared" si="8"/>
        <v>111</v>
      </c>
      <c r="R31" s="704" t="s">
        <v>14</v>
      </c>
      <c r="S31" s="705">
        <f t="shared" si="10"/>
        <v>100</v>
      </c>
      <c r="T31" s="704" t="s">
        <v>14</v>
      </c>
      <c r="U31" s="705">
        <f t="shared" si="11"/>
        <v>100</v>
      </c>
      <c r="V31" s="704" t="s">
        <v>14</v>
      </c>
      <c r="W31" s="705">
        <f t="shared" si="12"/>
        <v>100</v>
      </c>
      <c r="X31" s="1354"/>
      <c r="Y31" s="371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3" t="s">
        <v>1696</v>
      </c>
      <c r="Q32" s="1351">
        <f t="shared" si="8"/>
        <v>111</v>
      </c>
      <c r="R32" s="704" t="s">
        <v>14</v>
      </c>
      <c r="S32" s="705">
        <f t="shared" si="10"/>
        <v>100</v>
      </c>
      <c r="T32" s="704" t="s">
        <v>14</v>
      </c>
      <c r="U32" s="705">
        <f t="shared" si="11"/>
        <v>100</v>
      </c>
      <c r="V32" s="704" t="s">
        <v>14</v>
      </c>
      <c r="W32" s="705">
        <f t="shared" si="12"/>
        <v>100</v>
      </c>
      <c r="X32" s="1354"/>
      <c r="Y32" s="371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9"/>
      <c r="Q33" s="1351">
        <f t="shared" si="8"/>
        <v>111</v>
      </c>
      <c r="R33" s="707" t="s">
        <v>14</v>
      </c>
      <c r="S33" s="708">
        <f t="shared" si="10"/>
        <v>100</v>
      </c>
      <c r="T33" s="707" t="s">
        <v>14</v>
      </c>
      <c r="U33" s="708">
        <f t="shared" si="11"/>
        <v>100</v>
      </c>
      <c r="V33" s="707" t="s">
        <v>14</v>
      </c>
      <c r="W33" s="708">
        <f t="shared" si="12"/>
        <v>100</v>
      </c>
      <c r="X33" s="709"/>
      <c r="Y33" s="371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9"/>
      <c r="Q34" s="1351" t="str">
        <f>B34</f>
        <v>宗地面积</v>
      </c>
      <c r="R34" s="704" t="s">
        <v>14</v>
      </c>
      <c r="S34" s="705" t="e">
        <f t="shared" si="10"/>
        <v>#N/A</v>
      </c>
      <c r="T34" s="704" t="s">
        <v>14</v>
      </c>
      <c r="U34" s="705" t="e">
        <f t="shared" si="11"/>
        <v>#N/A</v>
      </c>
      <c r="V34" s="704" t="s">
        <v>14</v>
      </c>
      <c r="W34" s="705" t="e">
        <f t="shared" si="12"/>
        <v>#N/A</v>
      </c>
      <c r="X34" s="1354"/>
      <c r="Y34" s="371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9"/>
      <c r="Q35" s="1351" t="str">
        <f t="shared" ref="Q35:Q40" si="14">B35</f>
        <v>宗地形状</v>
      </c>
      <c r="R35" s="704" t="s">
        <v>14</v>
      </c>
      <c r="S35" s="705">
        <f t="shared" si="10"/>
        <v>100</v>
      </c>
      <c r="T35" s="704" t="s">
        <v>14</v>
      </c>
      <c r="U35" s="705">
        <f t="shared" si="11"/>
        <v>100</v>
      </c>
      <c r="V35" s="704" t="s">
        <v>14</v>
      </c>
      <c r="W35" s="705">
        <f t="shared" si="12"/>
        <v>100</v>
      </c>
      <c r="X35" s="1354"/>
      <c r="Y35" s="371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9"/>
      <c r="Q36" s="1351" t="str">
        <f t="shared" si="14"/>
        <v>宗地开发程度</v>
      </c>
      <c r="R36" s="700" t="s">
        <v>14</v>
      </c>
      <c r="S36" s="701">
        <f t="shared" si="10"/>
        <v>100</v>
      </c>
      <c r="T36" s="700" t="s">
        <v>14</v>
      </c>
      <c r="U36" s="701">
        <f t="shared" si="11"/>
        <v>100</v>
      </c>
      <c r="V36" s="700" t="s">
        <v>14</v>
      </c>
      <c r="W36" s="701">
        <f t="shared" si="12"/>
        <v>100</v>
      </c>
      <c r="X36" s="702"/>
      <c r="Y36" s="371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9" t="s">
        <v>1696</v>
      </c>
      <c r="Q37" s="1351" t="str">
        <f t="shared" si="14"/>
        <v>工程地质条件</v>
      </c>
      <c r="R37" s="704" t="s">
        <v>14</v>
      </c>
      <c r="S37" s="705">
        <f t="shared" si="10"/>
        <v>100</v>
      </c>
      <c r="T37" s="704" t="s">
        <v>14</v>
      </c>
      <c r="U37" s="705">
        <f t="shared" si="11"/>
        <v>100</v>
      </c>
      <c r="V37" s="704" t="s">
        <v>14</v>
      </c>
      <c r="W37" s="705">
        <f t="shared" si="12"/>
        <v>100</v>
      </c>
      <c r="X37" s="1354"/>
      <c r="Y37" s="371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9"/>
      <c r="Q38" s="1351">
        <f t="shared" si="14"/>
        <v>111</v>
      </c>
      <c r="R38" s="704" t="s">
        <v>14</v>
      </c>
      <c r="S38" s="705">
        <f t="shared" si="10"/>
        <v>100</v>
      </c>
      <c r="T38" s="704" t="s">
        <v>14</v>
      </c>
      <c r="U38" s="705">
        <f t="shared" si="11"/>
        <v>100</v>
      </c>
      <c r="V38" s="704" t="s">
        <v>14</v>
      </c>
      <c r="W38" s="705">
        <f t="shared" si="12"/>
        <v>100</v>
      </c>
      <c r="X38" s="1354"/>
      <c r="Y38" s="371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9"/>
      <c r="Q39" s="1351">
        <f t="shared" si="14"/>
        <v>111</v>
      </c>
      <c r="R39" s="704" t="s">
        <v>14</v>
      </c>
      <c r="S39" s="705">
        <f t="shared" si="10"/>
        <v>100</v>
      </c>
      <c r="T39" s="704" t="s">
        <v>14</v>
      </c>
      <c r="U39" s="705">
        <f t="shared" si="11"/>
        <v>100</v>
      </c>
      <c r="V39" s="704" t="s">
        <v>14</v>
      </c>
      <c r="W39" s="705">
        <f t="shared" si="12"/>
        <v>100</v>
      </c>
      <c r="X39" s="1354"/>
      <c r="Y39" s="371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9"/>
      <c r="Q40" s="1351">
        <f t="shared" si="14"/>
        <v>111</v>
      </c>
      <c r="R40" s="707" t="s">
        <v>14</v>
      </c>
      <c r="S40" s="708">
        <f t="shared" si="10"/>
        <v>100</v>
      </c>
      <c r="T40" s="707" t="s">
        <v>14</v>
      </c>
      <c r="U40" s="708">
        <f t="shared" si="11"/>
        <v>100</v>
      </c>
      <c r="V40" s="707" t="s">
        <v>14</v>
      </c>
      <c r="W40" s="708">
        <f t="shared" si="12"/>
        <v>100</v>
      </c>
      <c r="X40" s="709"/>
      <c r="Y40" s="371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21" t="str">
        <f>A41</f>
        <v>成交单价</v>
      </c>
      <c r="Q41" s="3721"/>
      <c r="R41" s="3709">
        <f>E41</f>
        <v>0</v>
      </c>
      <c r="S41" s="3709"/>
      <c r="T41" s="3709">
        <f>G41</f>
        <v>0</v>
      </c>
      <c r="U41" s="3709"/>
      <c r="V41" s="3709">
        <f>I41</f>
        <v>0</v>
      </c>
      <c r="W41" s="370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21" t="str">
        <f>A42</f>
        <v>比较价值（元/平方米）</v>
      </c>
      <c r="Q42" s="3721"/>
      <c r="R42" s="3785" t="e">
        <f>ROUND(PRODUCT(R41,AA7:AA40),0)</f>
        <v>#DIV/0!</v>
      </c>
      <c r="S42" s="3785"/>
      <c r="T42" s="3785" t="e">
        <f>ROUND(PRODUCT(T41,AB7:AB40),0)</f>
        <v>#DIV/0!</v>
      </c>
      <c r="U42" s="3785"/>
      <c r="V42" s="3785" t="e">
        <f>ROUND(PRODUCT(V41,AC7:AC40),0)</f>
        <v>#DIV/0!</v>
      </c>
      <c r="W42" s="378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34" t="str">
        <f>A43</f>
        <v>估价对象XX用房的比较价值（楼面单价，元/平方米）</v>
      </c>
      <c r="Q43" s="3735"/>
      <c r="R43" s="3786" t="e">
        <f>ROUND(IF(D42="简单平均",AVERAGE(R42:W42),R42*F42+T42*H42+V42*J42),0)</f>
        <v>#DIV/0!</v>
      </c>
      <c r="S43" s="3786"/>
      <c r="T43" s="3786"/>
      <c r="U43" s="3786"/>
      <c r="V43" s="3786"/>
      <c r="W43" s="3786"/>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96" t="s">
        <v>1887</v>
      </c>
      <c r="H50" s="3787"/>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224.79</v>
      </c>
      <c r="F51" s="639" t="e">
        <f t="shared" ref="F51:F60" si="15">ROUND(B51*E51/10000,0)</f>
        <v>#DIV/0!</v>
      </c>
      <c r="G51" s="3692"/>
      <c r="H51" s="3721"/>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4">
        <v>0.25</v>
      </c>
      <c r="E52" s="642"/>
      <c r="F52" s="639" t="e">
        <f t="shared" si="15"/>
        <v>#DIV/0!</v>
      </c>
      <c r="G52" s="3003" t="s">
        <v>1892</v>
      </c>
      <c r="H52" s="886" t="str">
        <f>项目基本情况!B37</f>
        <v>七级</v>
      </c>
      <c r="I52" s="772">
        <f>SUMIF(修正!A57:A68,H52,修正!B57:B68)</f>
        <v>0.6</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4">
        <v>0.25</v>
      </c>
      <c r="E53" s="642"/>
      <c r="F53" s="639" t="e">
        <f t="shared" si="15"/>
        <v>#DIV/0!</v>
      </c>
      <c r="G53" s="3004"/>
      <c r="H53" s="886" t="str">
        <f>项目基本情况!B37</f>
        <v>七级</v>
      </c>
      <c r="I53" s="772">
        <f>SUMIF(修正!A57:A68,H53,修正!C57:C68)</f>
        <v>0.3</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4">
        <v>0.25</v>
      </c>
      <c r="E54" s="642"/>
      <c r="F54" s="639" t="e">
        <f t="shared" si="15"/>
        <v>#DIV/0!</v>
      </c>
      <c r="G54" s="3004"/>
      <c r="H54" s="886" t="str">
        <f>项目基本情况!B37</f>
        <v>七级</v>
      </c>
      <c r="I54" s="772">
        <f>SUMIF(修正!A57:A68,H54,修正!D57:D68)</f>
        <v>0.25</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4">
        <v>0.25</v>
      </c>
      <c r="E59" s="217">
        <f>'数据-汇总表'!E14</f>
        <v>0</v>
      </c>
      <c r="F59" s="639" t="e">
        <f t="shared" si="15"/>
        <v>#DIV/0!</v>
      </c>
      <c r="G59" s="1986" t="s">
        <v>1892</v>
      </c>
      <c r="H59" s="886" t="str">
        <f>项目基本情况!B37</f>
        <v>七级</v>
      </c>
      <c r="I59" s="772">
        <f>SUMIF(修正!A57:A68,H59,修正!G57:G68)</f>
        <v>0.15</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2025-3-1</v>
      </c>
      <c r="D63" s="691">
        <f>EDATE(C63,-3)</f>
        <v>45627</v>
      </c>
      <c r="E63" s="691">
        <f>EDATE(D63,-3)</f>
        <v>45536</v>
      </c>
      <c r="F63" s="691">
        <f t="shared" ref="F63:O63" si="18">EDATE(E63,-3)</f>
        <v>45444</v>
      </c>
      <c r="G63" s="691">
        <f t="shared" si="18"/>
        <v>45352</v>
      </c>
      <c r="H63" s="691">
        <f t="shared" si="18"/>
        <v>45261</v>
      </c>
      <c r="I63" s="691">
        <f t="shared" si="18"/>
        <v>45170</v>
      </c>
      <c r="J63" s="691">
        <f t="shared" si="18"/>
        <v>45078</v>
      </c>
      <c r="K63" s="691">
        <f t="shared" si="18"/>
        <v>44986</v>
      </c>
      <c r="L63" s="691">
        <f t="shared" si="18"/>
        <v>44896</v>
      </c>
      <c r="M63" s="691">
        <f t="shared" si="18"/>
        <v>44805</v>
      </c>
      <c r="N63" s="691">
        <f t="shared" si="18"/>
        <v>44713</v>
      </c>
      <c r="O63" s="691">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V23" sqref="V2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95" t="s">
        <v>2084</v>
      </c>
      <c r="D1" s="3796"/>
      <c r="E1" s="3796"/>
      <c r="F1" s="3796"/>
      <c r="G1" s="3796"/>
      <c r="H1" s="3796"/>
      <c r="I1" s="3796"/>
      <c r="J1" s="3796"/>
      <c r="K1" s="3796"/>
      <c r="L1" s="3796"/>
      <c r="M1" s="3796"/>
      <c r="N1" s="3796"/>
      <c r="O1" s="3796"/>
      <c r="P1" s="3796"/>
      <c r="Q1" s="3796"/>
      <c r="R1" s="3796"/>
      <c r="S1" s="3797"/>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133</v>
      </c>
      <c r="D18" s="1021">
        <f>'比较法-商业'!D93</f>
        <v>100</v>
      </c>
      <c r="E18" s="1021"/>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2686</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22140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1213.18</v>
      </c>
      <c r="C22" s="3792" t="s">
        <v>27</v>
      </c>
      <c r="D22" s="3793"/>
      <c r="E22" s="3793"/>
      <c r="F22" s="3793"/>
      <c r="G22" s="3793"/>
      <c r="H22" s="3793"/>
      <c r="I22" s="3793"/>
      <c r="J22" s="3793"/>
      <c r="K22" s="3793"/>
      <c r="L22" s="3793"/>
      <c r="M22" s="3793"/>
      <c r="N22" s="3793"/>
      <c r="O22" s="3793"/>
      <c r="P22" s="3793"/>
      <c r="Q22" s="3794"/>
      <c r="R22" s="662">
        <f ca="1">ROUND(S22*10000/B22,0)</f>
        <v>22140</v>
      </c>
      <c r="S22" s="21">
        <f ca="1">SUM(S24:S10000)</f>
        <v>2686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v>201</v>
      </c>
      <c r="B24" s="664">
        <f>'数据-基础表'!I13</f>
        <v>224.79</v>
      </c>
      <c r="C24" s="2807">
        <v>1</v>
      </c>
      <c r="D24" s="2808"/>
      <c r="E24" s="2807">
        <v>1</v>
      </c>
      <c r="F24" s="2808"/>
      <c r="G24" s="2807">
        <v>1</v>
      </c>
      <c r="H24" s="2808"/>
      <c r="I24" s="2807">
        <v>1</v>
      </c>
      <c r="J24" s="2808"/>
      <c r="K24" s="2807">
        <v>1</v>
      </c>
      <c r="L24" s="2808"/>
      <c r="M24" s="2807">
        <v>1</v>
      </c>
      <c r="N24" s="2808"/>
      <c r="O24" s="2807">
        <v>1</v>
      </c>
      <c r="P24" s="2808" t="s">
        <v>3510</v>
      </c>
      <c r="Q24" s="2807">
        <v>1</v>
      </c>
      <c r="R24" s="667">
        <f ca="1">结果表!G20</f>
        <v>22231</v>
      </c>
      <c r="S24" s="665">
        <f t="shared" ref="S24:S54" ca="1" si="11">ROUND(R24*B24/10000,0)</f>
        <v>500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v>202</v>
      </c>
      <c r="B25" s="664">
        <v>246.27</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3510</v>
      </c>
      <c r="Q25" s="21">
        <f>(SUMIF($17:$17,P25,$18:$18)-SUMIF($17:$17,$P$24,$18:$18)+100)/100</f>
        <v>1</v>
      </c>
      <c r="R25" s="662">
        <f ca="1">IF(B25="",0,ROUND($R$24*C25*E25*G25*I25*K25*M25*O25*Q25,0))</f>
        <v>22231</v>
      </c>
      <c r="S25" s="316">
        <f t="shared" ca="1" si="11"/>
        <v>547</v>
      </c>
    </row>
    <row r="26" spans="1:45">
      <c r="A26" s="150">
        <v>206</v>
      </c>
      <c r="B26" s="664">
        <v>272.18</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3510</v>
      </c>
      <c r="Q26" s="21">
        <f t="shared" ref="Q26:Q89" si="19">(SUMIF($17:$17,P26,$18:$18)-SUMIF($17:$17,$P$24,$18:$18)+100)/100</f>
        <v>1</v>
      </c>
      <c r="R26" s="662">
        <f t="shared" ref="R26:R89" ca="1" si="20">IF(B26="",0,ROUND($R$24*C26*E26*G26*I26*K26*M26*O26*Q26,0))</f>
        <v>22231</v>
      </c>
      <c r="S26" s="316">
        <f t="shared" ca="1" si="11"/>
        <v>605</v>
      </c>
    </row>
    <row r="27" spans="1:45">
      <c r="A27" s="150">
        <v>210</v>
      </c>
      <c r="B27" s="54">
        <v>469.94</v>
      </c>
      <c r="C27" s="21">
        <f t="shared" si="12"/>
        <v>0.99</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t="s">
        <v>3510</v>
      </c>
      <c r="Q27" s="21">
        <f t="shared" si="19"/>
        <v>1</v>
      </c>
      <c r="R27" s="662">
        <f t="shared" ca="1" si="20"/>
        <v>22009</v>
      </c>
      <c r="S27" s="316">
        <f t="shared" ca="1" si="11"/>
        <v>1034</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t="e">
        <f ca="1">SUMIF(B6:B13,"&lt;&gt;#ref!",B6:B13)</f>
        <v>#DIV/0!</v>
      </c>
      <c r="C2" s="2144" t="s">
        <v>2074</v>
      </c>
      <c r="D2" s="2144" t="s">
        <v>2075</v>
      </c>
      <c r="E2" s="2610">
        <f ca="1">SUMIF(E6:E13,"&lt;&gt;#ref!",E6:E13)</f>
        <v>224.79</v>
      </c>
      <c r="F2" s="2790"/>
      <c r="G2" s="2790"/>
      <c r="H2" s="2790"/>
      <c r="I2" s="2790"/>
      <c r="J2" s="2790"/>
      <c r="K2" s="2790"/>
      <c r="L2" s="2790"/>
      <c r="M2" s="2790"/>
      <c r="N2" s="2790"/>
      <c r="O2" s="2790"/>
      <c r="P2" s="2790"/>
    </row>
    <row r="3" spans="1:16" ht="15.75">
      <c r="A3" s="2144" t="s">
        <v>2076</v>
      </c>
      <c r="B3" s="2600" t="e">
        <f ca="1">ROUND(B2*10000/E2,0)</f>
        <v>#DIV/0!</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t="e">
        <f ca="1">SUMIF(INDIRECT("'"&amp;A6&amp;"'"&amp;"!A:A"),"总价",INDIRECT("'"&amp;A6&amp;"'"&amp;"!B:B"))</f>
        <v>#DIV/0!</v>
      </c>
      <c r="C6" s="2144" t="s">
        <v>2074</v>
      </c>
      <c r="D6" s="2790"/>
      <c r="E6" s="2610">
        <f ca="1">SUMIF(INDIRECT("'"&amp;A6&amp;"'"&amp;"!C:C"),"建筑面积",INDIRECT("'"&amp;A6&amp;"'"&amp;"!D:D"))</f>
        <v>224.79</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805" t="s">
        <v>2606</v>
      </c>
      <c r="B20" s="3798" t="s">
        <v>2627</v>
      </c>
      <c r="C20" s="3100" t="s">
        <v>2438</v>
      </c>
      <c r="D20" s="3101"/>
      <c r="E20" s="3102">
        <v>1</v>
      </c>
      <c r="F20" s="3103" t="s">
        <v>2439</v>
      </c>
      <c r="G20" s="3103"/>
    </row>
    <row r="21" spans="1:13" ht="19.5" customHeight="1">
      <c r="A21" s="3806"/>
      <c r="B21" s="3799"/>
      <c r="C21" s="3104" t="s">
        <v>2440</v>
      </c>
      <c r="D21" s="3105"/>
      <c r="E21" s="3106">
        <v>1</v>
      </c>
      <c r="F21" s="3103" t="s">
        <v>2441</v>
      </c>
      <c r="G21" s="3103"/>
    </row>
    <row r="22" spans="1:13" ht="19.5" customHeight="1">
      <c r="A22" s="3806"/>
      <c r="B22" s="3799"/>
      <c r="C22" s="3104" t="s">
        <v>2442</v>
      </c>
      <c r="D22" s="3105"/>
      <c r="E22" s="3106">
        <v>0.9</v>
      </c>
      <c r="F22" s="3103" t="s">
        <v>2443</v>
      </c>
      <c r="G22" s="3103"/>
    </row>
    <row r="23" spans="1:13" ht="19.5" customHeight="1">
      <c r="A23" s="3806"/>
      <c r="B23" s="3799"/>
      <c r="C23" s="3104" t="s">
        <v>2444</v>
      </c>
      <c r="D23" s="3105"/>
      <c r="E23" s="3106">
        <v>0.9</v>
      </c>
      <c r="F23" s="3103" t="s">
        <v>2445</v>
      </c>
      <c r="G23" s="3103"/>
    </row>
    <row r="24" spans="1:13" ht="19.5" customHeight="1">
      <c r="A24" s="3806"/>
      <c r="B24" s="3799"/>
      <c r="C24" s="3104" t="s">
        <v>2446</v>
      </c>
      <c r="D24" s="3105"/>
      <c r="E24" s="3106">
        <v>0.8</v>
      </c>
      <c r="F24" s="3103" t="s">
        <v>2447</v>
      </c>
      <c r="G24" s="3103"/>
    </row>
    <row r="25" spans="1:13" ht="19.5" customHeight="1" thickBot="1">
      <c r="A25" s="3807"/>
      <c r="B25" s="3800"/>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801" t="s">
        <v>2630</v>
      </c>
      <c r="B27" s="3798" t="s">
        <v>2611</v>
      </c>
      <c r="C27" s="3100" t="s">
        <v>2451</v>
      </c>
      <c r="D27" s="3101"/>
      <c r="E27" s="3102">
        <v>1</v>
      </c>
      <c r="F27" s="3103" t="s">
        <v>2452</v>
      </c>
      <c r="G27" s="3103"/>
    </row>
    <row r="28" spans="1:13" ht="19.5" customHeight="1">
      <c r="A28" s="3802"/>
      <c r="B28" s="3799"/>
      <c r="C28" s="3104" t="s">
        <v>2453</v>
      </c>
      <c r="D28" s="3105"/>
      <c r="E28" s="3106">
        <v>1</v>
      </c>
      <c r="F28" s="3103" t="s">
        <v>2454</v>
      </c>
      <c r="G28" s="3103"/>
    </row>
    <row r="29" spans="1:13" ht="19.5" customHeight="1">
      <c r="A29" s="3802"/>
      <c r="B29" s="3799"/>
      <c r="C29" s="3104" t="s">
        <v>2455</v>
      </c>
      <c r="D29" s="3105"/>
      <c r="E29" s="3106">
        <v>0.8</v>
      </c>
      <c r="F29" s="3103" t="s">
        <v>2456</v>
      </c>
      <c r="G29" s="3103"/>
    </row>
    <row r="30" spans="1:13" ht="19.5" customHeight="1">
      <c r="A30" s="3802"/>
      <c r="B30" s="3799"/>
      <c r="C30" s="3104" t="s">
        <v>2457</v>
      </c>
      <c r="D30" s="3105"/>
      <c r="E30" s="3106">
        <v>0.8</v>
      </c>
      <c r="F30" s="3103" t="s">
        <v>2458</v>
      </c>
      <c r="G30" s="3103"/>
    </row>
    <row r="31" spans="1:13" ht="19.5" customHeight="1">
      <c r="A31" s="3802"/>
      <c r="B31" s="3799"/>
      <c r="C31" s="3104" t="s">
        <v>2459</v>
      </c>
      <c r="D31" s="3105"/>
      <c r="E31" s="3106">
        <v>0.8</v>
      </c>
      <c r="F31" s="3103" t="s">
        <v>2460</v>
      </c>
      <c r="G31" s="3103"/>
    </row>
    <row r="32" spans="1:13" ht="19.5" customHeight="1">
      <c r="A32" s="3802"/>
      <c r="B32" s="3799"/>
      <c r="C32" s="3104" t="s">
        <v>2461</v>
      </c>
      <c r="D32" s="3105"/>
      <c r="E32" s="3106">
        <v>0.7</v>
      </c>
      <c r="F32" s="3103" t="s">
        <v>2462</v>
      </c>
      <c r="G32" s="3103"/>
    </row>
    <row r="33" spans="1:7" ht="19.5" customHeight="1">
      <c r="A33" s="3802"/>
      <c r="B33" s="3799"/>
      <c r="C33" s="3104" t="s">
        <v>2463</v>
      </c>
      <c r="D33" s="3105"/>
      <c r="E33" s="3106">
        <v>0.8</v>
      </c>
      <c r="F33" s="3103" t="s">
        <v>2464</v>
      </c>
      <c r="G33" s="3103"/>
    </row>
    <row r="34" spans="1:7" ht="19.5" customHeight="1">
      <c r="A34" s="3802"/>
      <c r="B34" s="3799"/>
      <c r="C34" s="3104" t="s">
        <v>2465</v>
      </c>
      <c r="D34" s="3105"/>
      <c r="E34" s="3106">
        <v>0.6</v>
      </c>
      <c r="F34" s="3103" t="s">
        <v>2466</v>
      </c>
      <c r="G34" s="3103"/>
    </row>
    <row r="35" spans="1:7" ht="19.5" customHeight="1">
      <c r="A35" s="3802"/>
      <c r="B35" s="3799"/>
      <c r="C35" s="3104" t="s">
        <v>2467</v>
      </c>
      <c r="D35" s="3105"/>
      <c r="E35" s="3106">
        <v>0.2</v>
      </c>
      <c r="F35" s="3103" t="s">
        <v>2468</v>
      </c>
      <c r="G35" s="3103"/>
    </row>
    <row r="36" spans="1:7" ht="19.5" customHeight="1">
      <c r="A36" s="3802"/>
      <c r="B36" s="3799"/>
      <c r="C36" s="3104" t="s">
        <v>2469</v>
      </c>
      <c r="D36" s="3105"/>
      <c r="E36" s="3106">
        <v>0.2</v>
      </c>
      <c r="F36" s="3103" t="s">
        <v>2470</v>
      </c>
      <c r="G36" s="3103"/>
    </row>
    <row r="37" spans="1:7" ht="19.5" customHeight="1">
      <c r="A37" s="3802"/>
      <c r="B37" s="3804" t="s">
        <v>2631</v>
      </c>
      <c r="C37" s="3104" t="s">
        <v>2471</v>
      </c>
      <c r="D37" s="3105"/>
      <c r="E37" s="3106">
        <v>0.6</v>
      </c>
      <c r="F37" s="3103" t="s">
        <v>2472</v>
      </c>
      <c r="G37" s="3103"/>
    </row>
    <row r="38" spans="1:7" ht="19.5" customHeight="1">
      <c r="A38" s="3802"/>
      <c r="B38" s="3799"/>
      <c r="C38" s="3104" t="s">
        <v>2473</v>
      </c>
      <c r="D38" s="3105"/>
      <c r="E38" s="3106">
        <v>0.6</v>
      </c>
      <c r="F38" s="3103" t="s">
        <v>2474</v>
      </c>
      <c r="G38" s="3103"/>
    </row>
    <row r="39" spans="1:7" ht="19.5" customHeight="1" thickBot="1">
      <c r="A39" s="3803"/>
      <c r="B39" s="3800"/>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805" t="s">
        <v>2609</v>
      </c>
      <c r="B41" s="3798" t="s">
        <v>2633</v>
      </c>
      <c r="C41" s="3100" t="s">
        <v>2478</v>
      </c>
      <c r="D41" s="3101"/>
      <c r="E41" s="3102">
        <v>1</v>
      </c>
      <c r="F41" s="3103" t="s">
        <v>2479</v>
      </c>
      <c r="G41" s="3103"/>
    </row>
    <row r="42" spans="1:7" ht="19.5" customHeight="1">
      <c r="A42" s="3806"/>
      <c r="B42" s="3799"/>
      <c r="C42" s="3104" t="s">
        <v>2480</v>
      </c>
      <c r="D42" s="3105"/>
      <c r="E42" s="3106">
        <v>1</v>
      </c>
      <c r="F42" s="3103" t="s">
        <v>2481</v>
      </c>
      <c r="G42" s="3103"/>
    </row>
    <row r="43" spans="1:7" ht="19.5" customHeight="1">
      <c r="A43" s="3806"/>
      <c r="B43" s="3808"/>
      <c r="C43" s="3104" t="s">
        <v>2482</v>
      </c>
      <c r="D43" s="3105"/>
      <c r="E43" s="3106">
        <v>1.5</v>
      </c>
      <c r="F43" s="3103" t="s">
        <v>2483</v>
      </c>
      <c r="G43" s="3103"/>
    </row>
    <row r="44" spans="1:7" ht="19.5" customHeight="1">
      <c r="A44" s="3806"/>
      <c r="B44" s="3115" t="s">
        <v>2634</v>
      </c>
      <c r="C44" s="3104" t="s">
        <v>2635</v>
      </c>
      <c r="D44" s="3105"/>
      <c r="E44" s="3106">
        <v>2</v>
      </c>
      <c r="F44" s="3103" t="s">
        <v>2484</v>
      </c>
      <c r="G44" s="3103"/>
    </row>
    <row r="45" spans="1:7" ht="19.5" customHeight="1">
      <c r="A45" s="3806"/>
      <c r="B45" s="3804" t="s">
        <v>2636</v>
      </c>
      <c r="C45" s="3104" t="s">
        <v>2485</v>
      </c>
      <c r="D45" s="3105"/>
      <c r="E45" s="3106">
        <v>1</v>
      </c>
      <c r="F45" s="3103" t="s">
        <v>2486</v>
      </c>
      <c r="G45" s="3103"/>
    </row>
    <row r="46" spans="1:7" ht="19.5" customHeight="1">
      <c r="A46" s="3806"/>
      <c r="B46" s="3799"/>
      <c r="C46" s="3104" t="s">
        <v>2487</v>
      </c>
      <c r="D46" s="3105"/>
      <c r="E46" s="3106">
        <v>1</v>
      </c>
      <c r="F46" s="3103" t="s">
        <v>2488</v>
      </c>
      <c r="G46" s="3103"/>
    </row>
    <row r="47" spans="1:7" ht="19.5" customHeight="1">
      <c r="A47" s="3806"/>
      <c r="B47" s="3799"/>
      <c r="C47" s="3104" t="s">
        <v>2489</v>
      </c>
      <c r="D47" s="3105"/>
      <c r="E47" s="3106">
        <v>1</v>
      </c>
      <c r="F47" s="3103" t="s">
        <v>2490</v>
      </c>
      <c r="G47" s="3103"/>
    </row>
    <row r="48" spans="1:7" ht="19.5" customHeight="1">
      <c r="A48" s="3806"/>
      <c r="B48" s="3799"/>
      <c r="C48" s="3104" t="s">
        <v>2491</v>
      </c>
      <c r="D48" s="3105"/>
      <c r="E48" s="3106">
        <v>1</v>
      </c>
      <c r="F48" s="3103" t="s">
        <v>2492</v>
      </c>
      <c r="G48" s="3103"/>
    </row>
    <row r="49" spans="1:7" ht="19.5" customHeight="1">
      <c r="A49" s="3806"/>
      <c r="B49" s="3799"/>
      <c r="C49" s="3104" t="s">
        <v>2493</v>
      </c>
      <c r="D49" s="3105"/>
      <c r="E49" s="3106">
        <v>1</v>
      </c>
      <c r="F49" s="3103" t="s">
        <v>2494</v>
      </c>
      <c r="G49" s="3103"/>
    </row>
    <row r="50" spans="1:7" ht="19.5" customHeight="1">
      <c r="A50" s="3806"/>
      <c r="B50" s="3799"/>
      <c r="C50" s="3104" t="s">
        <v>2495</v>
      </c>
      <c r="D50" s="3105"/>
      <c r="E50" s="3106">
        <v>1</v>
      </c>
      <c r="F50" s="3103" t="s">
        <v>2496</v>
      </c>
      <c r="G50" s="3103"/>
    </row>
    <row r="51" spans="1:7" ht="19.5" customHeight="1" thickBot="1">
      <c r="A51" s="3807"/>
      <c r="B51" s="3800"/>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804" t="s">
        <v>2650</v>
      </c>
      <c r="C73" s="3089" t="s">
        <v>2651</v>
      </c>
      <c r="D73" s="3089" t="s">
        <v>2652</v>
      </c>
      <c r="E73" s="3115">
        <v>0.2</v>
      </c>
      <c r="F73" s="3115">
        <v>25</v>
      </c>
    </row>
    <row r="74" spans="1:7" ht="24">
      <c r="A74" s="3115">
        <v>2</v>
      </c>
      <c r="B74" s="3799"/>
      <c r="C74" s="3089" t="s">
        <v>2653</v>
      </c>
      <c r="D74" s="3089" t="s">
        <v>2654</v>
      </c>
      <c r="E74" s="3115">
        <v>0.2</v>
      </c>
      <c r="F74" s="3115">
        <v>25</v>
      </c>
    </row>
    <row r="75" spans="1:7" ht="24">
      <c r="A75" s="3115">
        <v>3</v>
      </c>
      <c r="B75" s="3799"/>
      <c r="C75" s="3089" t="s">
        <v>2655</v>
      </c>
      <c r="D75" s="3089" t="s">
        <v>2656</v>
      </c>
      <c r="E75" s="3115">
        <v>0.2</v>
      </c>
      <c r="F75" s="3115">
        <v>25</v>
      </c>
    </row>
    <row r="76" spans="1:7" ht="13.5">
      <c r="A76" s="3115">
        <v>4</v>
      </c>
      <c r="B76" s="3799"/>
      <c r="C76" s="3089" t="s">
        <v>2657</v>
      </c>
      <c r="D76" s="3089" t="s">
        <v>2658</v>
      </c>
      <c r="E76" s="3115">
        <v>0.15</v>
      </c>
      <c r="F76" s="3115">
        <v>20</v>
      </c>
    </row>
    <row r="77" spans="1:7" ht="24">
      <c r="A77" s="3115">
        <v>5</v>
      </c>
      <c r="B77" s="3799"/>
      <c r="C77" s="3089" t="s">
        <v>2659</v>
      </c>
      <c r="D77" s="3089" t="s">
        <v>2660</v>
      </c>
      <c r="E77" s="3115">
        <v>0.15</v>
      </c>
      <c r="F77" s="3115">
        <v>20</v>
      </c>
    </row>
    <row r="78" spans="1:7" ht="24">
      <c r="A78" s="3115">
        <v>6</v>
      </c>
      <c r="B78" s="3799"/>
      <c r="C78" s="3089" t="s">
        <v>2661</v>
      </c>
      <c r="D78" s="3089" t="s">
        <v>2662</v>
      </c>
      <c r="E78" s="3115">
        <v>0.15</v>
      </c>
      <c r="F78" s="3115">
        <v>20</v>
      </c>
    </row>
    <row r="79" spans="1:7" ht="24">
      <c r="A79" s="3115">
        <v>7</v>
      </c>
      <c r="B79" s="3799"/>
      <c r="C79" s="3089" t="s">
        <v>2663</v>
      </c>
      <c r="D79" s="3089" t="s">
        <v>2664</v>
      </c>
      <c r="E79" s="3115">
        <v>0.15</v>
      </c>
      <c r="F79" s="3115">
        <v>20</v>
      </c>
    </row>
    <row r="80" spans="1:7" ht="24">
      <c r="A80" s="3115">
        <v>8</v>
      </c>
      <c r="B80" s="3799"/>
      <c r="C80" s="3089" t="s">
        <v>2665</v>
      </c>
      <c r="D80" s="3089" t="s">
        <v>2666</v>
      </c>
      <c r="E80" s="3115">
        <v>0.1</v>
      </c>
      <c r="F80" s="3115">
        <v>15</v>
      </c>
    </row>
    <row r="81" spans="1:6" ht="24">
      <c r="A81" s="3115">
        <v>9</v>
      </c>
      <c r="B81" s="3799"/>
      <c r="C81" s="3089" t="s">
        <v>2667</v>
      </c>
      <c r="D81" s="3089" t="s">
        <v>2668</v>
      </c>
      <c r="E81" s="3115">
        <v>0.1</v>
      </c>
      <c r="F81" s="3115">
        <v>15</v>
      </c>
    </row>
    <row r="82" spans="1:6" ht="24">
      <c r="A82" s="3115">
        <v>10</v>
      </c>
      <c r="B82" s="3799"/>
      <c r="C82" s="3089" t="s">
        <v>2669</v>
      </c>
      <c r="D82" s="3089" t="s">
        <v>2670</v>
      </c>
      <c r="E82" s="3115">
        <v>0.1</v>
      </c>
      <c r="F82" s="3115">
        <v>15</v>
      </c>
    </row>
    <row r="83" spans="1:6" ht="24">
      <c r="A83" s="3115">
        <v>11</v>
      </c>
      <c r="B83" s="3799"/>
      <c r="C83" s="3089" t="s">
        <v>2671</v>
      </c>
      <c r="D83" s="3089" t="s">
        <v>2672</v>
      </c>
      <c r="E83" s="3115">
        <v>0.1</v>
      </c>
      <c r="F83" s="3115">
        <v>15</v>
      </c>
    </row>
    <row r="84" spans="1:6" ht="24">
      <c r="A84" s="3115">
        <v>12</v>
      </c>
      <c r="B84" s="3799"/>
      <c r="C84" s="3089" t="s">
        <v>2673</v>
      </c>
      <c r="D84" s="3089" t="s">
        <v>2674</v>
      </c>
      <c r="E84" s="3115">
        <v>0.1</v>
      </c>
      <c r="F84" s="3115">
        <v>15</v>
      </c>
    </row>
    <row r="85" spans="1:6" ht="13.5">
      <c r="A85" s="3115">
        <v>13</v>
      </c>
      <c r="B85" s="3799"/>
      <c r="C85" s="3089" t="s">
        <v>2675</v>
      </c>
      <c r="D85" s="3089" t="s">
        <v>2676</v>
      </c>
      <c r="E85" s="3115">
        <v>0.1</v>
      </c>
      <c r="F85" s="3115">
        <v>15</v>
      </c>
    </row>
    <row r="86" spans="1:6" ht="13.5">
      <c r="A86" s="3115">
        <v>14</v>
      </c>
      <c r="B86" s="3799"/>
      <c r="C86" s="3089" t="s">
        <v>2677</v>
      </c>
      <c r="D86" s="3089" t="s">
        <v>2678</v>
      </c>
      <c r="E86" s="3115">
        <v>0.1</v>
      </c>
      <c r="F86" s="3115">
        <v>15</v>
      </c>
    </row>
    <row r="87" spans="1:6" ht="13.5">
      <c r="A87" s="3115">
        <v>15</v>
      </c>
      <c r="B87" s="3799"/>
      <c r="C87" s="3089" t="s">
        <v>2679</v>
      </c>
      <c r="D87" s="3089" t="s">
        <v>2680</v>
      </c>
      <c r="E87" s="3115">
        <v>0.1</v>
      </c>
      <c r="F87" s="3115">
        <v>15</v>
      </c>
    </row>
    <row r="88" spans="1:6" ht="24">
      <c r="A88" s="3115">
        <v>16</v>
      </c>
      <c r="B88" s="3799"/>
      <c r="C88" s="3089" t="s">
        <v>2681</v>
      </c>
      <c r="D88" s="3089" t="s">
        <v>2682</v>
      </c>
      <c r="E88" s="3115">
        <v>0.1</v>
      </c>
      <c r="F88" s="3115">
        <v>15</v>
      </c>
    </row>
    <row r="89" spans="1:6" ht="24">
      <c r="A89" s="3115">
        <v>17</v>
      </c>
      <c r="B89" s="3808"/>
      <c r="C89" s="3089" t="s">
        <v>2683</v>
      </c>
      <c r="D89" s="3089" t="s">
        <v>2684</v>
      </c>
      <c r="E89" s="3115">
        <v>0.1</v>
      </c>
      <c r="F89" s="3115">
        <v>15</v>
      </c>
    </row>
    <row r="90" spans="1:6" ht="13.5">
      <c r="A90" s="3115">
        <v>18</v>
      </c>
      <c r="B90" s="3804" t="s">
        <v>2685</v>
      </c>
      <c r="C90" s="3089" t="s">
        <v>2686</v>
      </c>
      <c r="D90" s="3089" t="s">
        <v>2687</v>
      </c>
      <c r="E90" s="3115">
        <v>0.2</v>
      </c>
      <c r="F90" s="3115">
        <v>25</v>
      </c>
    </row>
    <row r="91" spans="1:6" ht="24">
      <c r="A91" s="3115">
        <v>19</v>
      </c>
      <c r="B91" s="3799"/>
      <c r="C91" s="3089" t="s">
        <v>2688</v>
      </c>
      <c r="D91" s="3089" t="s">
        <v>2689</v>
      </c>
      <c r="E91" s="3115">
        <v>0.2</v>
      </c>
      <c r="F91" s="3115">
        <v>25</v>
      </c>
    </row>
    <row r="92" spans="1:6" ht="13.5">
      <c r="A92" s="3115">
        <v>20</v>
      </c>
      <c r="B92" s="3799"/>
      <c r="C92" s="3089" t="s">
        <v>2690</v>
      </c>
      <c r="D92" s="3089" t="s">
        <v>2691</v>
      </c>
      <c r="E92" s="3115">
        <v>0.15</v>
      </c>
      <c r="F92" s="3115">
        <v>20</v>
      </c>
    </row>
    <row r="93" spans="1:6" ht="13.5">
      <c r="A93" s="3115">
        <v>21</v>
      </c>
      <c r="B93" s="3799"/>
      <c r="C93" s="3089" t="s">
        <v>2692</v>
      </c>
      <c r="D93" s="3089" t="s">
        <v>2693</v>
      </c>
      <c r="E93" s="3115">
        <v>0.15</v>
      </c>
      <c r="F93" s="3115">
        <v>20</v>
      </c>
    </row>
    <row r="94" spans="1:6" ht="13.5">
      <c r="A94" s="3115">
        <v>22</v>
      </c>
      <c r="B94" s="3799"/>
      <c r="C94" s="3089" t="s">
        <v>2694</v>
      </c>
      <c r="D94" s="3089" t="s">
        <v>2695</v>
      </c>
      <c r="E94" s="3115">
        <v>0.15</v>
      </c>
      <c r="F94" s="3115">
        <v>20</v>
      </c>
    </row>
    <row r="95" spans="1:6" ht="36">
      <c r="A95" s="3115">
        <v>23</v>
      </c>
      <c r="B95" s="3799"/>
      <c r="C95" s="3089" t="s">
        <v>2696</v>
      </c>
      <c r="D95" s="3089" t="s">
        <v>2697</v>
      </c>
      <c r="E95" s="3115">
        <v>0.15</v>
      </c>
      <c r="F95" s="3115">
        <v>20</v>
      </c>
    </row>
    <row r="96" spans="1:6" ht="13.5">
      <c r="A96" s="3115">
        <v>24</v>
      </c>
      <c r="B96" s="3799"/>
      <c r="C96" s="3089" t="s">
        <v>2698</v>
      </c>
      <c r="D96" s="3089" t="s">
        <v>2699</v>
      </c>
      <c r="E96" s="3115">
        <v>0.1</v>
      </c>
      <c r="F96" s="3115">
        <v>15</v>
      </c>
    </row>
    <row r="97" spans="1:6" ht="13.5">
      <c r="A97" s="3115">
        <v>25</v>
      </c>
      <c r="B97" s="3799"/>
      <c r="C97" s="3089" t="s">
        <v>2700</v>
      </c>
      <c r="D97" s="3089" t="s">
        <v>2701</v>
      </c>
      <c r="E97" s="3115">
        <v>0.1</v>
      </c>
      <c r="F97" s="3115">
        <v>15</v>
      </c>
    </row>
    <row r="98" spans="1:6" ht="24">
      <c r="A98" s="3115">
        <v>26</v>
      </c>
      <c r="B98" s="3799"/>
      <c r="C98" s="3089" t="s">
        <v>2702</v>
      </c>
      <c r="D98" s="3089" t="s">
        <v>2703</v>
      </c>
      <c r="E98" s="3115">
        <v>0.1</v>
      </c>
      <c r="F98" s="3115">
        <v>15</v>
      </c>
    </row>
    <row r="99" spans="1:6" ht="24">
      <c r="A99" s="3115">
        <v>27</v>
      </c>
      <c r="B99" s="3799"/>
      <c r="C99" s="3089" t="s">
        <v>2704</v>
      </c>
      <c r="D99" s="3089" t="s">
        <v>2705</v>
      </c>
      <c r="E99" s="3115">
        <v>0.1</v>
      </c>
      <c r="F99" s="3115">
        <v>15</v>
      </c>
    </row>
    <row r="100" spans="1:6" ht="13.5">
      <c r="A100" s="3115">
        <v>28</v>
      </c>
      <c r="B100" s="3799"/>
      <c r="C100" s="3089" t="s">
        <v>2706</v>
      </c>
      <c r="D100" s="3089" t="s">
        <v>2707</v>
      </c>
      <c r="E100" s="3115">
        <v>0.1</v>
      </c>
      <c r="F100" s="3115">
        <v>15</v>
      </c>
    </row>
    <row r="101" spans="1:6" ht="13.5">
      <c r="A101" s="3115">
        <v>29</v>
      </c>
      <c r="B101" s="3799"/>
      <c r="C101" s="3089" t="s">
        <v>2708</v>
      </c>
      <c r="D101" s="3089" t="s">
        <v>2709</v>
      </c>
      <c r="E101" s="3115">
        <v>0.1</v>
      </c>
      <c r="F101" s="3115">
        <v>15</v>
      </c>
    </row>
    <row r="102" spans="1:6" ht="13.5">
      <c r="A102" s="3115">
        <v>30</v>
      </c>
      <c r="B102" s="3799"/>
      <c r="C102" s="3089" t="s">
        <v>2710</v>
      </c>
      <c r="D102" s="3089" t="s">
        <v>2711</v>
      </c>
      <c r="E102" s="3115">
        <v>0.1</v>
      </c>
      <c r="F102" s="3115">
        <v>15</v>
      </c>
    </row>
    <row r="103" spans="1:6" ht="24">
      <c r="A103" s="3115">
        <v>31</v>
      </c>
      <c r="B103" s="3799"/>
      <c r="C103" s="3089" t="s">
        <v>2712</v>
      </c>
      <c r="D103" s="3089" t="s">
        <v>2713</v>
      </c>
      <c r="E103" s="3115">
        <v>0.1</v>
      </c>
      <c r="F103" s="3115">
        <v>15</v>
      </c>
    </row>
    <row r="104" spans="1:6" ht="24">
      <c r="A104" s="3115">
        <v>32</v>
      </c>
      <c r="B104" s="3799"/>
      <c r="C104" s="3089" t="s">
        <v>2714</v>
      </c>
      <c r="D104" s="3089" t="s">
        <v>2715</v>
      </c>
      <c r="E104" s="3115">
        <v>0.1</v>
      </c>
      <c r="F104" s="3115">
        <v>15</v>
      </c>
    </row>
    <row r="105" spans="1:6" ht="24">
      <c r="A105" s="3115">
        <v>33</v>
      </c>
      <c r="B105" s="3799"/>
      <c r="C105" s="3089" t="s">
        <v>2716</v>
      </c>
      <c r="D105" s="3089" t="s">
        <v>2717</v>
      </c>
      <c r="E105" s="3115">
        <v>0.1</v>
      </c>
      <c r="F105" s="3115">
        <v>15</v>
      </c>
    </row>
    <row r="106" spans="1:6" ht="24">
      <c r="A106" s="3115">
        <v>34</v>
      </c>
      <c r="B106" s="3808"/>
      <c r="C106" s="3089" t="s">
        <v>2718</v>
      </c>
      <c r="D106" s="3089" t="s">
        <v>2719</v>
      </c>
      <c r="E106" s="3115">
        <v>0.1</v>
      </c>
      <c r="F106" s="3115">
        <v>15</v>
      </c>
    </row>
    <row r="107" spans="1:6" ht="24">
      <c r="A107" s="3115">
        <v>35</v>
      </c>
      <c r="B107" s="3804" t="s">
        <v>2720</v>
      </c>
      <c r="C107" s="3115" t="s">
        <v>2721</v>
      </c>
      <c r="D107" s="3089" t="s">
        <v>2722</v>
      </c>
      <c r="E107" s="3115">
        <v>0.15</v>
      </c>
      <c r="F107" s="3115">
        <v>20</v>
      </c>
    </row>
    <row r="108" spans="1:6" ht="13.5">
      <c r="A108" s="3115">
        <v>36</v>
      </c>
      <c r="B108" s="3799"/>
      <c r="C108" s="3115" t="s">
        <v>2723</v>
      </c>
      <c r="D108" s="3089" t="s">
        <v>2724</v>
      </c>
      <c r="E108" s="3115">
        <v>0.15</v>
      </c>
      <c r="F108" s="3115">
        <v>20</v>
      </c>
    </row>
    <row r="109" spans="1:6" ht="13.5">
      <c r="A109" s="3115">
        <v>37</v>
      </c>
      <c r="B109" s="3799"/>
      <c r="C109" s="3115" t="s">
        <v>2725</v>
      </c>
      <c r="D109" s="3089" t="s">
        <v>2726</v>
      </c>
      <c r="E109" s="3115">
        <v>0.15</v>
      </c>
      <c r="F109" s="3115">
        <v>20</v>
      </c>
    </row>
    <row r="110" spans="1:6" ht="13.5">
      <c r="A110" s="3115">
        <v>38</v>
      </c>
      <c r="B110" s="3799"/>
      <c r="C110" s="3115" t="s">
        <v>2727</v>
      </c>
      <c r="D110" s="3089" t="s">
        <v>2728</v>
      </c>
      <c r="E110" s="3115">
        <v>0.1</v>
      </c>
      <c r="F110" s="3115">
        <v>15</v>
      </c>
    </row>
    <row r="111" spans="1:6" ht="24">
      <c r="A111" s="3115">
        <v>39</v>
      </c>
      <c r="B111" s="3799"/>
      <c r="C111" s="3115" t="s">
        <v>2729</v>
      </c>
      <c r="D111" s="3089" t="s">
        <v>2730</v>
      </c>
      <c r="E111" s="3115">
        <v>0.1</v>
      </c>
      <c r="F111" s="3115">
        <v>15</v>
      </c>
    </row>
    <row r="112" spans="1:6" ht="24">
      <c r="A112" s="3115">
        <v>40</v>
      </c>
      <c r="B112" s="3808"/>
      <c r="C112" s="3115" t="s">
        <v>2731</v>
      </c>
      <c r="D112" s="3089" t="s">
        <v>2732</v>
      </c>
      <c r="E112" s="3115">
        <v>0.1</v>
      </c>
      <c r="F112" s="3115">
        <v>15</v>
      </c>
    </row>
    <row r="113" spans="1:6" ht="13.5">
      <c r="A113" s="3115">
        <v>41</v>
      </c>
      <c r="B113" s="3809" t="s">
        <v>2733</v>
      </c>
      <c r="C113" s="3115" t="s">
        <v>2734</v>
      </c>
      <c r="D113" s="3089" t="s">
        <v>2735</v>
      </c>
      <c r="E113" s="3115">
        <v>0.1</v>
      </c>
      <c r="F113" s="3115">
        <v>15</v>
      </c>
    </row>
    <row r="114" spans="1:6" ht="13.5">
      <c r="A114" s="3115">
        <v>42</v>
      </c>
      <c r="B114" s="3809"/>
      <c r="C114" s="3115" t="s">
        <v>2736</v>
      </c>
      <c r="D114" s="3089" t="s">
        <v>2737</v>
      </c>
      <c r="E114" s="3115">
        <v>0.1</v>
      </c>
      <c r="F114" s="3115">
        <v>15</v>
      </c>
    </row>
    <row r="115" spans="1:6" ht="24">
      <c r="A115" s="3115">
        <v>43</v>
      </c>
      <c r="B115" s="3809"/>
      <c r="C115" s="3115" t="s">
        <v>2738</v>
      </c>
      <c r="D115" s="3089" t="s">
        <v>2739</v>
      </c>
      <c r="E115" s="3115">
        <v>0.1</v>
      </c>
      <c r="F115" s="3115">
        <v>15</v>
      </c>
    </row>
    <row r="116" spans="1:6" ht="13.5">
      <c r="A116" s="3115">
        <v>44</v>
      </c>
      <c r="B116" s="3804" t="s">
        <v>2740</v>
      </c>
      <c r="C116" s="3115" t="s">
        <v>2741</v>
      </c>
      <c r="D116" s="3089" t="s">
        <v>2742</v>
      </c>
      <c r="E116" s="3115">
        <v>0.1</v>
      </c>
      <c r="F116" s="3115">
        <v>15</v>
      </c>
    </row>
    <row r="117" spans="1:6" ht="24">
      <c r="A117" s="3115">
        <v>45</v>
      </c>
      <c r="B117" s="3808"/>
      <c r="C117" s="3089" t="s">
        <v>2743</v>
      </c>
      <c r="D117" s="3089" t="s">
        <v>2744</v>
      </c>
      <c r="E117" s="3115">
        <v>0.1</v>
      </c>
      <c r="F117" s="3115">
        <v>15</v>
      </c>
    </row>
    <row r="118" spans="1:6" ht="24">
      <c r="A118" s="3115">
        <v>46</v>
      </c>
      <c r="B118" s="3804" t="s">
        <v>2745</v>
      </c>
      <c r="C118" s="3115" t="s">
        <v>2746</v>
      </c>
      <c r="D118" s="3089" t="s">
        <v>2747</v>
      </c>
      <c r="E118" s="3115">
        <v>0.1</v>
      </c>
      <c r="F118" s="3115">
        <v>15</v>
      </c>
    </row>
    <row r="119" spans="1:6" ht="24">
      <c r="A119" s="3115">
        <v>47</v>
      </c>
      <c r="B119" s="3808"/>
      <c r="C119" s="3115" t="s">
        <v>2748</v>
      </c>
      <c r="D119" s="3089" t="s">
        <v>2749</v>
      </c>
      <c r="E119" s="3115">
        <v>0.1</v>
      </c>
      <c r="F119" s="3115">
        <v>15</v>
      </c>
    </row>
    <row r="120" spans="1:6" ht="13.5">
      <c r="A120" s="3115">
        <v>48</v>
      </c>
      <c r="B120" s="3804" t="s">
        <v>2750</v>
      </c>
      <c r="C120" s="3115" t="s">
        <v>2751</v>
      </c>
      <c r="D120" s="3089" t="s">
        <v>2752</v>
      </c>
      <c r="E120" s="3115">
        <v>0.1</v>
      </c>
      <c r="F120" s="3115">
        <v>15</v>
      </c>
    </row>
    <row r="121" spans="1:6" ht="13.5">
      <c r="A121" s="3115">
        <v>49</v>
      </c>
      <c r="B121" s="3808"/>
      <c r="C121" s="3115" t="s">
        <v>2753</v>
      </c>
      <c r="D121" s="3089" t="s">
        <v>2754</v>
      </c>
      <c r="E121" s="3115">
        <v>0.1</v>
      </c>
      <c r="F121" s="3115">
        <v>15</v>
      </c>
    </row>
    <row r="122" spans="1:6" ht="24">
      <c r="A122" s="3115">
        <v>50</v>
      </c>
      <c r="B122" s="3809" t="s">
        <v>2755</v>
      </c>
      <c r="C122" s="3115" t="s">
        <v>2756</v>
      </c>
      <c r="D122" s="3089" t="s">
        <v>2757</v>
      </c>
      <c r="E122" s="3115">
        <v>0.1</v>
      </c>
      <c r="F122" s="3115">
        <v>15</v>
      </c>
    </row>
    <row r="123" spans="1:6" ht="24">
      <c r="A123" s="3115">
        <v>51</v>
      </c>
      <c r="B123" s="3809"/>
      <c r="C123" s="3115" t="s">
        <v>2758</v>
      </c>
      <c r="D123" s="3089" t="s">
        <v>2759</v>
      </c>
      <c r="E123" s="3115">
        <v>0.1</v>
      </c>
      <c r="F123" s="3115">
        <v>15</v>
      </c>
    </row>
    <row r="124" spans="1:6" ht="24">
      <c r="A124" s="3115">
        <v>52</v>
      </c>
      <c r="B124" s="3809" t="s">
        <v>2760</v>
      </c>
      <c r="C124" s="3115" t="s">
        <v>2761</v>
      </c>
      <c r="D124" s="3089" t="s">
        <v>2762</v>
      </c>
      <c r="E124" s="3115">
        <v>0.1</v>
      </c>
      <c r="F124" s="3115">
        <v>15</v>
      </c>
    </row>
    <row r="125" spans="1:6" ht="24">
      <c r="A125" s="3115">
        <v>53</v>
      </c>
      <c r="B125" s="3809"/>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9" t="s">
        <v>2768</v>
      </c>
      <c r="C127" s="3115" t="s">
        <v>2769</v>
      </c>
      <c r="D127" s="3089" t="s">
        <v>2770</v>
      </c>
      <c r="E127" s="3115">
        <v>0.1</v>
      </c>
      <c r="F127" s="3115">
        <v>15</v>
      </c>
    </row>
    <row r="128" spans="1:6" ht="13.5">
      <c r="A128" s="3115">
        <v>56</v>
      </c>
      <c r="B128" s="3809"/>
      <c r="C128" s="3115" t="s">
        <v>2771</v>
      </c>
      <c r="D128" s="3089" t="s">
        <v>2772</v>
      </c>
      <c r="E128" s="3115">
        <v>0.1</v>
      </c>
      <c r="F128" s="3115">
        <v>15</v>
      </c>
    </row>
    <row r="129" spans="1:6" ht="24">
      <c r="A129" s="3115">
        <v>57</v>
      </c>
      <c r="B129" s="3809"/>
      <c r="C129" s="3115" t="s">
        <v>2773</v>
      </c>
      <c r="D129" s="3089" t="s">
        <v>2774</v>
      </c>
      <c r="E129" s="3115">
        <v>0.1</v>
      </c>
      <c r="F129" s="3115">
        <v>15</v>
      </c>
    </row>
    <row r="130" spans="1:6" ht="24">
      <c r="A130" s="3115">
        <v>58</v>
      </c>
      <c r="B130" s="3809" t="s">
        <v>2775</v>
      </c>
      <c r="C130" s="3115" t="s">
        <v>2776</v>
      </c>
      <c r="D130" s="3089" t="s">
        <v>2777</v>
      </c>
      <c r="E130" s="3115">
        <v>0.1</v>
      </c>
      <c r="F130" s="3115">
        <v>15</v>
      </c>
    </row>
    <row r="131" spans="1:6" ht="13.5">
      <c r="A131" s="3115">
        <v>59</v>
      </c>
      <c r="B131" s="3809"/>
      <c r="C131" s="3115" t="s">
        <v>2778</v>
      </c>
      <c r="D131" s="3089" t="s">
        <v>2779</v>
      </c>
      <c r="E131" s="3115">
        <v>0.1</v>
      </c>
      <c r="F131" s="3115">
        <v>15</v>
      </c>
    </row>
    <row r="132" spans="1:6" ht="13.5">
      <c r="A132" s="3115">
        <v>60</v>
      </c>
      <c r="B132" s="3804" t="s">
        <v>2780</v>
      </c>
      <c r="C132" s="3115" t="s">
        <v>2781</v>
      </c>
      <c r="D132" s="3089" t="s">
        <v>2782</v>
      </c>
      <c r="E132" s="3115">
        <v>0.1</v>
      </c>
      <c r="F132" s="3115">
        <v>15</v>
      </c>
    </row>
    <row r="133" spans="1:6" ht="13.5">
      <c r="A133" s="3115">
        <v>61</v>
      </c>
      <c r="B133" s="3808"/>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9" t="s">
        <v>2788</v>
      </c>
      <c r="C135" s="3115" t="s">
        <v>2789</v>
      </c>
      <c r="D135" s="3089" t="s">
        <v>2790</v>
      </c>
      <c r="E135" s="3115">
        <v>0.1</v>
      </c>
      <c r="F135" s="3115">
        <v>15</v>
      </c>
    </row>
    <row r="136" spans="1:6" ht="13.5">
      <c r="A136" s="3115">
        <v>64</v>
      </c>
      <c r="B136" s="3809"/>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92"/>
      <c r="B4" s="3493" t="s">
        <v>917</v>
      </c>
      <c r="C4" s="3493"/>
      <c r="D4" s="3493"/>
      <c r="E4" s="1492"/>
    </row>
    <row r="5" spans="1:5" ht="16.5" thickTop="1">
      <c r="A5" s="1490"/>
      <c r="B5" s="3491" t="s">
        <v>909</v>
      </c>
      <c r="C5" s="1493" t="s">
        <v>910</v>
      </c>
      <c r="D5" s="849">
        <f ca="1">结果表!H101</f>
        <v>500</v>
      </c>
      <c r="E5" s="1490"/>
    </row>
    <row r="6" spans="1:5" ht="15.75">
      <c r="A6" s="1490"/>
      <c r="B6" s="3491"/>
      <c r="C6" s="1493" t="s">
        <v>911</v>
      </c>
      <c r="D6" s="849" t="str">
        <f ca="1">NUMBERSTRING(INT(D5*10000),2)&amp;"元整"</f>
        <v>伍佰万元整</v>
      </c>
      <c r="E6" s="1490"/>
    </row>
    <row r="7" spans="1:5" ht="15.75">
      <c r="A7" s="1490"/>
      <c r="B7" s="3496"/>
      <c r="C7" s="1494" t="s">
        <v>912</v>
      </c>
      <c r="D7" s="850">
        <f ca="1">结果表!H102</f>
        <v>22231</v>
      </c>
      <c r="E7" s="1490"/>
    </row>
    <row r="8" spans="1:5" ht="15.75">
      <c r="A8" s="1490"/>
      <c r="B8" s="3497" t="str">
        <f>结果表!E103</f>
        <v>2.估价师知悉的法定优先受偿款</v>
      </c>
      <c r="C8" s="1495" t="s">
        <v>913</v>
      </c>
      <c r="D8" s="850">
        <f>结果表!H103</f>
        <v>0</v>
      </c>
      <c r="E8" s="1490"/>
    </row>
    <row r="9" spans="1:5" ht="15.75">
      <c r="A9" s="1490"/>
      <c r="B9" s="349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0" t="str">
        <f>结果表!E107</f>
        <v>3.房地产抵押价值</v>
      </c>
      <c r="C13" s="1498" t="s">
        <v>910</v>
      </c>
      <c r="D13" s="852">
        <f ca="1">结果表!H107</f>
        <v>500</v>
      </c>
      <c r="E13" s="1490"/>
    </row>
    <row r="14" spans="1:5" ht="15.75">
      <c r="A14" s="1490"/>
      <c r="B14" s="3491"/>
      <c r="C14" s="1493" t="s">
        <v>911</v>
      </c>
      <c r="D14" s="849" t="str">
        <f ca="1">NUMBERSTRING(INT(D13*10000),2)&amp;"元整"</f>
        <v>伍佰万元整</v>
      </c>
      <c r="E14" s="1490"/>
    </row>
    <row r="15" spans="1:5" ht="15">
      <c r="A15" s="1490"/>
      <c r="B15" s="3496"/>
      <c r="C15" s="1494" t="s">
        <v>921</v>
      </c>
      <c r="D15" s="858">
        <f ca="1">结果表!H108</f>
        <v>22231</v>
      </c>
      <c r="E15" s="1490"/>
    </row>
    <row r="16" spans="1:5" ht="15">
      <c r="A16" s="1490"/>
      <c r="B16" s="3497" t="str">
        <f>结果表!E109</f>
        <v>——</v>
      </c>
      <c r="C16" s="1498" t="s">
        <v>922</v>
      </c>
      <c r="D16" s="1499" t="str">
        <f>结果表!H109</f>
        <v>——</v>
      </c>
      <c r="E16" s="1490"/>
    </row>
    <row r="17" spans="1:5" ht="15.75">
      <c r="A17" s="1490"/>
      <c r="B17" s="3498"/>
      <c r="C17" s="1493" t="s">
        <v>923</v>
      </c>
      <c r="D17" s="849" t="e">
        <f>NUMBERSTRING(INT(D16*10000),2)&amp;"元整"</f>
        <v>#VALUE!</v>
      </c>
      <c r="E17" s="1490"/>
    </row>
    <row r="18" spans="1:5" ht="15">
      <c r="A18" s="1490"/>
      <c r="B18" s="3499"/>
      <c r="C18" s="1494" t="s">
        <v>912</v>
      </c>
      <c r="D18" s="858" t="str">
        <f>结果表!H110</f>
        <v>——</v>
      </c>
      <c r="E18" s="1490"/>
    </row>
    <row r="19" spans="1:5" ht="15.75">
      <c r="A19" s="1490"/>
      <c r="B19" s="3490" t="str">
        <f>结果表!E111</f>
        <v>——</v>
      </c>
      <c r="C19" s="1498" t="s">
        <v>910</v>
      </c>
      <c r="D19" s="850" t="str">
        <f>结果表!H111</f>
        <v>——</v>
      </c>
      <c r="E19" s="1490"/>
    </row>
    <row r="20" spans="1:5" ht="15.75">
      <c r="A20" s="1490"/>
      <c r="B20" s="3491"/>
      <c r="C20" s="1493" t="s">
        <v>923</v>
      </c>
      <c r="D20" s="849" t="e">
        <f>NUMBERSTRING(INT(D19*10000),2)&amp;"元整"</f>
        <v>#VALUE!</v>
      </c>
      <c r="E20" s="1490"/>
    </row>
    <row r="21" spans="1:5" ht="15.75" thickBot="1">
      <c r="A21" s="1490"/>
      <c r="B21" s="349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0</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27960</v>
      </c>
      <c r="C2" s="2" t="s">
        <v>106</v>
      </c>
      <c r="D2" s="199"/>
      <c r="E2" s="199"/>
      <c r="F2" s="199"/>
      <c r="G2" s="199"/>
    </row>
    <row r="3" spans="1:7" s="200" customFormat="1" ht="18" customHeight="1" thickBot="1">
      <c r="A3" s="203" t="s">
        <v>58</v>
      </c>
      <c r="B3" s="204">
        <f ca="1">ROUND(B2*10000/'数据-汇总表'!E3,0)</f>
        <v>1243828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224.79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224.79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224.79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72" t="s">
        <v>94</v>
      </c>
    </row>
    <row r="43" spans="1:7" ht="13.5" customHeight="1">
      <c r="A43" s="779" t="s">
        <v>347</v>
      </c>
      <c r="B43" s="215" t="s">
        <v>426</v>
      </c>
      <c r="C43" s="238">
        <f ca="1">ROUND(IF('数据-取费表'!B22&lt;=1,C39*F22*'数据-取费表'!B21/2,C39*(POWER((1+F22),'数据-取费表'!B21/2)-1)),0)</f>
        <v>0</v>
      </c>
      <c r="D43" s="238"/>
      <c r="E43" s="238"/>
      <c r="F43" s="239"/>
      <c r="G43" s="3673"/>
    </row>
    <row r="44" spans="1:7" ht="13.5" customHeight="1">
      <c r="A44" s="779" t="s">
        <v>348</v>
      </c>
      <c r="B44" s="215" t="s">
        <v>428</v>
      </c>
      <c r="C44" s="238">
        <f ca="1">ROUND(IF('数据-取费表'!B22&lt;=1,C40*F22*'数据-取费表'!B21/2,C40*(POWER((1+F22),'数据-取费表'!B21/2)-1)),4)</f>
        <v>5.9999999999999995E-4</v>
      </c>
      <c r="D44" s="238"/>
      <c r="E44" s="238"/>
      <c r="F44" s="239"/>
      <c r="G44" s="3674"/>
    </row>
    <row r="45" spans="1:7" s="214" customFormat="1" ht="13.5" customHeight="1">
      <c r="A45" s="776" t="s">
        <v>341</v>
      </c>
      <c r="B45" s="244" t="s">
        <v>85</v>
      </c>
      <c r="C45" s="245">
        <f>C46</f>
        <v>16</v>
      </c>
      <c r="D45" s="235">
        <f>C47</f>
        <v>3.0000000000000001E-3</v>
      </c>
      <c r="E45" s="236" t="s">
        <v>102</v>
      </c>
      <c r="F45" s="246"/>
      <c r="G45" s="247" t="s">
        <v>434</v>
      </c>
    </row>
    <row r="46" spans="1:7" s="214" customFormat="1" ht="13.5" customHeight="1">
      <c r="A46" s="779" t="s">
        <v>349</v>
      </c>
      <c r="B46" s="248" t="s">
        <v>427</v>
      </c>
      <c r="C46" s="249">
        <f>ROUND((C33+C39)*F27,0)</f>
        <v>16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133</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110</v>
      </c>
      <c r="D51" s="232"/>
      <c r="E51" s="232"/>
      <c r="F51" s="264"/>
      <c r="G51" s="234" t="s">
        <v>37</v>
      </c>
    </row>
    <row r="52" spans="1:7" s="208" customFormat="1" ht="16.5" thickBot="1">
      <c r="A52" s="265" t="s">
        <v>38</v>
      </c>
      <c r="B52" s="266"/>
      <c r="C52" s="267">
        <f ca="1">C31+C51</f>
        <v>27960</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12" t="s">
        <v>2838</v>
      </c>
      <c r="B1" s="3812"/>
      <c r="C1" s="3812"/>
      <c r="D1" s="3812"/>
      <c r="E1" s="3812"/>
      <c r="F1" s="3812"/>
      <c r="G1" s="3813"/>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10"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11"/>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4" t="s">
        <v>3180</v>
      </c>
      <c r="B1" s="3814"/>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15" t="s">
        <v>3231</v>
      </c>
      <c r="B1" s="3815"/>
      <c r="C1" s="3815"/>
      <c r="D1" s="3815"/>
      <c r="E1" s="3815"/>
      <c r="F1" s="3816"/>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45728</v>
      </c>
      <c r="B1" s="3207" t="s">
        <v>3377</v>
      </c>
      <c r="C1" s="3208"/>
      <c r="D1" s="3208"/>
      <c r="E1" s="3208"/>
      <c r="F1" s="3208"/>
      <c r="G1" s="3208"/>
      <c r="H1" s="3208"/>
      <c r="I1" s="3208"/>
      <c r="J1" s="3162"/>
      <c r="K1" s="3208" t="s">
        <v>454</v>
      </c>
      <c r="L1" s="3208"/>
      <c r="M1" s="3208"/>
      <c r="N1" s="3208"/>
      <c r="O1" s="3208"/>
      <c r="P1" s="3208"/>
      <c r="Q1" s="3162"/>
      <c r="R1" s="3817" t="s">
        <v>456</v>
      </c>
      <c r="S1" s="3818"/>
      <c r="T1" s="3818"/>
      <c r="U1" s="3818"/>
      <c r="V1" s="3818"/>
      <c r="W1" s="3818"/>
      <c r="X1" s="3162"/>
      <c r="Y1" s="3817" t="s">
        <v>457</v>
      </c>
      <c r="Z1" s="3818"/>
      <c r="AA1" s="3818"/>
      <c r="AB1" s="3818"/>
      <c r="AC1" s="3818"/>
      <c r="AD1" s="3818"/>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7" t="s">
        <v>2826</v>
      </c>
      <c r="S26" s="3818"/>
      <c r="T26" s="3818"/>
      <c r="U26" s="3818"/>
      <c r="V26" s="3818"/>
      <c r="W26" s="3818"/>
      <c r="X26" s="3162"/>
      <c r="Y26" s="3817" t="s">
        <v>2827</v>
      </c>
      <c r="Z26" s="3818"/>
      <c r="AA26" s="3818"/>
      <c r="AB26" s="3818"/>
      <c r="AC26" s="3818"/>
      <c r="AD26" s="3818"/>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24" t="s">
        <v>452</v>
      </c>
      <c r="C1" s="3824"/>
      <c r="D1" s="3824"/>
      <c r="E1" s="3824"/>
      <c r="F1" s="3824"/>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2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2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2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2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2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2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2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2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2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2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2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2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2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2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2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2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45728</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6"/>
  <sheetViews>
    <sheetView workbookViewId="0">
      <selection activeCell="K11" sqref="K11"/>
    </sheetView>
  </sheetViews>
  <sheetFormatPr defaultRowHeight="13.5"/>
  <cols>
    <col min="1" max="1" width="9" style="3251"/>
    <col min="2" max="2" width="14.75" style="3251" customWidth="1"/>
    <col min="3" max="5" width="9" style="3251"/>
    <col min="6" max="6" width="14.5" style="3251" customWidth="1"/>
    <col min="7" max="16384" width="9" style="3251"/>
  </cols>
  <sheetData>
    <row r="2" spans="2:6">
      <c r="C2" s="3837" t="s">
        <v>3524</v>
      </c>
      <c r="D2" s="3837" t="s">
        <v>3525</v>
      </c>
      <c r="E2" s="3837" t="s">
        <v>3530</v>
      </c>
    </row>
    <row r="3" spans="2:6">
      <c r="B3" s="3838" t="s">
        <v>3523</v>
      </c>
      <c r="C3" s="3251">
        <v>49.89</v>
      </c>
      <c r="D3" s="3251">
        <v>6.92</v>
      </c>
      <c r="E3" s="3837"/>
      <c r="F3" s="3837" t="s">
        <v>3526</v>
      </c>
    </row>
    <row r="4" spans="2:6">
      <c r="B4" s="3838"/>
      <c r="C4" s="3251">
        <v>80.91</v>
      </c>
      <c r="E4" s="3837">
        <v>48202</v>
      </c>
      <c r="F4" s="3837" t="s">
        <v>3531</v>
      </c>
    </row>
    <row r="5" spans="2:6">
      <c r="B5" s="3837" t="s">
        <v>3527</v>
      </c>
      <c r="C5" s="3251">
        <v>60.25</v>
      </c>
      <c r="D5" s="3251">
        <v>4.37</v>
      </c>
      <c r="E5" s="3837"/>
      <c r="F5" s="3837" t="s">
        <v>3528</v>
      </c>
    </row>
    <row r="6" spans="2:6">
      <c r="B6" s="3837" t="s">
        <v>3529</v>
      </c>
    </row>
    <row r="7" spans="2:6">
      <c r="B7" s="3837" t="s">
        <v>3532</v>
      </c>
      <c r="C7" s="3251">
        <v>126.85</v>
      </c>
      <c r="E7" s="3251">
        <v>35081</v>
      </c>
      <c r="F7" s="3837" t="s">
        <v>3533</v>
      </c>
    </row>
    <row r="8" spans="2:6">
      <c r="B8" s="3837" t="s">
        <v>3534</v>
      </c>
      <c r="C8" s="3251">
        <v>88.07</v>
      </c>
      <c r="E8" s="3251">
        <v>37471</v>
      </c>
      <c r="F8" s="3837" t="s">
        <v>3535</v>
      </c>
    </row>
    <row r="9" spans="2:6">
      <c r="B9" s="3838" t="s">
        <v>3536</v>
      </c>
      <c r="C9" s="3251">
        <v>182</v>
      </c>
      <c r="E9" s="3251">
        <v>41000</v>
      </c>
      <c r="F9" s="3837" t="s">
        <v>3537</v>
      </c>
    </row>
    <row r="10" spans="2:6">
      <c r="B10" s="3838"/>
      <c r="C10" s="3251">
        <v>182.54</v>
      </c>
      <c r="D10" s="3251">
        <f>24*10000/C10/365</f>
        <v>3.6021378688251477</v>
      </c>
      <c r="E10" s="3251">
        <v>36600</v>
      </c>
      <c r="F10" s="3837" t="s">
        <v>3564</v>
      </c>
    </row>
    <row r="11" spans="2:6">
      <c r="B11" s="3838"/>
      <c r="C11" s="3251">
        <v>120</v>
      </c>
      <c r="D11" s="3251">
        <v>6</v>
      </c>
      <c r="F11" s="3837" t="s">
        <v>3537</v>
      </c>
    </row>
    <row r="12" spans="2:6">
      <c r="B12" s="3837" t="s">
        <v>3540</v>
      </c>
      <c r="C12" s="3251">
        <v>63</v>
      </c>
      <c r="D12" s="3251">
        <v>5.74</v>
      </c>
      <c r="F12" s="3837" t="s">
        <v>3537</v>
      </c>
    </row>
    <row r="13" spans="2:6">
      <c r="B13" s="3837" t="s">
        <v>3565</v>
      </c>
      <c r="C13" s="3251">
        <v>93.81</v>
      </c>
      <c r="E13" s="3251">
        <v>35711</v>
      </c>
      <c r="F13" s="3837" t="s">
        <v>3566</v>
      </c>
    </row>
    <row r="16" spans="2:6">
      <c r="E16" s="3837"/>
    </row>
  </sheetData>
  <mergeCells count="2">
    <mergeCell ref="B9:B11"/>
    <mergeCell ref="B3:B4"/>
  </mergeCells>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结果表!D116</f>
        <v>出让国有建设用地使用权价值</v>
      </c>
      <c r="E2" s="3501"/>
      <c r="F2" s="3501" t="str">
        <f>结果表!F116</f>
        <v>在建建筑物价值</v>
      </c>
      <c r="G2" s="3501"/>
      <c r="H2" s="3501" t="str">
        <f>IF(项目基本情况!B9="房地产市场价值","房地产市场价值","房地产价值")</f>
        <v>房地产价值</v>
      </c>
      <c r="I2" s="3501"/>
    </row>
    <row r="3" spans="1:9" ht="15">
      <c r="A3" s="3502"/>
      <c r="B3" s="3502"/>
      <c r="C3" s="3502"/>
      <c r="D3" s="853" t="s">
        <v>925</v>
      </c>
      <c r="E3" s="853" t="s">
        <v>931</v>
      </c>
      <c r="F3" s="853" t="s">
        <v>925</v>
      </c>
      <c r="G3" s="853" t="s">
        <v>926</v>
      </c>
      <c r="H3" s="853" t="s">
        <v>925</v>
      </c>
      <c r="I3" s="853" t="s">
        <v>926</v>
      </c>
    </row>
    <row r="4" spans="1:9" ht="45">
      <c r="A4" s="1504" t="str">
        <f>项目基本情况!S2</f>
        <v>北京市昌平区七北路42号院2号楼2层201、202、206、210共4套商业用房房地产</v>
      </c>
      <c r="B4" s="853">
        <f>项目基本情况!C17</f>
        <v>224.79</v>
      </c>
      <c r="C4" s="853">
        <f>项目基本情况!C18</f>
        <v>0</v>
      </c>
      <c r="D4" s="853">
        <f ca="1">结果表!D118</f>
        <v>355</v>
      </c>
      <c r="E4" s="853">
        <f ca="1">结果表!E118</f>
        <v>15806</v>
      </c>
      <c r="F4" s="853">
        <f ca="1">结果表!F118</f>
        <v>144</v>
      </c>
      <c r="G4" s="853">
        <f ca="1">结果表!G118</f>
        <v>6425</v>
      </c>
      <c r="H4" s="853">
        <f ca="1">结果表!H118</f>
        <v>500</v>
      </c>
      <c r="I4" s="853">
        <f ca="1">结果表!I118</f>
        <v>22231</v>
      </c>
    </row>
    <row r="5" spans="1:9" ht="30" customHeight="1">
      <c r="A5" s="3502" t="s">
        <v>927</v>
      </c>
      <c r="B5" s="3502"/>
      <c r="C5" s="3502"/>
      <c r="D5" s="3502" t="str">
        <f ca="1">结果表!D119</f>
        <v>叁佰伍拾伍万元整</v>
      </c>
      <c r="E5" s="3502"/>
      <c r="F5" s="3502" t="str">
        <f ca="1">结果表!F119</f>
        <v>壹佰肆拾肆万元整</v>
      </c>
      <c r="G5" s="3502"/>
      <c r="H5" s="3502" t="str">
        <f ca="1">结果表!H119</f>
        <v>伍佰万元整</v>
      </c>
      <c r="I5" s="3502"/>
    </row>
    <row r="6" spans="1:9" ht="15.75">
      <c r="A6" s="3503" t="str">
        <f>结果表!A120</f>
        <v>估价师知悉的法定优先受偿款</v>
      </c>
      <c r="B6" s="3503"/>
      <c r="C6" s="3503"/>
      <c r="D6" s="3503">
        <f>结果表!D120</f>
        <v>0</v>
      </c>
      <c r="E6" s="3503"/>
      <c r="F6" s="3503"/>
      <c r="G6" s="3503"/>
      <c r="H6" s="3503"/>
      <c r="I6" s="3503"/>
    </row>
    <row r="7" spans="1:9" ht="15">
      <c r="A7" s="3502" t="s">
        <v>927</v>
      </c>
      <c r="B7" s="3502"/>
      <c r="C7" s="3502"/>
      <c r="D7" s="3504" t="str">
        <f>结果表!D121</f>
        <v>零元整</v>
      </c>
      <c r="E7" s="3505"/>
      <c r="F7" s="3505"/>
      <c r="G7" s="3505"/>
      <c r="H7" s="3505"/>
      <c r="I7" s="3506"/>
    </row>
    <row r="8" spans="1:9" ht="15.75">
      <c r="A8" s="3503" t="str">
        <f>结果表!A122</f>
        <v>房地产抵押价值</v>
      </c>
      <c r="B8" s="3503"/>
      <c r="C8" s="3503"/>
      <c r="D8" s="3503">
        <f ca="1">结果表!D122</f>
        <v>500</v>
      </c>
      <c r="E8" s="3503"/>
      <c r="F8" s="3503"/>
      <c r="G8" s="3503"/>
      <c r="H8" s="3503"/>
      <c r="I8" s="3503"/>
    </row>
    <row r="9" spans="1:9" ht="15">
      <c r="A9" s="3502" t="s">
        <v>927</v>
      </c>
      <c r="B9" s="3502"/>
      <c r="C9" s="3502"/>
      <c r="D9" s="3502" t="str">
        <f ca="1">结果表!D123</f>
        <v>伍佰万元整</v>
      </c>
      <c r="E9" s="3502"/>
      <c r="F9" s="3502"/>
      <c r="G9" s="3502"/>
      <c r="H9" s="3502"/>
      <c r="I9" s="3502"/>
    </row>
    <row r="10" spans="1:9" ht="15.75">
      <c r="A10" s="3503" t="str">
        <f>结果表!A124</f>
        <v/>
      </c>
      <c r="B10" s="3503"/>
      <c r="C10" s="3503"/>
      <c r="D10" s="3503" t="str">
        <f>结果表!D124</f>
        <v>——</v>
      </c>
      <c r="E10" s="3503"/>
      <c r="F10" s="3503"/>
      <c r="G10" s="3503"/>
      <c r="H10" s="3503"/>
      <c r="I10" s="3503"/>
    </row>
    <row r="11" spans="1:9" ht="15">
      <c r="A11" s="3502" t="s">
        <v>927</v>
      </c>
      <c r="B11" s="3502"/>
      <c r="C11" s="3502"/>
      <c r="D11" s="3502" t="e">
        <f>结果表!D125</f>
        <v>#VALUE!</v>
      </c>
      <c r="E11" s="3502"/>
      <c r="F11" s="3502"/>
      <c r="G11" s="3502"/>
      <c r="H11" s="3502"/>
      <c r="I11" s="3502"/>
    </row>
    <row r="12" spans="1:9" ht="15.75">
      <c r="A12" s="3503" t="str">
        <f>结果表!A126</f>
        <v/>
      </c>
      <c r="B12" s="3503"/>
      <c r="C12" s="3503"/>
      <c r="D12" s="3503" t="str">
        <f>结果表!D126</f>
        <v>——</v>
      </c>
      <c r="E12" s="3503"/>
      <c r="F12" s="3503"/>
      <c r="G12" s="3503"/>
      <c r="H12" s="3503"/>
      <c r="I12" s="3503"/>
    </row>
    <row r="13" spans="1:9" ht="15.75" thickBot="1">
      <c r="A13" s="3507" t="s">
        <v>927</v>
      </c>
      <c r="B13" s="3507"/>
      <c r="C13" s="3507"/>
      <c r="D13" s="3507" t="e">
        <f>结果表!D127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9" t="s">
        <v>949</v>
      </c>
      <c r="B1" s="3509"/>
      <c r="C1" s="3509"/>
      <c r="D1" s="3509"/>
    </row>
    <row r="2" spans="1:4" ht="18">
      <c r="A2" s="3510" t="s">
        <v>933</v>
      </c>
      <c r="B2" s="3510"/>
      <c r="C2" s="3510"/>
      <c r="D2" s="3510"/>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10" t="s">
        <v>939</v>
      </c>
      <c r="B6" s="3510"/>
      <c r="C6" s="3510"/>
      <c r="D6" s="351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3" t="s">
        <v>956</v>
      </c>
      <c r="B15" s="3518" t="s">
        <v>109</v>
      </c>
      <c r="C15" s="3519"/>
    </row>
    <row r="16" spans="1:7" ht="13.5">
      <c r="A16" s="3524"/>
      <c r="B16" s="3518" t="s">
        <v>42</v>
      </c>
      <c r="C16" s="3519"/>
    </row>
    <row r="17" spans="1:3" ht="13.5">
      <c r="A17" s="3524"/>
      <c r="B17" s="3521" t="s">
        <v>957</v>
      </c>
      <c r="C17" s="1531" t="s">
        <v>956</v>
      </c>
    </row>
    <row r="18" spans="1:3" ht="13.5">
      <c r="A18" s="3524"/>
      <c r="B18" s="3521"/>
      <c r="C18" s="1531" t="s">
        <v>958</v>
      </c>
    </row>
    <row r="19" spans="1:3" ht="13.5">
      <c r="A19" s="3524"/>
      <c r="B19" s="3521"/>
      <c r="C19" s="1531" t="s">
        <v>959</v>
      </c>
    </row>
    <row r="20" spans="1:3" ht="13.5">
      <c r="A20" s="3525"/>
      <c r="B20" s="3520" t="s">
        <v>960</v>
      </c>
      <c r="C20" s="3519"/>
    </row>
    <row r="21" spans="1:3" ht="13.5">
      <c r="A21" s="1532" t="s">
        <v>961</v>
      </c>
      <c r="B21" s="1533"/>
      <c r="C21" s="1534"/>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31" t="s">
        <v>967</v>
      </c>
    </row>
    <row r="26" spans="1:3" ht="13.5">
      <c r="A26" s="3522"/>
      <c r="B26" s="3521"/>
      <c r="C26" s="1531" t="s">
        <v>968</v>
      </c>
    </row>
    <row r="27" spans="1:3" ht="13.5">
      <c r="A27" s="3522"/>
      <c r="B27" s="3521"/>
      <c r="C27" s="1531" t="s">
        <v>969</v>
      </c>
    </row>
    <row r="28" spans="1:3" ht="13.5">
      <c r="A28" s="3522"/>
      <c r="B28" s="3521"/>
      <c r="C28" s="1531" t="s">
        <v>970</v>
      </c>
    </row>
    <row r="29" spans="1:3" ht="13.5">
      <c r="A29" s="3522"/>
      <c r="B29" s="3521"/>
      <c r="C29" s="1531" t="s">
        <v>971</v>
      </c>
    </row>
    <row r="30" spans="1:3" ht="13.5">
      <c r="A30" s="3522"/>
      <c r="B30" s="3521"/>
      <c r="C30" s="1531" t="s">
        <v>972</v>
      </c>
    </row>
    <row r="31" spans="1:3" ht="13.5">
      <c r="A31" s="3522"/>
      <c r="B31" s="3521"/>
      <c r="C31" s="1531" t="s">
        <v>973</v>
      </c>
    </row>
    <row r="32" spans="1:3" ht="13.5">
      <c r="A32" s="3522"/>
      <c r="B32" s="3521"/>
      <c r="C32" s="1531" t="s">
        <v>974</v>
      </c>
    </row>
    <row r="33" spans="1:3" ht="13.5">
      <c r="A33" s="3522"/>
      <c r="B33" s="352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45730</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6" t="s">
        <v>2159</v>
      </c>
      <c r="B17" s="3526"/>
      <c r="C17" s="3526"/>
      <c r="D17" s="3526"/>
      <c r="E17" s="3526"/>
      <c r="F17" s="3526"/>
      <c r="G17" s="3526"/>
      <c r="H17" s="3526"/>
    </row>
    <row r="18" spans="1:8" ht="24" customHeight="1">
      <c r="A18" s="3527" t="s">
        <v>2160</v>
      </c>
      <c r="B18" s="3527"/>
      <c r="C18" s="3527"/>
      <c r="D18" s="2342"/>
      <c r="E18" s="3528" t="s">
        <v>2161</v>
      </c>
      <c r="F18" s="3527"/>
      <c r="G18" s="3527"/>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181</vt:i4>
      </vt:variant>
    </vt:vector>
  </HeadingPairs>
  <TitlesOfParts>
    <vt:vector size="23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比较法-租金商业</vt:lpstr>
      <vt:lpstr>收益法 (元)</vt:lpstr>
      <vt:lpstr>比较法-办公租金</vt:lpstr>
      <vt:lpstr>成本法 (元)</vt:lpstr>
      <vt:lpstr>假设开发法</vt:lpstr>
      <vt:lpstr>收益法</vt:lpstr>
      <vt:lpstr>基准地价修正</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'比较法-租金商业'!Print_Area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'比较法-租金商业'!商业层高</vt:lpstr>
      <vt:lpstr>商业层高</vt:lpstr>
      <vt:lpstr>'比较法-租金商业'!商业成新度</vt:lpstr>
      <vt:lpstr>商业成新度</vt:lpstr>
      <vt:lpstr>商业繁华度</vt:lpstr>
      <vt:lpstr>'比较法-租金商业'!商业公共部分装修</vt:lpstr>
      <vt:lpstr>商业公共部分装修</vt:lpstr>
      <vt:lpstr>'比较法-租金商业'!商业基础设施水平</vt:lpstr>
      <vt:lpstr>商业基础设施水平</vt:lpstr>
      <vt:lpstr>'比较法-租金商业'!商业建筑结构</vt:lpstr>
      <vt:lpstr>商业建筑结构</vt:lpstr>
      <vt:lpstr>'比较法-租金商业'!商业交易情况</vt:lpstr>
      <vt:lpstr>商业交易情况</vt:lpstr>
      <vt:lpstr>商业街名称</vt:lpstr>
      <vt:lpstr>'比较法-租金商业'!商业进深比</vt:lpstr>
      <vt:lpstr>商业进深比</vt:lpstr>
      <vt:lpstr>'比较法-租金商业'!商业类型</vt:lpstr>
      <vt:lpstr>商业类型</vt:lpstr>
      <vt:lpstr>'比较法-租金商业'!商业临街状况</vt:lpstr>
      <vt:lpstr>商业临街状况</vt:lpstr>
      <vt:lpstr>'比较法-租金商业'!商业楼层</vt:lpstr>
      <vt:lpstr>商业楼层</vt:lpstr>
      <vt:lpstr>'比较法-租金商业'!商业内部装修</vt:lpstr>
      <vt:lpstr>商业内部装修</vt:lpstr>
      <vt:lpstr>'比较法-租金商业'!商业人流量</vt:lpstr>
      <vt:lpstr>商业人流量</vt:lpstr>
      <vt:lpstr>'比较法-租金商业'!商业业态</vt:lpstr>
      <vt:lpstr>商业业态</vt:lpstr>
      <vt:lpstr>'比较法-租金商业'!商业用途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2025-03-14T06:49:49Z</dcterms:modified>
</cp:coreProperties>
</file>