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基准地价"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43" l="1"/>
  <c r="B14" i="74" l="1"/>
  <c r="J49" i="15"/>
  <c r="D33" i="43"/>
  <c r="U6" i="1"/>
  <c r="U19" i="1"/>
  <c r="Y6" i="1"/>
  <c r="B59" i="1"/>
  <c r="N6" i="1"/>
  <c r="N19" i="1"/>
  <c r="F19" i="6"/>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41" i="79"/>
  <c r="AK41" i="79" s="1"/>
  <c r="AH41"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19" i="79"/>
  <c r="AK19" i="79" s="1"/>
  <c r="AH19" i="79"/>
  <c r="W50" i="79"/>
  <c r="AK50" i="79" s="1"/>
  <c r="AH50" i="79"/>
  <c r="W46" i="79"/>
  <c r="AK46" i="79" s="1"/>
  <c r="AH46"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U29" i="39"/>
  <c r="W29" i="39"/>
  <c r="U21" i="37"/>
  <c r="S21" i="37"/>
  <c r="AA21" i="33"/>
  <c r="S21" i="33"/>
  <c r="J21" i="37"/>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L528" i="3" s="1"/>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K5" i="3" s="1"/>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H5" i="3" s="1"/>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s="1"/>
  <c r="BJ574" i="3"/>
  <c r="BK574" i="3"/>
  <c r="BM574" i="3"/>
  <c r="BN574" i="3"/>
  <c r="BN5"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S5" i="3" s="1"/>
  <c r="BT575" i="3"/>
  <c r="H576" i="3"/>
  <c r="AC576" i="3"/>
  <c r="BB576" i="3"/>
  <c r="BB5" i="3" s="1"/>
  <c r="BC576" i="3"/>
  <c r="BD576" i="3"/>
  <c r="BE576" i="3"/>
  <c r="BF576" i="3"/>
  <c r="BF5"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B68" i="37"/>
  <c r="B66" i="37"/>
  <c r="B64" i="37"/>
  <c r="J12" i="37" s="1"/>
  <c r="W12" i="37" s="1"/>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J34" i="36" s="1"/>
  <c r="W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s="1"/>
  <c r="J22" i="35"/>
  <c r="AC22" i="35" s="1"/>
  <c r="B101" i="35"/>
  <c r="H36" i="35"/>
  <c r="B99" i="35"/>
  <c r="B97" i="35"/>
  <c r="B77" i="35"/>
  <c r="J25" i="35" s="1"/>
  <c r="W25" i="35" s="1"/>
  <c r="B75" i="35"/>
  <c r="B73" i="35"/>
  <c r="J23" i="35" s="1"/>
  <c r="AC23" i="35" s="1"/>
  <c r="H23" i="35"/>
  <c r="U23" i="35" s="1"/>
  <c r="B57" i="35"/>
  <c r="B61" i="35"/>
  <c r="B59" i="35"/>
  <c r="F12" i="35" s="1"/>
  <c r="B131" i="34"/>
  <c r="F47" i="34" s="1"/>
  <c r="S47" i="34" s="1"/>
  <c r="B129" i="34"/>
  <c r="B127" i="34"/>
  <c r="B99" i="34"/>
  <c r="B97" i="34"/>
  <c r="B95" i="34"/>
  <c r="J30" i="34" s="1"/>
  <c r="B93" i="34"/>
  <c r="B75" i="34"/>
  <c r="B73" i="34"/>
  <c r="F13" i="34" s="1"/>
  <c r="AA13" i="34" s="1"/>
  <c r="B71" i="34"/>
  <c r="B130" i="33"/>
  <c r="B128" i="33"/>
  <c r="B126" i="33"/>
  <c r="B98" i="33"/>
  <c r="B96" i="33"/>
  <c r="B94" i="33"/>
  <c r="B74" i="33"/>
  <c r="B72" i="33"/>
  <c r="J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1" i="33"/>
  <c r="W41" i="33"/>
  <c r="Q41" i="33"/>
  <c r="Z41" i="33" s="1"/>
  <c r="Q40" i="33"/>
  <c r="Z40" i="33" s="1"/>
  <c r="J40" i="33"/>
  <c r="AC40" i="33" s="1"/>
  <c r="H40" i="33"/>
  <c r="AB40" i="33"/>
  <c r="AA40" i="33"/>
  <c r="Q39" i="33"/>
  <c r="Z39" i="33" s="1"/>
  <c r="J39" i="33"/>
  <c r="AC39" i="33"/>
  <c r="Q38" i="33"/>
  <c r="Z38" i="33" s="1"/>
  <c r="J38" i="33"/>
  <c r="AC38" i="33"/>
  <c r="H38" i="33"/>
  <c r="AB38" i="33" s="1"/>
  <c r="F38" i="33"/>
  <c r="AA38" i="33"/>
  <c r="Q37" i="33"/>
  <c r="Z37" i="33" s="1"/>
  <c r="Q36" i="33"/>
  <c r="Z36" i="33" s="1"/>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c r="W45" i="21" s="1"/>
  <c r="B126" i="21"/>
  <c r="F44" i="21" s="1"/>
  <c r="AA44" i="21" s="1"/>
  <c r="B98" i="21"/>
  <c r="H31" i="21" s="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S41" i="21"/>
  <c r="AA41" i="21"/>
  <c r="F45" i="39"/>
  <c r="S45" i="39"/>
  <c r="J45" i="39"/>
  <c r="W45" i="39" s="1"/>
  <c r="F36" i="39"/>
  <c r="S36" i="39" s="1"/>
  <c r="H36" i="39"/>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c r="U33" i="33"/>
  <c r="W39" i="33"/>
  <c r="H39" i="37"/>
  <c r="S27" i="35"/>
  <c r="F11" i="40"/>
  <c r="AA11" i="40"/>
  <c r="H11" i="40"/>
  <c r="AB11" i="40" s="1"/>
  <c r="W8" i="40"/>
  <c r="S34" i="40"/>
  <c r="U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12" i="35"/>
  <c r="AB12" i="36"/>
  <c r="W32" i="40"/>
  <c r="F37" i="39"/>
  <c r="AA37" i="39"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34" i="36"/>
  <c r="S34" i="36" s="1"/>
  <c r="F14" i="35"/>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H40" i="34"/>
  <c r="U40" i="34"/>
  <c r="H36" i="34"/>
  <c r="U36" i="34" s="1"/>
  <c r="F37" i="34"/>
  <c r="AA37" i="34" s="1"/>
  <c r="S35" i="34"/>
  <c r="F28" i="34"/>
  <c r="F25" i="34"/>
  <c r="S25" i="34" s="1"/>
  <c r="H23" i="34"/>
  <c r="U23" i="34"/>
  <c r="J23" i="34"/>
  <c r="F19" i="34"/>
  <c r="H17" i="34"/>
  <c r="U17" i="34"/>
  <c r="F15" i="34"/>
  <c r="AA15" i="34" s="1"/>
  <c r="J15" i="34"/>
  <c r="H15" i="34"/>
  <c r="AB15" i="34" s="1"/>
  <c r="J28" i="34"/>
  <c r="F41" i="33"/>
  <c r="AA41" i="33"/>
  <c r="S38" i="33"/>
  <c r="E113" i="33"/>
  <c r="F32" i="33"/>
  <c r="AA32" i="33"/>
  <c r="J19" i="33"/>
  <c r="AC19" i="33" s="1"/>
  <c r="J15" i="33"/>
  <c r="AC15" i="33"/>
  <c r="F11" i="33"/>
  <c r="U40" i="33"/>
  <c r="W40" i="33"/>
  <c r="F37" i="40"/>
  <c r="AA37" i="40" s="1"/>
  <c r="F36" i="40"/>
  <c r="AA36" i="40"/>
  <c r="H28" i="40"/>
  <c r="U28" i="40" s="1"/>
  <c r="F23" i="40"/>
  <c r="AA23" i="40"/>
  <c r="F17" i="40"/>
  <c r="AA17" i="40" s="1"/>
  <c r="J17" i="40"/>
  <c r="W17" i="40"/>
  <c r="F15" i="40"/>
  <c r="H15" i="40"/>
  <c r="AB15" i="40" s="1"/>
  <c r="S12" i="36"/>
  <c r="AA12" i="36"/>
  <c r="AB30" i="36"/>
  <c r="F29" i="35"/>
  <c r="S29" i="35" s="1"/>
  <c r="H29" i="35"/>
  <c r="AB29" i="35" s="1"/>
  <c r="H33" i="37"/>
  <c r="F33" i="37"/>
  <c r="AA33" i="37" s="1"/>
  <c r="U34" i="37"/>
  <c r="J43"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M123" i="21"/>
  <c r="J42" i="21"/>
  <c r="AC42" i="21"/>
  <c r="H42" i="21"/>
  <c r="U42" i="21"/>
  <c r="J44" i="34"/>
  <c r="F44" i="34"/>
  <c r="S44" i="34" s="1"/>
  <c r="AA44" i="34"/>
  <c r="J10" i="35"/>
  <c r="AC10" i="35" s="1"/>
  <c r="F28" i="21"/>
  <c r="AA28" i="21"/>
  <c r="J44" i="21"/>
  <c r="AC44" i="21" s="1"/>
  <c r="H44" i="21"/>
  <c r="U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c r="J31" i="21"/>
  <c r="AC31" i="21" s="1"/>
  <c r="F31" i="21"/>
  <c r="S31" i="21"/>
  <c r="F45" i="21"/>
  <c r="F27" i="33"/>
  <c r="AA27" i="33" s="1"/>
  <c r="F13" i="33"/>
  <c r="S13" i="33" s="1"/>
  <c r="J29" i="33"/>
  <c r="H29" i="33"/>
  <c r="U29" i="33" s="1"/>
  <c r="F29" i="33"/>
  <c r="S29" i="33" s="1"/>
  <c r="H45" i="33"/>
  <c r="U45" i="33"/>
  <c r="J45" i="33"/>
  <c r="F45" i="33"/>
  <c r="AA45" i="33"/>
  <c r="J14" i="34"/>
  <c r="W14" i="34" s="1"/>
  <c r="F14" i="34"/>
  <c r="H14" i="34"/>
  <c r="F30" i="34"/>
  <c r="S30" i="34" s="1"/>
  <c r="H32" i="34"/>
  <c r="F32" i="34"/>
  <c r="J32" i="34"/>
  <c r="W32" i="34" s="1"/>
  <c r="F46" i="34"/>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F14" i="33"/>
  <c r="H30" i="33"/>
  <c r="AB30" i="33"/>
  <c r="F30" i="33"/>
  <c r="S30" i="33" s="1"/>
  <c r="J30" i="33"/>
  <c r="J44" i="33"/>
  <c r="W44" i="33" s="1"/>
  <c r="AC44" i="33"/>
  <c r="J46" i="33"/>
  <c r="AC46" i="33"/>
  <c r="F46" i="33"/>
  <c r="AA46" i="33" s="1"/>
  <c r="H46" i="33"/>
  <c r="AB46" i="33"/>
  <c r="H13" i="34"/>
  <c r="U13" i="34" s="1"/>
  <c r="J13" i="34"/>
  <c r="W13" i="34" s="1"/>
  <c r="J29" i="34"/>
  <c r="F29" i="34"/>
  <c r="H29" i="34"/>
  <c r="AB29" i="34" s="1"/>
  <c r="J31" i="34"/>
  <c r="W31" i="34" s="1"/>
  <c r="AC31" i="34"/>
  <c r="H45" i="34"/>
  <c r="U45" i="34" s="1"/>
  <c r="J45" i="34"/>
  <c r="W45" i="34"/>
  <c r="F45" i="34"/>
  <c r="H47" i="34"/>
  <c r="U47" i="34" s="1"/>
  <c r="J47" i="34"/>
  <c r="AC47" i="34"/>
  <c r="F13" i="35"/>
  <c r="J13" i="35"/>
  <c r="AC13" i="35"/>
  <c r="H13" i="35"/>
  <c r="U13" i="35" s="1"/>
  <c r="F25" i="35"/>
  <c r="S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43" i="39"/>
  <c r="AA43" i="39" s="1"/>
  <c r="J14" i="39"/>
  <c r="AC14" i="39" s="1"/>
  <c r="F14" i="39"/>
  <c r="H14" i="39"/>
  <c r="AB14" i="39" s="1"/>
  <c r="F12" i="40"/>
  <c r="S12" i="40"/>
  <c r="H12" i="40"/>
  <c r="AB12" i="40" s="1"/>
  <c r="H30" i="40"/>
  <c r="AB30" i="40"/>
  <c r="F33" i="40"/>
  <c r="AA33" i="40" s="1"/>
  <c r="J35" i="40"/>
  <c r="AC35" i="40" s="1"/>
  <c r="J37" i="40"/>
  <c r="AC37" i="40"/>
  <c r="H13" i="40"/>
  <c r="U13" i="40" s="1"/>
  <c r="J13" i="40"/>
  <c r="W13" i="40"/>
  <c r="F13" i="40"/>
  <c r="AA13" i="40" s="1"/>
  <c r="F27" i="37"/>
  <c r="AA27" i="37" s="1"/>
  <c r="J13" i="39"/>
  <c r="J14" i="40"/>
  <c r="W14" i="40" s="1"/>
  <c r="F14" i="40"/>
  <c r="J27" i="37"/>
  <c r="AC27" i="37" s="1"/>
  <c r="U46" i="33"/>
  <c r="J36" i="37"/>
  <c r="J10" i="36"/>
  <c r="AC10" i="36" s="1"/>
  <c r="S11" i="36"/>
  <c r="S45" i="33"/>
  <c r="AB45" i="33"/>
  <c r="F17" i="21"/>
  <c r="AA17" i="21" s="1"/>
  <c r="H17" i="21"/>
  <c r="AB17" i="21" s="1"/>
  <c r="F15" i="21"/>
  <c r="S15" i="21" s="1"/>
  <c r="J41" i="39"/>
  <c r="W41" i="39" s="1"/>
  <c r="G544" i="3"/>
  <c r="G540" i="3"/>
  <c r="G532" i="3"/>
  <c r="G531" i="3"/>
  <c r="G523" i="3"/>
  <c r="G518" i="3"/>
  <c r="G508" i="3"/>
  <c r="G504" i="3"/>
  <c r="G576" i="3"/>
  <c r="G568" i="3"/>
  <c r="G564" i="3"/>
  <c r="G550" i="3"/>
  <c r="BL568" i="3"/>
  <c r="BL554" i="3"/>
  <c r="BL530" i="3"/>
  <c r="BL516" i="3"/>
  <c r="BL512" i="3"/>
  <c r="BL498" i="3"/>
  <c r="BL494" i="3"/>
  <c r="AZ494" i="3" s="1"/>
  <c r="BL552" i="3"/>
  <c r="BL536" i="3"/>
  <c r="G533" i="3"/>
  <c r="G525" i="3"/>
  <c r="BL514" i="3"/>
  <c r="BL510" i="3"/>
  <c r="BL496" i="3"/>
  <c r="G493" i="3"/>
  <c r="BA580" i="3"/>
  <c r="AZ580" i="3" s="1"/>
  <c r="BA564" i="3"/>
  <c r="BA556" i="3"/>
  <c r="BA544" i="3"/>
  <c r="BA540" i="3"/>
  <c r="BA532" i="3"/>
  <c r="BA524" i="3"/>
  <c r="BA518" i="3"/>
  <c r="BA516" i="3"/>
  <c r="BA510" i="3"/>
  <c r="AZ510" i="3" s="1"/>
  <c r="BA506" i="3"/>
  <c r="BA504" i="3"/>
  <c r="BA502" i="3"/>
  <c r="BA500" i="3"/>
  <c r="BA498" i="3"/>
  <c r="AZ498" i="3" s="1"/>
  <c r="BA496" i="3"/>
  <c r="BA494" i="3"/>
  <c r="BA583" i="3"/>
  <c r="BA573" i="3"/>
  <c r="BA567" i="3"/>
  <c r="BA565" i="3"/>
  <c r="BA563" i="3"/>
  <c r="BA553" i="3"/>
  <c r="BA547" i="3"/>
  <c r="BA539" i="3"/>
  <c r="BA537" i="3"/>
  <c r="BA535" i="3"/>
  <c r="BA529" i="3"/>
  <c r="BA527" i="3"/>
  <c r="AZ527" i="3" s="1"/>
  <c r="BA523" i="3"/>
  <c r="BA519" i="3"/>
  <c r="BA517" i="3"/>
  <c r="BA513" i="3"/>
  <c r="BA511" i="3"/>
  <c r="BA507" i="3"/>
  <c r="BA503" i="3"/>
  <c r="BA501" i="3"/>
  <c r="BA499" i="3"/>
  <c r="BA495" i="3"/>
  <c r="BA493" i="3"/>
  <c r="G579" i="3"/>
  <c r="G577" i="3"/>
  <c r="G571" i="3"/>
  <c r="G569" i="3"/>
  <c r="G567" i="3"/>
  <c r="G565" i="3"/>
  <c r="G563" i="3"/>
  <c r="BA557" i="3"/>
  <c r="AC557" i="3"/>
  <c r="BQ557" i="3"/>
  <c r="BQ583" i="3"/>
  <c r="BQ581" i="3"/>
  <c r="BL581" i="3"/>
  <c r="BQ579" i="3"/>
  <c r="BQ577" i="3"/>
  <c r="BQ575" i="3"/>
  <c r="BL575" i="3"/>
  <c r="BQ573" i="3"/>
  <c r="BQ571" i="3"/>
  <c r="BQ569" i="3"/>
  <c r="BL569" i="3" s="1"/>
  <c r="BQ567" i="3"/>
  <c r="BL567" i="3"/>
  <c r="BQ565" i="3"/>
  <c r="BL565" i="3" s="1"/>
  <c r="AZ565" i="3"/>
  <c r="BQ563" i="3"/>
  <c r="BQ561" i="3"/>
  <c r="BL561" i="3"/>
  <c r="BQ559" i="3"/>
  <c r="G559" i="3"/>
  <c r="G555" i="3"/>
  <c r="G547" i="3"/>
  <c r="G545" i="3"/>
  <c r="G541" i="3"/>
  <c r="G539" i="3"/>
  <c r="G537" i="3"/>
  <c r="BQ555" i="3"/>
  <c r="BL555" i="3"/>
  <c r="BQ553" i="3"/>
  <c r="BQ551" i="3"/>
  <c r="BL551" i="3"/>
  <c r="BQ549" i="3"/>
  <c r="BQ547" i="3"/>
  <c r="BQ545" i="3"/>
  <c r="BL545" i="3"/>
  <c r="BQ543" i="3"/>
  <c r="BQ541" i="3"/>
  <c r="BL541" i="3"/>
  <c r="BQ539" i="3"/>
  <c r="BL539" i="3" s="1"/>
  <c r="BQ537" i="3"/>
  <c r="BQ535" i="3"/>
  <c r="BL535" i="3" s="1"/>
  <c r="AZ535" i="3" s="1"/>
  <c r="BQ533" i="3"/>
  <c r="BL533" i="3" s="1"/>
  <c r="BQ531" i="3"/>
  <c r="BQ529" i="3"/>
  <c r="BL529" i="3"/>
  <c r="BQ527" i="3"/>
  <c r="BL527" i="3" s="1"/>
  <c r="BQ525" i="3"/>
  <c r="BL525" i="3"/>
  <c r="BQ523" i="3"/>
  <c r="BL523" i="3" s="1"/>
  <c r="AZ523" i="3" s="1"/>
  <c r="AC521" i="3"/>
  <c r="G521" i="3" s="1"/>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c r="BQ503" i="3"/>
  <c r="BL503" i="3" s="1"/>
  <c r="BQ501" i="3"/>
  <c r="BL501" i="3" s="1"/>
  <c r="BQ499" i="3"/>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S36" i="37" s="1"/>
  <c r="AA36" i="37"/>
  <c r="F37" i="37"/>
  <c r="AA37" i="37" s="1"/>
  <c r="F31" i="40"/>
  <c r="AA31" i="40"/>
  <c r="H31" i="40"/>
  <c r="F32" i="40"/>
  <c r="S32" i="40" s="1"/>
  <c r="H32" i="40"/>
  <c r="AB32" i="40" s="1"/>
  <c r="J36" i="40"/>
  <c r="W36" i="40" s="1"/>
  <c r="H19" i="37"/>
  <c r="AB19" i="37" s="1"/>
  <c r="H42" i="33"/>
  <c r="AB42" i="33" s="1"/>
  <c r="J43" i="33"/>
  <c r="AC43" i="33" s="1"/>
  <c r="S28" i="31"/>
  <c r="S27" i="31"/>
  <c r="S26" i="31"/>
  <c r="U14" i="40"/>
  <c r="W23" i="35"/>
  <c r="U26" i="37"/>
  <c r="W47" i="34"/>
  <c r="AC36" i="34"/>
  <c r="AA13" i="33"/>
  <c r="U11" i="33"/>
  <c r="U19" i="21"/>
  <c r="W44" i="21"/>
  <c r="F43" i="33"/>
  <c r="AA43" i="33" s="1"/>
  <c r="W15" i="34"/>
  <c r="AC15" i="34"/>
  <c r="W40" i="37"/>
  <c r="G107" i="37"/>
  <c r="H107" i="37" s="1"/>
  <c r="I107" i="37" s="1"/>
  <c r="J107" i="37" s="1"/>
  <c r="K107" i="37" s="1"/>
  <c r="L107" i="37" s="1"/>
  <c r="M107" i="37" s="1"/>
  <c r="H37" i="21"/>
  <c r="U37" i="21" s="1"/>
  <c r="S42" i="21"/>
  <c r="H19" i="34"/>
  <c r="AB19" i="34" s="1"/>
  <c r="H9" i="37"/>
  <c r="U9"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U45" i="39"/>
  <c r="AB45" i="39"/>
  <c r="H37" i="39"/>
  <c r="AB37" i="39" s="1"/>
  <c r="AC37" i="39"/>
  <c r="W37" i="39"/>
  <c r="H25" i="39"/>
  <c r="AB25" i="39" s="1"/>
  <c r="J25" i="39"/>
  <c r="F25" i="39"/>
  <c r="AA25" i="39" s="1"/>
  <c r="F15" i="39"/>
  <c r="H15" i="39"/>
  <c r="U15" i="39" s="1"/>
  <c r="J15" i="39"/>
  <c r="W15" i="39" s="1"/>
  <c r="H41" i="39"/>
  <c r="W27" i="39"/>
  <c r="AB34" i="39"/>
  <c r="U40" i="39"/>
  <c r="S42" i="39"/>
  <c r="AA41" i="39"/>
  <c r="W8" i="39"/>
  <c r="J19" i="40"/>
  <c r="AC19" i="40" s="1"/>
  <c r="J50" i="40"/>
  <c r="H103" i="9"/>
  <c r="D8" i="53" s="1"/>
  <c r="B16" i="53"/>
  <c r="B33" i="72" s="1"/>
  <c r="J11" i="39"/>
  <c r="W11" i="39" s="1"/>
  <c r="F11" i="39"/>
  <c r="S11" i="39" s="1"/>
  <c r="G4" i="4"/>
  <c r="I4" i="4"/>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s="1"/>
  <c r="BL311" i="3"/>
  <c r="G312" i="3"/>
  <c r="BA314" i="3"/>
  <c r="BL315" i="3"/>
  <c r="G316" i="3"/>
  <c r="BA318" i="3"/>
  <c r="BL319" i="3"/>
  <c r="AZ319" i="3" s="1"/>
  <c r="G320" i="3"/>
  <c r="BA322" i="3"/>
  <c r="BL323" i="3"/>
  <c r="G324" i="3"/>
  <c r="BA326" i="3"/>
  <c r="BL327" i="3"/>
  <c r="AZ327" i="3"/>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AZ291" i="3"/>
  <c r="BJ5" i="3"/>
  <c r="AZ325" i="3"/>
  <c r="AZ341" i="3"/>
  <c r="AZ496" i="3"/>
  <c r="G548" i="3"/>
  <c r="G538" i="3"/>
  <c r="G520" i="3"/>
  <c r="G502" i="3"/>
  <c r="BC5" i="3"/>
  <c r="G17" i="3"/>
  <c r="BA17" i="3"/>
  <c r="AZ350" i="3"/>
  <c r="AZ356" i="3"/>
  <c r="AZ368" i="3"/>
  <c r="BA15" i="3"/>
  <c r="AZ15" i="3" s="1"/>
  <c r="BR5" i="3"/>
  <c r="AZ509" i="3"/>
  <c r="G509" i="3"/>
  <c r="AZ493" i="3"/>
  <c r="U36" i="40"/>
  <c r="F83" i="43"/>
  <c r="H85" i="43" s="1"/>
  <c r="F50" i="43"/>
  <c r="H54" i="43" s="1"/>
  <c r="F72" i="43"/>
  <c r="H75" i="43" s="1"/>
  <c r="U17" i="39"/>
  <c r="U43" i="21"/>
  <c r="U35" i="21"/>
  <c r="AC35" i="21"/>
  <c r="AC11" i="39"/>
  <c r="AZ563" i="3"/>
  <c r="AZ501" i="3"/>
  <c r="W37" i="37"/>
  <c r="W44" i="34"/>
  <c r="AC44" i="34"/>
  <c r="S15" i="37"/>
  <c r="U12" i="40"/>
  <c r="AA12" i="40"/>
  <c r="J37" i="33"/>
  <c r="AC17" i="34"/>
  <c r="F106" i="33"/>
  <c r="G106" i="33" s="1"/>
  <c r="H106" i="33" s="1"/>
  <c r="I106" i="33" s="1"/>
  <c r="J106" i="33" s="1"/>
  <c r="K106" i="33" s="1"/>
  <c r="L106" i="33" s="1"/>
  <c r="M106" i="33" s="1"/>
  <c r="J34" i="33"/>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F20" i="35"/>
  <c r="AA20" i="35"/>
  <c r="AB23" i="35"/>
  <c r="AB29" i="36"/>
  <c r="U29" i="36"/>
  <c r="H32" i="37"/>
  <c r="AB32" i="37" s="1"/>
  <c r="F96" i="37"/>
  <c r="G96" i="37" s="1"/>
  <c r="J27" i="40"/>
  <c r="AC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0" i="3"/>
  <c r="AZ72" i="3"/>
  <c r="AZ82" i="3"/>
  <c r="F23" i="39"/>
  <c r="AA23" i="39"/>
  <c r="H27" i="36"/>
  <c r="U27" i="36" s="1"/>
  <c r="F27" i="36"/>
  <c r="AA27" i="36" s="1"/>
  <c r="H33" i="34"/>
  <c r="U33" i="34"/>
  <c r="F32" i="37"/>
  <c r="AA32" i="37" s="1"/>
  <c r="H96" i="37"/>
  <c r="I96" i="37" s="1"/>
  <c r="J96" i="37" s="1"/>
  <c r="K96" i="37" s="1"/>
  <c r="L96" i="37" s="1"/>
  <c r="M96" i="37" s="1"/>
  <c r="F20" i="36"/>
  <c r="J33" i="34"/>
  <c r="AC33" i="34" s="1"/>
  <c r="H23" i="39"/>
  <c r="U23" i="39" s="1"/>
  <c r="D48" i="9"/>
  <c r="M52" i="9" s="1"/>
  <c r="K9" i="1"/>
  <c r="M9" i="1" s="1"/>
  <c r="D93" i="9"/>
  <c r="AC26" i="33"/>
  <c r="W26" i="33"/>
  <c r="W27" i="34"/>
  <c r="AC27" i="34"/>
  <c r="AC39" i="40"/>
  <c r="W39" i="40"/>
  <c r="W12" i="33"/>
  <c r="AC12" i="33"/>
  <c r="AA32" i="36"/>
  <c r="S32" i="36"/>
  <c r="BL14" i="3"/>
  <c r="U30" i="33"/>
  <c r="AC13" i="34"/>
  <c r="AA47" i="34"/>
  <c r="S19" i="39"/>
  <c r="F12" i="33"/>
  <c r="H12" i="39"/>
  <c r="AB12" i="39"/>
  <c r="F39" i="40"/>
  <c r="S39" i="40" s="1"/>
  <c r="BA14" i="3"/>
  <c r="AZ14" i="3" s="1"/>
  <c r="AZ254" i="3"/>
  <c r="AZ297" i="3"/>
  <c r="AZ149" i="3"/>
  <c r="AZ181"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30" i="40"/>
  <c r="AA19" i="40"/>
  <c r="S28" i="40"/>
  <c r="U21"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2" i="39"/>
  <c r="S23" i="36"/>
  <c r="U13" i="36"/>
  <c r="S33" i="36"/>
  <c r="AA26" i="36"/>
  <c r="AA34" i="36"/>
  <c r="AC26" i="36"/>
  <c r="AA22" i="36"/>
  <c r="W14" i="36"/>
  <c r="U22" i="36"/>
  <c r="S16" i="36"/>
  <c r="S24" i="36"/>
  <c r="U24" i="36"/>
  <c r="U23" i="36"/>
  <c r="AB20" i="36"/>
  <c r="U16" i="36"/>
  <c r="S14" i="36"/>
  <c r="AA25" i="35"/>
  <c r="S23" i="35"/>
  <c r="AB13" i="35"/>
  <c r="U29" i="35"/>
  <c r="U28" i="35"/>
  <c r="U32" i="35"/>
  <c r="AA33" i="35"/>
  <c r="AC30" i="35"/>
  <c r="S32" i="35"/>
  <c r="S28" i="35"/>
  <c r="AB16" i="35"/>
  <c r="U22" i="35"/>
  <c r="S20" i="35"/>
  <c r="AC20" i="35"/>
  <c r="S22" i="35"/>
  <c r="U14" i="35"/>
  <c r="AC9" i="35"/>
  <c r="W9" i="35"/>
  <c r="AC12" i="35"/>
  <c r="W13" i="35"/>
  <c r="F9" i="35"/>
  <c r="S9" i="35" s="1"/>
  <c r="H9" i="35"/>
  <c r="U9" i="35" s="1"/>
  <c r="AB40" i="37"/>
  <c r="W27" i="37"/>
  <c r="AC29" i="37"/>
  <c r="U29" i="37"/>
  <c r="AB31" i="37"/>
  <c r="W30" i="37"/>
  <c r="AC35" i="37"/>
  <c r="S30" i="37"/>
  <c r="S37" i="37"/>
  <c r="AC15" i="37"/>
  <c r="J17" i="37"/>
  <c r="W17" i="37" s="1"/>
  <c r="G73" i="37"/>
  <c r="F17" i="37"/>
  <c r="AA17" i="37" s="1"/>
  <c r="AB17" i="37"/>
  <c r="F75" i="37"/>
  <c r="G75" i="37" s="1"/>
  <c r="F19" i="37"/>
  <c r="S19" i="37" s="1"/>
  <c r="F79" i="37"/>
  <c r="F23" i="37"/>
  <c r="S23" i="37" s="1"/>
  <c r="AC13" i="37"/>
  <c r="H10" i="37"/>
  <c r="AB10" i="37" s="1"/>
  <c r="F11" i="37"/>
  <c r="S11" i="37" s="1"/>
  <c r="W25" i="34"/>
  <c r="AB8" i="34"/>
  <c r="AA33" i="34"/>
  <c r="U43" i="34"/>
  <c r="W41" i="34"/>
  <c r="AC42" i="34"/>
  <c r="AB35" i="34"/>
  <c r="U39" i="34"/>
  <c r="S43" i="34"/>
  <c r="AB41" i="34"/>
  <c r="AA25" i="34"/>
  <c r="U28" i="34"/>
  <c r="S17" i="34"/>
  <c r="U27" i="34"/>
  <c r="S23" i="34"/>
  <c r="U15" i="34"/>
  <c r="S13" i="34"/>
  <c r="H10" i="34"/>
  <c r="AB10" i="34" s="1"/>
  <c r="F11" i="34"/>
  <c r="S11" i="34" s="1"/>
  <c r="F70" i="34"/>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F87" i="33"/>
  <c r="H25" i="33"/>
  <c r="F25" i="33"/>
  <c r="J23" i="33"/>
  <c r="AC23" i="33" s="1"/>
  <c r="F85" i="33"/>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AC15" i="21" s="1"/>
  <c r="F77" i="21"/>
  <c r="G77" i="21"/>
  <c r="F23" i="21"/>
  <c r="S23" i="21" s="1"/>
  <c r="E85" i="21"/>
  <c r="D120" i="9"/>
  <c r="D121" i="9" s="1"/>
  <c r="D7" i="52" s="1"/>
  <c r="C18" i="9"/>
  <c r="D18" i="9" s="1"/>
  <c r="F34" i="67"/>
  <c r="F62" i="67" s="1"/>
  <c r="M20" i="67"/>
  <c r="G13" i="3"/>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3"/>
  <c r="G23" i="43"/>
  <c r="C23" i="43" s="1"/>
  <c r="L20" i="6"/>
  <c r="K11" i="1"/>
  <c r="M11" i="1" s="1"/>
  <c r="O11" i="1" s="1"/>
  <c r="B9" i="1"/>
  <c r="E9" i="1" s="1"/>
  <c r="K7" i="1"/>
  <c r="M7" i="1" s="1"/>
  <c r="O7" i="1" s="1"/>
  <c r="P7" i="1" s="1"/>
  <c r="G1" i="67"/>
  <c r="W23" i="40"/>
  <c r="U32" i="40"/>
  <c r="S37" i="40"/>
  <c r="AB28" i="40"/>
  <c r="W28" i="40"/>
  <c r="W34" i="40"/>
  <c r="W27" i="40"/>
  <c r="S36" i="40"/>
  <c r="W37" i="40"/>
  <c r="AC14" i="40"/>
  <c r="S13" i="40"/>
  <c r="S33" i="40"/>
  <c r="U11" i="40"/>
  <c r="S31" i="40"/>
  <c r="AB13" i="40"/>
  <c r="U15" i="40"/>
  <c r="AB17" i="40"/>
  <c r="U8" i="40"/>
  <c r="S8" i="40"/>
  <c r="AA39" i="39"/>
  <c r="AC41" i="39"/>
  <c r="U42" i="39"/>
  <c r="W25" i="39"/>
  <c r="AC25" i="39"/>
  <c r="S14" i="39"/>
  <c r="AA14"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S35" i="35"/>
  <c r="W35" i="35"/>
  <c r="AA16" i="35"/>
  <c r="AA35" i="37"/>
  <c r="S27" i="37"/>
  <c r="S28" i="37"/>
  <c r="W32" i="37"/>
  <c r="U36" i="37"/>
  <c r="S40" i="37"/>
  <c r="U38" i="37"/>
  <c r="AB37" i="37"/>
  <c r="AC34" i="37"/>
  <c r="AB35" i="37"/>
  <c r="AA31" i="37"/>
  <c r="U19" i="37"/>
  <c r="AA29" i="37"/>
  <c r="U8" i="37"/>
  <c r="AA40" i="34"/>
  <c r="AB40" i="34"/>
  <c r="U19" i="34"/>
  <c r="W19" i="34"/>
  <c r="AB33" i="34"/>
  <c r="AC45" i="34"/>
  <c r="AA30" i="34"/>
  <c r="AB45" i="34"/>
  <c r="AB47" i="34"/>
  <c r="U25" i="34"/>
  <c r="AB36" i="34"/>
  <c r="W33" i="34"/>
  <c r="AC14" i="34"/>
  <c r="AC32" i="34"/>
  <c r="AC29" i="34"/>
  <c r="W29" i="34"/>
  <c r="S32" i="34"/>
  <c r="AA32" i="34"/>
  <c r="S37" i="34"/>
  <c r="U38" i="34"/>
  <c r="AC40" i="34"/>
  <c r="W40" i="34"/>
  <c r="AA19" i="34"/>
  <c r="S19" i="34"/>
  <c r="AA8" i="34"/>
  <c r="S8" i="34"/>
  <c r="AB9" i="34"/>
  <c r="U9" i="34"/>
  <c r="S46" i="34"/>
  <c r="AA46" i="34"/>
  <c r="U14" i="34"/>
  <c r="AB14" i="34"/>
  <c r="AC43" i="34"/>
  <c r="W43" i="34"/>
  <c r="W23" i="34"/>
  <c r="AC23" i="34"/>
  <c r="AC35" i="34"/>
  <c r="W35" i="34"/>
  <c r="AB28" i="33"/>
  <c r="W46" i="33"/>
  <c r="U39" i="33"/>
  <c r="U38" i="33"/>
  <c r="S33" i="33"/>
  <c r="AB34" i="33"/>
  <c r="AA30" i="33"/>
  <c r="AC30" i="33"/>
  <c r="W30" i="33"/>
  <c r="W13" i="33"/>
  <c r="AC13" i="33"/>
  <c r="U15" i="33"/>
  <c r="U37" i="33"/>
  <c r="AC28" i="33"/>
  <c r="S28" i="33"/>
  <c r="W8" i="33"/>
  <c r="S44" i="21"/>
  <c r="AB42" i="21"/>
  <c r="I101" i="21"/>
  <c r="J101" i="21" s="1"/>
  <c r="K101" i="21" s="1"/>
  <c r="L101" i="21" s="1"/>
  <c r="M101" i="21" s="1"/>
  <c r="F33" i="21"/>
  <c r="AA33" i="21" s="1"/>
  <c r="J33" i="21"/>
  <c r="AC33" i="21" s="1"/>
  <c r="H33" i="21"/>
  <c r="AB33" i="21" s="1"/>
  <c r="F37" i="21"/>
  <c r="AA37" i="21" s="1"/>
  <c r="AA26" i="21"/>
  <c r="AB46" i="21"/>
  <c r="U40" i="21"/>
  <c r="AB31" i="21"/>
  <c r="U31" i="21"/>
  <c r="S35" i="21"/>
  <c r="J37" i="21"/>
  <c r="W37" i="21" s="1"/>
  <c r="H15" i="21"/>
  <c r="U15" i="21"/>
  <c r="J17" i="21"/>
  <c r="AC17" i="21" s="1"/>
  <c r="AC19" i="21"/>
  <c r="W39" i="21"/>
  <c r="AC14" i="21"/>
  <c r="S46" i="21"/>
  <c r="H45" i="21"/>
  <c r="U45" i="21" s="1"/>
  <c r="F29" i="21"/>
  <c r="AA29" i="21" s="1"/>
  <c r="AC38" i="21"/>
  <c r="H32" i="21"/>
  <c r="AB32" i="21" s="1"/>
  <c r="H9" i="21"/>
  <c r="AB9" i="21" s="1"/>
  <c r="J9" i="21"/>
  <c r="J32" i="21"/>
  <c r="W32" i="21" s="1"/>
  <c r="F32" i="21"/>
  <c r="AA32" i="21" s="1"/>
  <c r="AA31" i="21"/>
  <c r="U17" i="21"/>
  <c r="S19" i="21"/>
  <c r="S9" i="21"/>
  <c r="AA9" i="21"/>
  <c r="K141" i="21"/>
  <c r="K144" i="21"/>
  <c r="K143" i="21"/>
  <c r="U27" i="21"/>
  <c r="AB25" i="21"/>
  <c r="AB44"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H19" i="33"/>
  <c r="AB19" i="33" s="1"/>
  <c r="G81" i="33"/>
  <c r="H17" i="33"/>
  <c r="U17" i="33" s="1"/>
  <c r="F17" i="33"/>
  <c r="S17" i="33" s="1"/>
  <c r="W17" i="33"/>
  <c r="AC17" i="33"/>
  <c r="S37" i="21"/>
  <c r="AB15" i="21"/>
  <c r="J23" i="21"/>
  <c r="W23" i="21" s="1"/>
  <c r="F85" i="21"/>
  <c r="G85" i="21" s="1"/>
  <c r="H23" i="21"/>
  <c r="D6" i="52"/>
  <c r="AP7" i="1"/>
  <c r="U9" i="21"/>
  <c r="W9" i="21"/>
  <c r="AC9" i="21"/>
  <c r="U32" i="39"/>
  <c r="AC32" i="39"/>
  <c r="AC23" i="37"/>
  <c r="J11" i="37"/>
  <c r="AC11" i="37" s="1"/>
  <c r="H70" i="34"/>
  <c r="I70" i="34" s="1"/>
  <c r="J70" i="34" s="1"/>
  <c r="K70" i="34"/>
  <c r="L70" i="34" s="1"/>
  <c r="M70" i="34" s="1"/>
  <c r="J11" i="34"/>
  <c r="W11" i="34" s="1"/>
  <c r="AC27" i="33"/>
  <c r="W25" i="33"/>
  <c r="U19"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67"/>
  <c r="F43" i="67"/>
  <c r="F3" i="73"/>
  <c r="M28" i="67"/>
  <c r="F4" i="73"/>
  <c r="E11" i="76"/>
  <c r="E10" i="76"/>
  <c r="M26" i="67"/>
  <c r="E12" i="76"/>
  <c r="F16" i="67"/>
  <c r="M22" i="67"/>
  <c r="F42" i="67"/>
  <c r="F40" i="67"/>
  <c r="F20" i="31"/>
  <c r="B12" i="76"/>
  <c r="M24" i="67"/>
  <c r="F36" i="67"/>
  <c r="E8" i="76"/>
  <c r="E2" i="68"/>
  <c r="F6" i="67"/>
  <c r="F9" i="67"/>
  <c r="F26" i="67"/>
  <c r="M8" i="67"/>
  <c r="F7" i="67"/>
  <c r="B8" i="76"/>
  <c r="F7" i="73"/>
  <c r="F38" i="67"/>
  <c r="F5" i="73"/>
  <c r="E2" i="69"/>
  <c r="L47" i="67"/>
  <c r="C76" i="67"/>
  <c r="D6" i="73"/>
  <c r="F13" i="67"/>
  <c r="B11" i="76"/>
  <c r="E13" i="76"/>
  <c r="B9" i="76"/>
  <c r="E7" i="76"/>
  <c r="AO13" i="1"/>
  <c r="E9" i="76"/>
  <c r="F8" i="67"/>
  <c r="B13" i="76"/>
  <c r="F6" i="73"/>
  <c r="L48" i="67"/>
  <c r="B10" i="76"/>
  <c r="B7" i="76"/>
  <c r="F37" i="67"/>
  <c r="A15" i="62" l="1"/>
  <c r="B61" i="72" s="1"/>
  <c r="D55" i="43"/>
  <c r="F34" i="15"/>
  <c r="F62" i="15" s="1"/>
  <c r="M18" i="67"/>
  <c r="F28" i="67"/>
  <c r="D68" i="9"/>
  <c r="F28" i="15"/>
  <c r="F30" i="69"/>
  <c r="F48" i="69" s="1"/>
  <c r="F32" i="67"/>
  <c r="F60" i="67" s="1"/>
  <c r="F30" i="11"/>
  <c r="C48" i="11" s="1"/>
  <c r="M18" i="15"/>
  <c r="F31" i="12"/>
  <c r="C31" i="12" s="1"/>
  <c r="C21" i="68"/>
  <c r="G1" i="69"/>
  <c r="G1" i="15"/>
  <c r="B6" i="1"/>
  <c r="E6" i="1" s="1"/>
  <c r="K6" i="1"/>
  <c r="AP6" i="1" s="1"/>
  <c r="C36" i="69" s="1"/>
  <c r="A2" i="9"/>
  <c r="A118" i="9"/>
  <c r="A4" i="52"/>
  <c r="B41" i="72" s="1"/>
  <c r="M47" i="9"/>
  <c r="C7" i="35"/>
  <c r="C48" i="35" s="1"/>
  <c r="D48" i="35" s="1"/>
  <c r="C7" i="36"/>
  <c r="C46" i="36" s="1"/>
  <c r="D46" i="36" s="1"/>
  <c r="E46" i="36" s="1"/>
  <c r="F46" i="36" s="1"/>
  <c r="G46" i="36" s="1"/>
  <c r="H46" i="36" s="1"/>
  <c r="I46" i="36" s="1"/>
  <c r="C7" i="34"/>
  <c r="C59" i="34" s="1"/>
  <c r="D59" i="34" s="1"/>
  <c r="E59" i="34" s="1"/>
  <c r="F59" i="34" s="1"/>
  <c r="G59" i="34" s="1"/>
  <c r="H59" i="34" s="1"/>
  <c r="I59" i="34" s="1"/>
  <c r="J59" i="34" s="1"/>
  <c r="K59" i="34" s="1"/>
  <c r="L59" i="34" s="1"/>
  <c r="M59" i="34" s="1"/>
  <c r="N59" i="34" s="1"/>
  <c r="O59" i="34" s="1"/>
  <c r="C7" i="40"/>
  <c r="C63" i="40" s="1"/>
  <c r="C7" i="39"/>
  <c r="C67" i="39" s="1"/>
  <c r="C7" i="21"/>
  <c r="AZ314" i="3"/>
  <c r="G557" i="3"/>
  <c r="AC5" i="3"/>
  <c r="W13" i="39"/>
  <c r="AC13" i="39"/>
  <c r="S14" i="34"/>
  <c r="AA14" i="34"/>
  <c r="BA581" i="3"/>
  <c r="BL572" i="3"/>
  <c r="BM5" i="3"/>
  <c r="BA572" i="3"/>
  <c r="AZ572" i="3" s="1"/>
  <c r="BD5" i="3"/>
  <c r="BA571" i="3"/>
  <c r="AZ571" i="3" s="1"/>
  <c r="BL570" i="3"/>
  <c r="BP5" i="3"/>
  <c r="G29" i="6" s="1"/>
  <c r="AC23" i="21"/>
  <c r="BA579" i="3"/>
  <c r="G572" i="3"/>
  <c r="H5" i="3"/>
  <c r="AZ570" i="3"/>
  <c r="AC17" i="37"/>
  <c r="W17" i="21"/>
  <c r="W37" i="33"/>
  <c r="AC37" i="33"/>
  <c r="AZ187" i="3"/>
  <c r="U31" i="40"/>
  <c r="AB31" i="40"/>
  <c r="S25" i="21"/>
  <c r="AA25" i="21"/>
  <c r="BL574" i="3"/>
  <c r="U32" i="34"/>
  <c r="AB32" i="34"/>
  <c r="AA45" i="21"/>
  <c r="S45" i="21"/>
  <c r="U14" i="36"/>
  <c r="AB14" i="36"/>
  <c r="AB36" i="39"/>
  <c r="U36" i="39"/>
  <c r="AC9" i="33"/>
  <c r="W9" i="33"/>
  <c r="AB26" i="36"/>
  <c r="U26" i="36"/>
  <c r="S9" i="40"/>
  <c r="AA9" i="40"/>
  <c r="S34" i="37"/>
  <c r="AA34" i="37"/>
  <c r="AA31" i="35"/>
  <c r="S31" i="35"/>
  <c r="J35" i="39"/>
  <c r="AC35" i="39" s="1"/>
  <c r="H35" i="39"/>
  <c r="F35" i="39"/>
  <c r="BL584" i="3"/>
  <c r="BL582" i="3"/>
  <c r="BA582" i="3"/>
  <c r="AZ582" i="3" s="1"/>
  <c r="AZ546" i="3"/>
  <c r="AZ536" i="3"/>
  <c r="U38" i="21"/>
  <c r="AB38" i="21"/>
  <c r="BA577" i="3"/>
  <c r="BL576" i="3"/>
  <c r="BO5" i="3"/>
  <c r="BA576" i="3"/>
  <c r="BA575" i="3"/>
  <c r="AZ575" i="3" s="1"/>
  <c r="BE5" i="3"/>
  <c r="BG5" i="3"/>
  <c r="AA13" i="37"/>
  <c r="AB36" i="33"/>
  <c r="U32" i="21"/>
  <c r="S32" i="21"/>
  <c r="AB45" i="21"/>
  <c r="AA23" i="21"/>
  <c r="AA19" i="33"/>
  <c r="F54" i="9"/>
  <c r="F32" i="15"/>
  <c r="F60" i="15" s="1"/>
  <c r="F52" i="9"/>
  <c r="F30" i="68"/>
  <c r="F48" i="68" s="1"/>
  <c r="W19" i="40"/>
  <c r="AC39" i="34"/>
  <c r="U32" i="37"/>
  <c r="S32" i="37"/>
  <c r="AA25" i="36"/>
  <c r="W34" i="33"/>
  <c r="AC34" i="33"/>
  <c r="AZ326" i="3"/>
  <c r="AZ311" i="3"/>
  <c r="AZ305" i="3"/>
  <c r="AZ199" i="3"/>
  <c r="AA11" i="39"/>
  <c r="AZ561" i="3"/>
  <c r="AZ513" i="3"/>
  <c r="S14" i="33"/>
  <c r="AA14" i="33"/>
  <c r="AA36" i="34"/>
  <c r="S36" i="34"/>
  <c r="AC42" i="33"/>
  <c r="W42" i="33"/>
  <c r="F9" i="37"/>
  <c r="S9" i="37" s="1"/>
  <c r="J9" i="37"/>
  <c r="W9" i="37" s="1"/>
  <c r="AB15" i="37"/>
  <c r="U15" i="37"/>
  <c r="H25" i="37"/>
  <c r="F25" i="37"/>
  <c r="J25" i="37"/>
  <c r="U8" i="39"/>
  <c r="AB8" i="39"/>
  <c r="AC9" i="39"/>
  <c r="W9" i="39"/>
  <c r="F13" i="39"/>
  <c r="H13" i="39"/>
  <c r="U35" i="40"/>
  <c r="AB41" i="39"/>
  <c r="U41" i="39"/>
  <c r="W45" i="33"/>
  <c r="AC45" i="33"/>
  <c r="BT5" i="3"/>
  <c r="W15" i="21"/>
  <c r="U23" i="37"/>
  <c r="AB34" i="36"/>
  <c r="AA20" i="36"/>
  <c r="S20" i="36"/>
  <c r="U20" i="35"/>
  <c r="AB20" i="35"/>
  <c r="AZ347" i="3"/>
  <c r="AA15" i="39"/>
  <c r="S15" i="39"/>
  <c r="AC36" i="37"/>
  <c r="W36" i="37"/>
  <c r="S45" i="34"/>
  <c r="AA45" i="34"/>
  <c r="S29" i="34"/>
  <c r="AA29" i="34"/>
  <c r="S15" i="40"/>
  <c r="AA15" i="40"/>
  <c r="AA11" i="33"/>
  <c r="S11" i="33"/>
  <c r="AA14" i="35"/>
  <c r="S14" i="35"/>
  <c r="AB39" i="37"/>
  <c r="U39" i="37"/>
  <c r="BA587" i="3"/>
  <c r="BA585" i="3"/>
  <c r="H13" i="21"/>
  <c r="J13" i="21"/>
  <c r="F13" i="21"/>
  <c r="J29" i="21"/>
  <c r="H29" i="21"/>
  <c r="J24" i="35"/>
  <c r="F24" i="35"/>
  <c r="H24" i="35"/>
  <c r="AB36" i="35"/>
  <c r="U36" i="35"/>
  <c r="U27" i="35"/>
  <c r="AB27" i="35"/>
  <c r="U39" i="40"/>
  <c r="AB39" i="40"/>
  <c r="W12" i="40"/>
  <c r="AC12" i="40"/>
  <c r="H27" i="40"/>
  <c r="F27" i="40"/>
  <c r="AZ505" i="3"/>
  <c r="AZ525" i="3"/>
  <c r="AZ503" i="3"/>
  <c r="AZ529" i="3"/>
  <c r="AZ524" i="3"/>
  <c r="AZ556" i="3"/>
  <c r="AA14" i="40"/>
  <c r="S14" i="40"/>
  <c r="J30" i="21"/>
  <c r="H30" i="21"/>
  <c r="F31" i="33"/>
  <c r="J31" i="33"/>
  <c r="J12" i="34"/>
  <c r="H12" i="34"/>
  <c r="J46" i="34"/>
  <c r="H46" i="34"/>
  <c r="F11" i="35"/>
  <c r="H11" i="35"/>
  <c r="AB11" i="35" s="1"/>
  <c r="F36" i="35"/>
  <c r="J36" i="35"/>
  <c r="AC36" i="35" s="1"/>
  <c r="AA44" i="39"/>
  <c r="S44" i="39"/>
  <c r="AB9" i="40"/>
  <c r="U9" i="40"/>
  <c r="BL558" i="3"/>
  <c r="BA554" i="3"/>
  <c r="AZ554" i="3" s="1"/>
  <c r="BL540" i="3"/>
  <c r="AZ540" i="3" s="1"/>
  <c r="BL532" i="3"/>
  <c r="AZ532" i="3" s="1"/>
  <c r="BA528" i="3"/>
  <c r="AZ528" i="3" s="1"/>
  <c r="BL524" i="3"/>
  <c r="BA521" i="3"/>
  <c r="BL518" i="3"/>
  <c r="AZ518" i="3" s="1"/>
  <c r="BA515" i="3"/>
  <c r="AZ515" i="3" s="1"/>
  <c r="BA514" i="3"/>
  <c r="AZ514" i="3" s="1"/>
  <c r="BA508" i="3"/>
  <c r="AZ508" i="3" s="1"/>
  <c r="BL504" i="3"/>
  <c r="W28" i="37"/>
  <c r="AZ391" i="3"/>
  <c r="AZ318" i="3"/>
  <c r="AZ364" i="3"/>
  <c r="AZ329" i="3"/>
  <c r="AZ304" i="3"/>
  <c r="AZ306" i="3"/>
  <c r="W35" i="40"/>
  <c r="H12" i="37"/>
  <c r="AB12" i="37" s="1"/>
  <c r="BL547" i="3"/>
  <c r="AZ547" i="3" s="1"/>
  <c r="BL577" i="3"/>
  <c r="AZ577" i="3" s="1"/>
  <c r="H30" i="34"/>
  <c r="H13" i="33"/>
  <c r="U13" i="33" s="1"/>
  <c r="F30" i="21"/>
  <c r="H14" i="21"/>
  <c r="W28" i="34"/>
  <c r="AC28" i="34"/>
  <c r="AA28" i="34"/>
  <c r="S28" i="34"/>
  <c r="S38" i="39"/>
  <c r="J27" i="21"/>
  <c r="F27" i="21"/>
  <c r="B72" i="43"/>
  <c r="C15" i="39"/>
  <c r="F9" i="34"/>
  <c r="AA9" i="34" s="1"/>
  <c r="J9" i="34"/>
  <c r="J14" i="33"/>
  <c r="H14" i="33"/>
  <c r="F44" i="33"/>
  <c r="H44" i="33"/>
  <c r="H31" i="34"/>
  <c r="U31" i="34" s="1"/>
  <c r="F31" i="34"/>
  <c r="J38" i="37"/>
  <c r="F38" i="37"/>
  <c r="J43" i="39"/>
  <c r="H43" i="39"/>
  <c r="U42" i="34"/>
  <c r="AB42" i="34"/>
  <c r="BL564" i="3"/>
  <c r="AZ564" i="3" s="1"/>
  <c r="BL562" i="3"/>
  <c r="BA561" i="3"/>
  <c r="BL560" i="3"/>
  <c r="BA560" i="3"/>
  <c r="AZ560" i="3" s="1"/>
  <c r="G560" i="3"/>
  <c r="BA558" i="3"/>
  <c r="G553" i="3"/>
  <c r="G551" i="3"/>
  <c r="BL550" i="3"/>
  <c r="BA549" i="3"/>
  <c r="AZ549" i="3" s="1"/>
  <c r="BA548" i="3"/>
  <c r="BL544" i="3"/>
  <c r="AZ544" i="3" s="1"/>
  <c r="G543" i="3"/>
  <c r="BL542" i="3"/>
  <c r="BA542" i="3"/>
  <c r="AZ542" i="3" s="1"/>
  <c r="G542" i="3"/>
  <c r="BA541" i="3"/>
  <c r="AZ541" i="3" s="1"/>
  <c r="BL538" i="3"/>
  <c r="BA538" i="3"/>
  <c r="AZ538" i="3" s="1"/>
  <c r="BL537" i="3"/>
  <c r="AZ537" i="3" s="1"/>
  <c r="G535" i="3"/>
  <c r="BA534" i="3"/>
  <c r="AZ534" i="3" s="1"/>
  <c r="BA533" i="3"/>
  <c r="AZ533" i="3" s="1"/>
  <c r="BA530" i="3"/>
  <c r="AZ530" i="3" s="1"/>
  <c r="G527" i="3"/>
  <c r="BL526" i="3"/>
  <c r="AZ526" i="3" s="1"/>
  <c r="BA525" i="3"/>
  <c r="BL522" i="3"/>
  <c r="BA522" i="3"/>
  <c r="BL521" i="3"/>
  <c r="BA520" i="3"/>
  <c r="AZ520" i="3" s="1"/>
  <c r="BA512" i="3"/>
  <c r="AZ512" i="3" s="1"/>
  <c r="BL506" i="3"/>
  <c r="AZ506" i="3" s="1"/>
  <c r="BA505" i="3"/>
  <c r="BL502" i="3"/>
  <c r="AZ502" i="3" s="1"/>
  <c r="BL500" i="3"/>
  <c r="AZ500" i="3" s="1"/>
  <c r="BL499" i="3"/>
  <c r="AZ499" i="3" s="1"/>
  <c r="BA497" i="3"/>
  <c r="AZ497" i="3" s="1"/>
  <c r="BL495" i="3"/>
  <c r="AZ413" i="3"/>
  <c r="AZ451" i="3"/>
  <c r="U14" i="39"/>
  <c r="AB19" i="40"/>
  <c r="U13" i="37"/>
  <c r="AZ357" i="3"/>
  <c r="AZ322" i="3"/>
  <c r="AZ164" i="3"/>
  <c r="AZ143" i="3"/>
  <c r="W16" i="35"/>
  <c r="AZ539" i="3"/>
  <c r="BL543" i="3"/>
  <c r="AZ543" i="3" s="1"/>
  <c r="BL553" i="3"/>
  <c r="AZ553" i="3" s="1"/>
  <c r="BL557" i="3"/>
  <c r="AZ557" i="3" s="1"/>
  <c r="AZ504" i="3"/>
  <c r="AZ516" i="3"/>
  <c r="H25" i="35"/>
  <c r="J11" i="35"/>
  <c r="H31" i="33"/>
  <c r="AB31" i="33" s="1"/>
  <c r="F14" i="21"/>
  <c r="W8" i="34"/>
  <c r="BA586" i="3"/>
  <c r="BL585" i="3"/>
  <c r="J28" i="21"/>
  <c r="H28" i="21"/>
  <c r="F26" i="33"/>
  <c r="H26" i="33"/>
  <c r="F12" i="34"/>
  <c r="S12" i="34" s="1"/>
  <c r="H33" i="36"/>
  <c r="J33" i="36"/>
  <c r="AC33" i="36" s="1"/>
  <c r="AB31" i="36"/>
  <c r="U31" i="36"/>
  <c r="H14" i="37"/>
  <c r="AB14" i="37" s="1"/>
  <c r="F14" i="37"/>
  <c r="J14" i="37"/>
  <c r="AC14" i="37" s="1"/>
  <c r="J39" i="37"/>
  <c r="F39" i="37"/>
  <c r="S39" i="37" s="1"/>
  <c r="J12" i="39"/>
  <c r="F12" i="39"/>
  <c r="H44" i="39"/>
  <c r="J44" i="39"/>
  <c r="AB34" i="40"/>
  <c r="U34" i="40"/>
  <c r="AC31" i="40"/>
  <c r="W31" i="40"/>
  <c r="J33" i="40"/>
  <c r="H33" i="40"/>
  <c r="BA584" i="3"/>
  <c r="BL579" i="3"/>
  <c r="BL578" i="3"/>
  <c r="BA574" i="3"/>
  <c r="AZ574" i="3" s="1"/>
  <c r="G570" i="3"/>
  <c r="BA569" i="3"/>
  <c r="AZ569" i="3" s="1"/>
  <c r="BA568" i="3"/>
  <c r="AZ568" i="3" s="1"/>
  <c r="BL566" i="3"/>
  <c r="BA566" i="3"/>
  <c r="BA398" i="3"/>
  <c r="BA399" i="3"/>
  <c r="AZ399" i="3" s="1"/>
  <c r="BL401" i="3"/>
  <c r="AZ401" i="3" s="1"/>
  <c r="BL404" i="3"/>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A441" i="3"/>
  <c r="AZ441" i="3" s="1"/>
  <c r="G448" i="3"/>
  <c r="BL448" i="3"/>
  <c r="G450" i="3"/>
  <c r="BL452" i="3"/>
  <c r="G454" i="3"/>
  <c r="BL459" i="3"/>
  <c r="G466" i="3"/>
  <c r="BL466" i="3"/>
  <c r="G468" i="3"/>
  <c r="BL471" i="3"/>
  <c r="BA487" i="3"/>
  <c r="AZ487" i="3" s="1"/>
  <c r="BA212" i="3"/>
  <c r="C55" i="71"/>
  <c r="D54" i="71"/>
  <c r="N65" i="71"/>
  <c r="N66" i="71"/>
  <c r="F79" i="71"/>
  <c r="F78" i="71" s="1"/>
  <c r="V80" i="71"/>
  <c r="Y26" i="71"/>
  <c r="Z26" i="71" s="1"/>
  <c r="Y25" i="71"/>
  <c r="Z25" i="71" s="1"/>
  <c r="W33" i="33"/>
  <c r="G585" i="3"/>
  <c r="BL587" i="3"/>
  <c r="BL586" i="3"/>
  <c r="G574" i="3"/>
  <c r="BL16" i="3"/>
  <c r="AZ16" i="3" s="1"/>
  <c r="AZ404" i="3"/>
  <c r="AZ405" i="3"/>
  <c r="AZ419" i="3"/>
  <c r="AZ448" i="3"/>
  <c r="AZ466" i="3"/>
  <c r="AB21" i="34"/>
  <c r="U21" i="34"/>
  <c r="BL519" i="3"/>
  <c r="AZ519" i="3" s="1"/>
  <c r="BL531" i="3"/>
  <c r="AZ531" i="3" s="1"/>
  <c r="BL559" i="3"/>
  <c r="AZ559" i="3" s="1"/>
  <c r="BL573" i="3"/>
  <c r="AZ573" i="3" s="1"/>
  <c r="BL583" i="3"/>
  <c r="AZ583" i="3" s="1"/>
  <c r="BA551" i="3"/>
  <c r="AZ551" i="3" s="1"/>
  <c r="BA550" i="3"/>
  <c r="AZ550" i="3" s="1"/>
  <c r="BL548" i="3"/>
  <c r="G399" i="3"/>
  <c r="BL400" i="3"/>
  <c r="AZ400" i="3" s="1"/>
  <c r="BL408" i="3"/>
  <c r="BL411" i="3"/>
  <c r="BL413" i="3"/>
  <c r="G416" i="3"/>
  <c r="BL417" i="3"/>
  <c r="BL418" i="3"/>
  <c r="BL420" i="3"/>
  <c r="G423" i="3"/>
  <c r="BL424" i="3"/>
  <c r="G427" i="3"/>
  <c r="BL428" i="3"/>
  <c r="BL429" i="3"/>
  <c r="BL432" i="3"/>
  <c r="BL435" i="3"/>
  <c r="BL436" i="3"/>
  <c r="BA439" i="3"/>
  <c r="BA440" i="3"/>
  <c r="AZ440" i="3" s="1"/>
  <c r="AZ443" i="3"/>
  <c r="BL445" i="3"/>
  <c r="BL446" i="3"/>
  <c r="BA449" i="3"/>
  <c r="AZ459" i="3"/>
  <c r="AZ460" i="3"/>
  <c r="BA464" i="3"/>
  <c r="AZ464" i="3" s="1"/>
  <c r="BA467" i="3"/>
  <c r="AZ467" i="3" s="1"/>
  <c r="BA468" i="3"/>
  <c r="AZ302" i="3"/>
  <c r="C31" i="71"/>
  <c r="D30" i="71"/>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AZ438" i="3" s="1"/>
  <c r="G441" i="3"/>
  <c r="BL441" i="3"/>
  <c r="BL442" i="3"/>
  <c r="BA445" i="3"/>
  <c r="AZ445" i="3" s="1"/>
  <c r="BA447" i="3"/>
  <c r="AZ447" i="3" s="1"/>
  <c r="BL451" i="3"/>
  <c r="BA454" i="3"/>
  <c r="AZ454" i="3" s="1"/>
  <c r="BL456" i="3"/>
  <c r="AZ456" i="3" s="1"/>
  <c r="BA465" i="3"/>
  <c r="AZ465" i="3" s="1"/>
  <c r="BL469" i="3"/>
  <c r="AZ469" i="3" s="1"/>
  <c r="BL475" i="3"/>
  <c r="BA214" i="3"/>
  <c r="AZ214" i="3" s="1"/>
  <c r="BA220" i="3"/>
  <c r="P65" i="71"/>
  <c r="P66" i="71"/>
  <c r="D75" i="71"/>
  <c r="C74" i="71"/>
  <c r="D74" i="71" s="1"/>
  <c r="D60" i="71"/>
  <c r="T60" i="71"/>
  <c r="C44" i="71"/>
  <c r="D43" i="71"/>
  <c r="G442" i="3"/>
  <c r="G443" i="3"/>
  <c r="BA446" i="3"/>
  <c r="BA450" i="3"/>
  <c r="BA453" i="3"/>
  <c r="AZ453" i="3" s="1"/>
  <c r="BA455" i="3"/>
  <c r="AZ455" i="3" s="1"/>
  <c r="BL457" i="3"/>
  <c r="AZ457" i="3" s="1"/>
  <c r="BL460" i="3"/>
  <c r="BL461" i="3"/>
  <c r="AZ461" i="3" s="1"/>
  <c r="BL463" i="3"/>
  <c r="AZ463" i="3" s="1"/>
  <c r="G465" i="3"/>
  <c r="BA471" i="3"/>
  <c r="G486" i="3"/>
  <c r="G488" i="3"/>
  <c r="BL317" i="3"/>
  <c r="G318" i="3"/>
  <c r="BA349" i="3"/>
  <c r="AZ349" i="3" s="1"/>
  <c r="BA353" i="3"/>
  <c r="AZ353" i="3" s="1"/>
  <c r="BL353" i="3"/>
  <c r="BA358" i="3"/>
  <c r="AZ358" i="3" s="1"/>
  <c r="BL395" i="3"/>
  <c r="G397" i="3"/>
  <c r="BA210" i="3"/>
  <c r="AZ210" i="3" s="1"/>
  <c r="BL210" i="3"/>
  <c r="BA223" i="3"/>
  <c r="BA228" i="3"/>
  <c r="AZ228" i="3" s="1"/>
  <c r="BA229" i="3"/>
  <c r="AZ229" i="3" s="1"/>
  <c r="BL229" i="3"/>
  <c r="BL232" i="3"/>
  <c r="BL234" i="3"/>
  <c r="BA236" i="3"/>
  <c r="BA241" i="3"/>
  <c r="BL241" i="3"/>
  <c r="BA245" i="3"/>
  <c r="AZ245" i="3" s="1"/>
  <c r="BA250" i="3"/>
  <c r="AZ250" i="3" s="1"/>
  <c r="BA255" i="3"/>
  <c r="G258" i="3"/>
  <c r="BL261" i="3"/>
  <c r="BA265" i="3"/>
  <c r="AZ265" i="3" s="1"/>
  <c r="BA267" i="3"/>
  <c r="AZ267" i="3" s="1"/>
  <c r="G270" i="3"/>
  <c r="G271" i="3"/>
  <c r="BA274" i="3"/>
  <c r="AZ274" i="3" s="1"/>
  <c r="BL274" i="3"/>
  <c r="BA279" i="3"/>
  <c r="BA283" i="3"/>
  <c r="AZ283" i="3" s="1"/>
  <c r="BA288" i="3"/>
  <c r="G135" i="3"/>
  <c r="BA145" i="3"/>
  <c r="BA157" i="3"/>
  <c r="BL173" i="3"/>
  <c r="AZ173" i="3" s="1"/>
  <c r="BA201" i="3"/>
  <c r="AZ201" i="3" s="1"/>
  <c r="G48" i="3"/>
  <c r="G63" i="3"/>
  <c r="W21" i="37"/>
  <c r="AC21" i="37"/>
  <c r="Y29" i="71"/>
  <c r="Z29" i="71" s="1"/>
  <c r="B71" i="71"/>
  <c r="B70" i="71" s="1"/>
  <c r="S72" i="71"/>
  <c r="X25" i="71"/>
  <c r="BL476" i="3"/>
  <c r="AZ476" i="3" s="1"/>
  <c r="BL477" i="3"/>
  <c r="BL478" i="3"/>
  <c r="AZ478" i="3" s="1"/>
  <c r="BL480" i="3"/>
  <c r="AZ480" i="3" s="1"/>
  <c r="BA483" i="3"/>
  <c r="BL483" i="3"/>
  <c r="AZ483" i="3" s="1"/>
  <c r="BA486" i="3"/>
  <c r="BL489" i="3"/>
  <c r="BL491" i="3"/>
  <c r="AZ491" i="3" s="1"/>
  <c r="BL492" i="3"/>
  <c r="BA315" i="3"/>
  <c r="AZ315" i="3" s="1"/>
  <c r="BA333" i="3"/>
  <c r="BL346" i="3"/>
  <c r="AZ346" i="3" s="1"/>
  <c r="BL359" i="3"/>
  <c r="AZ359" i="3" s="1"/>
  <c r="BA367" i="3"/>
  <c r="AZ367" i="3" s="1"/>
  <c r="BA370" i="3"/>
  <c r="AZ370" i="3" s="1"/>
  <c r="BA386" i="3"/>
  <c r="AZ386" i="3" s="1"/>
  <c r="BA209" i="3"/>
  <c r="BA217" i="3"/>
  <c r="AZ217" i="3" s="1"/>
  <c r="BA218" i="3"/>
  <c r="AZ218" i="3" s="1"/>
  <c r="BL218" i="3"/>
  <c r="BA221" i="3"/>
  <c r="BL224" i="3"/>
  <c r="BA227" i="3"/>
  <c r="AZ227" i="3" s="1"/>
  <c r="BA230" i="3"/>
  <c r="AZ230" i="3" s="1"/>
  <c r="BL237" i="3"/>
  <c r="BL238" i="3"/>
  <c r="AZ238" i="3" s="1"/>
  <c r="BL242" i="3"/>
  <c r="BA248" i="3"/>
  <c r="AZ248" i="3" s="1"/>
  <c r="BL262" i="3"/>
  <c r="AZ270" i="3"/>
  <c r="BL280" i="3"/>
  <c r="BA286" i="3"/>
  <c r="AZ286" i="3" s="1"/>
  <c r="AC21" i="21"/>
  <c r="W21" i="21"/>
  <c r="BL470" i="3"/>
  <c r="G472" i="3"/>
  <c r="G473" i="3"/>
  <c r="BL473" i="3"/>
  <c r="AZ473" i="3" s="1"/>
  <c r="BL474" i="3"/>
  <c r="G475" i="3"/>
  <c r="BA482" i="3"/>
  <c r="BA484" i="3"/>
  <c r="AZ484" i="3" s="1"/>
  <c r="G491" i="3"/>
  <c r="BA303" i="3"/>
  <c r="AZ303" i="3" s="1"/>
  <c r="BA307" i="3"/>
  <c r="AZ307" i="3" s="1"/>
  <c r="G311" i="3"/>
  <c r="BL314" i="3"/>
  <c r="G315" i="3"/>
  <c r="BA332" i="3"/>
  <c r="AZ332" i="3" s="1"/>
  <c r="BL332" i="3"/>
  <c r="G339" i="3"/>
  <c r="BA366" i="3"/>
  <c r="AZ366" i="3" s="1"/>
  <c r="BL375" i="3"/>
  <c r="AZ375" i="3" s="1"/>
  <c r="BL385" i="3"/>
  <c r="G392" i="3"/>
  <c r="BA396" i="3"/>
  <c r="BL211" i="3"/>
  <c r="BA216" i="3"/>
  <c r="AZ216" i="3" s="1"/>
  <c r="BA219" i="3"/>
  <c r="AZ219" i="3" s="1"/>
  <c r="BL222" i="3"/>
  <c r="BL223" i="3"/>
  <c r="G224" i="3"/>
  <c r="BL225" i="3"/>
  <c r="BL226" i="3"/>
  <c r="G227" i="3"/>
  <c r="BL228" i="3"/>
  <c r="G231" i="3"/>
  <c r="BL231" i="3"/>
  <c r="G233" i="3"/>
  <c r="BL233" i="3"/>
  <c r="AZ233" i="3" s="1"/>
  <c r="G235" i="3"/>
  <c r="BL235" i="3"/>
  <c r="AZ235" i="3" s="1"/>
  <c r="BL236" i="3"/>
  <c r="G237" i="3"/>
  <c r="BA239" i="3"/>
  <c r="BL239" i="3"/>
  <c r="BA243" i="3"/>
  <c r="AZ243" i="3" s="1"/>
  <c r="G246" i="3"/>
  <c r="BL250" i="3"/>
  <c r="G256" i="3"/>
  <c r="BA257" i="3"/>
  <c r="AZ257" i="3" s="1"/>
  <c r="BA259" i="3"/>
  <c r="AZ259" i="3" s="1"/>
  <c r="BA263" i="3"/>
  <c r="G266" i="3"/>
  <c r="BA268" i="3"/>
  <c r="G276" i="3"/>
  <c r="BA277" i="3"/>
  <c r="BL277" i="3"/>
  <c r="BA281" i="3"/>
  <c r="G284" i="3"/>
  <c r="G291" i="3"/>
  <c r="G302" i="3"/>
  <c r="BA133" i="3"/>
  <c r="AZ133" i="3" s="1"/>
  <c r="BA177" i="3"/>
  <c r="S18" i="35"/>
  <c r="AA18" i="35"/>
  <c r="AB26" i="71"/>
  <c r="AB27" i="71"/>
  <c r="C34" i="71"/>
  <c r="Y30" i="71"/>
  <c r="Z30" i="71" s="1"/>
  <c r="Y28" i="71"/>
  <c r="Z28" i="71" s="1"/>
  <c r="C47" i="71"/>
  <c r="D47" i="71" s="1"/>
  <c r="D46" i="71"/>
  <c r="BA296" i="3"/>
  <c r="BA116" i="3"/>
  <c r="AZ116" i="3" s="1"/>
  <c r="BA121" i="3"/>
  <c r="BL121" i="3"/>
  <c r="BA124" i="3"/>
  <c r="AZ124" i="3" s="1"/>
  <c r="BA126" i="3"/>
  <c r="BA129" i="3"/>
  <c r="BL133" i="3"/>
  <c r="BL139" i="3"/>
  <c r="AZ139" i="3" s="1"/>
  <c r="BL141" i="3"/>
  <c r="BL143" i="3"/>
  <c r="BL157" i="3"/>
  <c r="BL159" i="3"/>
  <c r="AZ159" i="3" s="1"/>
  <c r="BL177" i="3"/>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A56" i="3"/>
  <c r="BA57" i="3"/>
  <c r="BL58" i="3"/>
  <c r="AZ58" i="3" s="1"/>
  <c r="G60" i="3"/>
  <c r="BA60" i="3"/>
  <c r="G72" i="3"/>
  <c r="BL73" i="3"/>
  <c r="BA74" i="3"/>
  <c r="AZ74" i="3" s="1"/>
  <c r="BA87" i="3"/>
  <c r="BA89" i="3"/>
  <c r="BA106" i="3"/>
  <c r="BL108" i="3"/>
  <c r="AZ108" i="3" s="1"/>
  <c r="C40" i="71"/>
  <c r="D39" i="71"/>
  <c r="X28" i="71"/>
  <c r="X31" i="71"/>
  <c r="X32" i="71"/>
  <c r="E34" i="71"/>
  <c r="E35" i="71" s="1"/>
  <c r="E36" i="71" s="1"/>
  <c r="U36" i="71" s="1"/>
  <c r="AA30" i="71"/>
  <c r="C67" i="71"/>
  <c r="T68" i="71"/>
  <c r="T76" i="71"/>
  <c r="D76" i="71"/>
  <c r="C23" i="71"/>
  <c r="B22" i="71"/>
  <c r="B21" i="71" s="1"/>
  <c r="B20" i="71" s="1"/>
  <c r="AA3" i="71"/>
  <c r="G349" i="3"/>
  <c r="G374" i="3"/>
  <c r="BA384" i="3"/>
  <c r="AZ384" i="3" s="1"/>
  <c r="BA395" i="3"/>
  <c r="BA208" i="3"/>
  <c r="AZ208" i="3" s="1"/>
  <c r="BA211" i="3"/>
  <c r="AZ211" i="3" s="1"/>
  <c r="BL213" i="3"/>
  <c r="BL215" i="3"/>
  <c r="BA222" i="3"/>
  <c r="AZ222" i="3" s="1"/>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AZ284" i="3" s="1"/>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AZ39" i="3" s="1"/>
  <c r="BL47" i="3"/>
  <c r="AZ47" i="3" s="1"/>
  <c r="G49" i="3"/>
  <c r="G50" i="3"/>
  <c r="G52" i="3"/>
  <c r="BA52" i="3"/>
  <c r="AZ52" i="3" s="1"/>
  <c r="BA53" i="3"/>
  <c r="BA54" i="3"/>
  <c r="BL57" i="3"/>
  <c r="G59" i="3"/>
  <c r="G62" i="3"/>
  <c r="BL62" i="3"/>
  <c r="AZ62" i="3" s="1"/>
  <c r="BL63" i="3"/>
  <c r="G67" i="3"/>
  <c r="BL68" i="3"/>
  <c r="BA69" i="3"/>
  <c r="AZ69" i="3" s="1"/>
  <c r="BA73" i="3"/>
  <c r="AZ73" i="3" s="1"/>
  <c r="G78" i="3"/>
  <c r="G79" i="3"/>
  <c r="G81" i="3"/>
  <c r="G85" i="3"/>
  <c r="BL85" i="3"/>
  <c r="BA86" i="3"/>
  <c r="AZ86" i="3" s="1"/>
  <c r="BL101" i="3"/>
  <c r="BL102" i="3"/>
  <c r="BA104" i="3"/>
  <c r="BA109" i="3"/>
  <c r="F3" i="35"/>
  <c r="AC18" i="36"/>
  <c r="W18" i="36"/>
  <c r="AB25" i="40"/>
  <c r="U25" i="40"/>
  <c r="C86" i="71"/>
  <c r="D86" i="71" s="1"/>
  <c r="D87" i="71"/>
  <c r="O68" i="71"/>
  <c r="C52" i="71"/>
  <c r="D51" i="71"/>
  <c r="X26" i="71"/>
  <c r="AB34" i="71"/>
  <c r="C63" i="71"/>
  <c r="D62" i="71"/>
  <c r="F66" i="71"/>
  <c r="Q67" i="71"/>
  <c r="P68" i="71"/>
  <c r="U68" i="71"/>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BA200" i="3"/>
  <c r="AZ200" i="3" s="1"/>
  <c r="BA202" i="3"/>
  <c r="BL207" i="3"/>
  <c r="BL18" i="3"/>
  <c r="G19" i="3"/>
  <c r="BL19" i="3"/>
  <c r="AZ19" i="3" s="1"/>
  <c r="BA20" i="3"/>
  <c r="BL25" i="3"/>
  <c r="BL27" i="3"/>
  <c r="AZ27" i="3" s="1"/>
  <c r="BA28" i="3"/>
  <c r="BA31" i="3"/>
  <c r="AZ31" i="3" s="1"/>
  <c r="BA32" i="3"/>
  <c r="BA38" i="3"/>
  <c r="BA41" i="3"/>
  <c r="AZ41" i="3" s="1"/>
  <c r="BA42" i="3"/>
  <c r="G46" i="3"/>
  <c r="BL48" i="3"/>
  <c r="AZ48" i="3" s="1"/>
  <c r="BL54" i="3"/>
  <c r="BL55" i="3"/>
  <c r="AZ55" i="3" s="1"/>
  <c r="G57" i="3"/>
  <c r="BA59" i="3"/>
  <c r="AZ59" i="3" s="1"/>
  <c r="G61" i="3"/>
  <c r="BL61" i="3"/>
  <c r="AZ61" i="3" s="1"/>
  <c r="BA64" i="3"/>
  <c r="AZ64" i="3" s="1"/>
  <c r="BA68" i="3"/>
  <c r="BL74" i="3"/>
  <c r="G75" i="3"/>
  <c r="BL75" i="3"/>
  <c r="AZ75" i="3" s="1"/>
  <c r="BA80" i="3"/>
  <c r="BL84" i="3"/>
  <c r="G89" i="3"/>
  <c r="BA92" i="3"/>
  <c r="BL96" i="3"/>
  <c r="BL97" i="3"/>
  <c r="AZ97" i="3" s="1"/>
  <c r="AZ103" i="3"/>
  <c r="BA110" i="3"/>
  <c r="AZ110" i="3" s="1"/>
  <c r="B13" i="1"/>
  <c r="E13" i="1" s="1"/>
  <c r="K13" i="1"/>
  <c r="M13" i="1" s="1"/>
  <c r="O13" i="1" s="1"/>
  <c r="P13" i="1" s="1"/>
  <c r="F40" i="69"/>
  <c r="C40" i="69"/>
  <c r="AC25" i="40"/>
  <c r="U21" i="33"/>
  <c r="AB21" i="33"/>
  <c r="AC18" i="35"/>
  <c r="W18" i="35"/>
  <c r="B100" i="43"/>
  <c r="B57" i="43"/>
  <c r="B68" i="43"/>
  <c r="AB25" i="71"/>
  <c r="AB28" i="71"/>
  <c r="T28" i="71"/>
  <c r="D28" i="71"/>
  <c r="U28" i="71" s="1"/>
  <c r="C27" i="71"/>
  <c r="X33" i="71"/>
  <c r="X34" i="71"/>
  <c r="X36" i="71"/>
  <c r="AB37" i="71"/>
  <c r="AB35" i="71"/>
  <c r="V72" i="71"/>
  <c r="F71" i="71"/>
  <c r="F70" i="71" s="1"/>
  <c r="V24" i="71"/>
  <c r="E23" i="71"/>
  <c r="E22" i="71" s="1"/>
  <c r="E21" i="71" s="1"/>
  <c r="E20" i="71" s="1"/>
  <c r="V20" i="71" s="1"/>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U31" i="33"/>
  <c r="S15" i="34"/>
  <c r="AB33" i="35"/>
  <c r="U33" i="35"/>
  <c r="AB43" i="33"/>
  <c r="U43" i="33"/>
  <c r="AZ545" i="3"/>
  <c r="AZ555" i="3"/>
  <c r="AZ581" i="3"/>
  <c r="AB33" i="37"/>
  <c r="U33" i="37"/>
  <c r="AC19" i="37"/>
  <c r="W23" i="33"/>
  <c r="AB13" i="34"/>
  <c r="S41" i="34"/>
  <c r="AA41" i="34"/>
  <c r="AZ495" i="3"/>
  <c r="AZ567" i="3"/>
  <c r="U28" i="37"/>
  <c r="AB28" i="37"/>
  <c r="W30" i="34"/>
  <c r="AC30" i="34"/>
  <c r="AC29" i="33"/>
  <c r="W29" i="33"/>
  <c r="W46" i="21"/>
  <c r="AC46" i="21"/>
  <c r="D19" i="53"/>
  <c r="B38" i="72" s="1"/>
  <c r="D16" i="53"/>
  <c r="B34" i="72" s="1"/>
  <c r="BL507" i="3"/>
  <c r="AZ507" i="3" s="1"/>
  <c r="BQ5" i="3"/>
  <c r="F28" i="6" s="1"/>
  <c r="AB35" i="35"/>
  <c r="U35" i="35"/>
  <c r="S13" i="35"/>
  <c r="AA13" i="35"/>
  <c r="AB31" i="34"/>
  <c r="S12" i="21"/>
  <c r="AA12" i="21"/>
  <c r="S12" i="35"/>
  <c r="AA12" i="35"/>
  <c r="AC45" i="39"/>
  <c r="AA12" i="34"/>
  <c r="S34" i="21"/>
  <c r="J34" i="35"/>
  <c r="F34" i="35"/>
  <c r="J26" i="37"/>
  <c r="F26" i="37"/>
  <c r="F40" i="40"/>
  <c r="G578" i="3"/>
  <c r="AZ410" i="3"/>
  <c r="AZ431" i="3"/>
  <c r="AZ439" i="3"/>
  <c r="AZ442" i="3"/>
  <c r="AZ449" i="3"/>
  <c r="AZ452"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21"/>
  <c r="D58" i="21" s="1"/>
  <c r="C58" i="33"/>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F50" i="67"/>
  <c r="F68" i="67"/>
  <c r="F64" i="67"/>
  <c r="D9" i="69"/>
  <c r="L47" i="15"/>
  <c r="F42" i="15"/>
  <c r="M29" i="67"/>
  <c r="C36" i="68"/>
  <c r="M26" i="15"/>
  <c r="F26" i="15"/>
  <c r="C76" i="15"/>
  <c r="M6" i="15"/>
  <c r="F9" i="15"/>
  <c r="F7" i="15"/>
  <c r="D3" i="73"/>
  <c r="D9" i="68"/>
  <c r="F37" i="15"/>
  <c r="M24" i="15"/>
  <c r="F36" i="15"/>
  <c r="M23" i="15"/>
  <c r="F38" i="15"/>
  <c r="M28" i="15"/>
  <c r="D7" i="73"/>
  <c r="M8" i="15"/>
  <c r="J15" i="15"/>
  <c r="M29" i="15"/>
  <c r="F16" i="15"/>
  <c r="M9" i="15"/>
  <c r="F13" i="15"/>
  <c r="F6" i="15"/>
  <c r="D5" i="73"/>
  <c r="C16" i="67"/>
  <c r="F43" i="15"/>
  <c r="F8" i="15"/>
  <c r="L48" i="15"/>
  <c r="M22" i="15"/>
  <c r="F40" i="15"/>
  <c r="D4" i="73"/>
  <c r="M9" i="67"/>
  <c r="J15" i="67"/>
  <c r="M23" i="67"/>
  <c r="E26" i="43" l="1"/>
  <c r="C30" i="69"/>
  <c r="C48" i="68"/>
  <c r="C6" i="15"/>
  <c r="C32" i="15" s="1"/>
  <c r="F31" i="15"/>
  <c r="M7" i="15"/>
  <c r="J6" i="15" s="1"/>
  <c r="J18" i="15" s="1"/>
  <c r="F50" i="15"/>
  <c r="F68" i="15"/>
  <c r="F66" i="15"/>
  <c r="J53" i="15"/>
  <c r="L56" i="15" s="1"/>
  <c r="J57" i="15"/>
  <c r="J55" i="15" s="1"/>
  <c r="J58" i="15" s="1"/>
  <c r="Q50" i="15" s="1"/>
  <c r="I54" i="15"/>
  <c r="F64" i="15"/>
  <c r="Q71" i="15"/>
  <c r="L58" i="15"/>
  <c r="Q73" i="15" s="1"/>
  <c r="M59" i="15"/>
  <c r="N59" i="15"/>
  <c r="L59" i="15"/>
  <c r="Q74" i="15" s="1"/>
  <c r="C27" i="15"/>
  <c r="F51" i="15"/>
  <c r="F65" i="15"/>
  <c r="F71" i="15"/>
  <c r="M6" i="1"/>
  <c r="O6" i="1" s="1"/>
  <c r="H26" i="43"/>
  <c r="H16" i="1"/>
  <c r="G26" i="43"/>
  <c r="N94" i="46"/>
  <c r="J26" i="43"/>
  <c r="E10" i="6"/>
  <c r="N370" i="46"/>
  <c r="G16" i="1"/>
  <c r="F10" i="39" s="1"/>
  <c r="S10" i="39" s="1"/>
  <c r="D23" i="71"/>
  <c r="C22" i="71"/>
  <c r="D67" i="71"/>
  <c r="C66" i="71"/>
  <c r="O67" i="71"/>
  <c r="C56" i="71"/>
  <c r="D55" i="71"/>
  <c r="AZ425" i="3"/>
  <c r="S12" i="39"/>
  <c r="AA12" i="39"/>
  <c r="U14" i="21"/>
  <c r="AB14" i="21"/>
  <c r="AB46" i="34"/>
  <c r="U46" i="34"/>
  <c r="W31" i="33"/>
  <c r="AC31" i="33"/>
  <c r="U29" i="21"/>
  <c r="AB29" i="21"/>
  <c r="U25" i="37"/>
  <c r="AB25" i="37"/>
  <c r="E15" i="6"/>
  <c r="E64" i="39" s="1"/>
  <c r="E28" i="6"/>
  <c r="K14" i="1" s="1"/>
  <c r="M14" i="1" s="1"/>
  <c r="AA9" i="37"/>
  <c r="AZ299" i="3"/>
  <c r="AZ296" i="3"/>
  <c r="AZ234" i="3"/>
  <c r="W14" i="37"/>
  <c r="AZ251" i="3"/>
  <c r="AZ247" i="3"/>
  <c r="C64" i="71"/>
  <c r="D63" i="71"/>
  <c r="T52" i="71"/>
  <c r="D52" i="71"/>
  <c r="AZ38" i="3"/>
  <c r="D34" i="71"/>
  <c r="C35" i="71"/>
  <c r="AZ223" i="3"/>
  <c r="AZ415" i="3"/>
  <c r="AZ398" i="3"/>
  <c r="AC33" i="40"/>
  <c r="W33" i="40"/>
  <c r="W12" i="39"/>
  <c r="AC12" i="39"/>
  <c r="AA14" i="37"/>
  <c r="S14" i="37"/>
  <c r="S26" i="33"/>
  <c r="AA26" i="33"/>
  <c r="AZ586" i="3"/>
  <c r="W11" i="35"/>
  <c r="AC11" i="35"/>
  <c r="AZ548" i="3"/>
  <c r="S38" i="37"/>
  <c r="AA38" i="37"/>
  <c r="AB44" i="33"/>
  <c r="U44" i="33"/>
  <c r="AC9" i="34"/>
  <c r="W9" i="34"/>
  <c r="AA27" i="21"/>
  <c r="S27" i="21"/>
  <c r="S30" i="21"/>
  <c r="AA30" i="21"/>
  <c r="S36" i="35"/>
  <c r="AA36" i="35"/>
  <c r="W46" i="34"/>
  <c r="AC46" i="34"/>
  <c r="AA31" i="33"/>
  <c r="S31" i="33"/>
  <c r="AB24" i="35"/>
  <c r="U24" i="35"/>
  <c r="AC29" i="21"/>
  <c r="W29" i="21"/>
  <c r="AZ585" i="3"/>
  <c r="AA13" i="39"/>
  <c r="S13" i="39"/>
  <c r="S35" i="39"/>
  <c r="AA35" i="39"/>
  <c r="J6" i="67"/>
  <c r="J18" i="67" s="1"/>
  <c r="C26" i="71"/>
  <c r="D26" i="71" s="1"/>
  <c r="D27" i="71"/>
  <c r="U27" i="40"/>
  <c r="AB27" i="40"/>
  <c r="U13" i="21"/>
  <c r="AB13" i="21"/>
  <c r="AB13" i="39"/>
  <c r="U13" i="39"/>
  <c r="E13" i="6"/>
  <c r="E12" i="6"/>
  <c r="E57" i="40" s="1"/>
  <c r="E14" i="6"/>
  <c r="AZ80" i="3"/>
  <c r="AZ285" i="3"/>
  <c r="AZ261" i="3"/>
  <c r="W36" i="35"/>
  <c r="AZ84" i="3"/>
  <c r="AZ63" i="3"/>
  <c r="AZ20" i="3"/>
  <c r="AZ53" i="3"/>
  <c r="AZ237" i="3"/>
  <c r="AZ395" i="3"/>
  <c r="AZ57" i="3"/>
  <c r="AZ121" i="3"/>
  <c r="AZ277" i="3"/>
  <c r="AZ263" i="3"/>
  <c r="AZ239" i="3"/>
  <c r="AZ157" i="3"/>
  <c r="AZ241" i="3"/>
  <c r="AZ471" i="3"/>
  <c r="AZ428" i="3"/>
  <c r="AZ411" i="3"/>
  <c r="AZ421" i="3"/>
  <c r="AZ414" i="3"/>
  <c r="AC44" i="39"/>
  <c r="W44" i="39"/>
  <c r="AB33" i="36"/>
  <c r="U33" i="36"/>
  <c r="AB28" i="21"/>
  <c r="U28" i="21"/>
  <c r="AB25" i="35"/>
  <c r="U25" i="35"/>
  <c r="AZ521" i="3"/>
  <c r="AZ558" i="3"/>
  <c r="AC38" i="37"/>
  <c r="W38" i="37"/>
  <c r="S44" i="33"/>
  <c r="AA44" i="33"/>
  <c r="W27" i="21"/>
  <c r="AC27" i="21"/>
  <c r="AB12" i="34"/>
  <c r="U12" i="34"/>
  <c r="U30" i="21"/>
  <c r="AB30" i="21"/>
  <c r="AA24" i="35"/>
  <c r="S24" i="35"/>
  <c r="AA13" i="21"/>
  <c r="S13" i="21"/>
  <c r="AZ587" i="3"/>
  <c r="AC25" i="37"/>
  <c r="W25" i="37"/>
  <c r="AB35" i="39"/>
  <c r="U35" i="39"/>
  <c r="F29" i="6"/>
  <c r="AZ435" i="3"/>
  <c r="U33" i="40"/>
  <c r="AB33" i="40"/>
  <c r="U26" i="33"/>
  <c r="AB26" i="33"/>
  <c r="AC43" i="39"/>
  <c r="W43" i="39"/>
  <c r="W14" i="33"/>
  <c r="AC14" i="33"/>
  <c r="D20" i="53"/>
  <c r="B40" i="72" s="1"/>
  <c r="AZ96" i="3"/>
  <c r="G5" i="3"/>
  <c r="B3" i="3" s="1"/>
  <c r="E512" i="3" s="1"/>
  <c r="AZ281" i="3"/>
  <c r="AZ482" i="3"/>
  <c r="AZ28" i="3"/>
  <c r="AZ29" i="3"/>
  <c r="AZ25" i="3"/>
  <c r="B19" i="71"/>
  <c r="B18" i="71" s="1"/>
  <c r="B17" i="71" s="1"/>
  <c r="B16" i="71" s="1"/>
  <c r="S20" i="71"/>
  <c r="T40" i="71"/>
  <c r="D40" i="71"/>
  <c r="AZ197" i="3"/>
  <c r="AZ126" i="3"/>
  <c r="AZ177" i="3"/>
  <c r="D44" i="71"/>
  <c r="T44" i="71"/>
  <c r="D31" i="71"/>
  <c r="C32" i="71"/>
  <c r="AZ418" i="3"/>
  <c r="AZ566" i="3"/>
  <c r="AZ584" i="3"/>
  <c r="AB44" i="39"/>
  <c r="U44" i="39"/>
  <c r="AC39" i="37"/>
  <c r="W39" i="37"/>
  <c r="W28" i="21"/>
  <c r="AC28" i="21"/>
  <c r="S14" i="21"/>
  <c r="AA14" i="21"/>
  <c r="AZ522" i="3"/>
  <c r="U43" i="39"/>
  <c r="AB43" i="39"/>
  <c r="AA31" i="34"/>
  <c r="S31" i="34"/>
  <c r="U14" i="33"/>
  <c r="AB14" i="33"/>
  <c r="U30" i="34"/>
  <c r="AB30" i="34"/>
  <c r="S11" i="35"/>
  <c r="AA11" i="35"/>
  <c r="W12" i="34"/>
  <c r="AC12" i="34"/>
  <c r="AC30" i="21"/>
  <c r="W30" i="21"/>
  <c r="S27" i="40"/>
  <c r="AA27" i="40"/>
  <c r="AC24" i="35"/>
  <c r="W24" i="35"/>
  <c r="AC13" i="21"/>
  <c r="W13" i="21"/>
  <c r="AA25" i="37"/>
  <c r="S25" i="37"/>
  <c r="AZ576" i="3"/>
  <c r="AZ579" i="3"/>
  <c r="J7" i="37"/>
  <c r="K1" i="73"/>
  <c r="E391" i="3"/>
  <c r="E25" i="3"/>
  <c r="E416" i="3"/>
  <c r="E413" i="3"/>
  <c r="E438" i="3"/>
  <c r="E196" i="3"/>
  <c r="E126" i="3"/>
  <c r="E426" i="3"/>
  <c r="E418" i="3"/>
  <c r="E221" i="3"/>
  <c r="E238" i="3"/>
  <c r="E481" i="3"/>
  <c r="E203" i="3"/>
  <c r="E252" i="3"/>
  <c r="E581" i="3"/>
  <c r="E334" i="3"/>
  <c r="E239" i="3"/>
  <c r="E551" i="3"/>
  <c r="E415" i="3"/>
  <c r="E382" i="3"/>
  <c r="E85" i="3"/>
  <c r="E458" i="3"/>
  <c r="E111" i="3"/>
  <c r="E269" i="3"/>
  <c r="E505" i="3"/>
  <c r="E331" i="3"/>
  <c r="E175" i="3"/>
  <c r="E508" i="3"/>
  <c r="E337" i="3"/>
  <c r="E143" i="3"/>
  <c r="AR6" i="3"/>
  <c r="E380" i="3"/>
  <c r="E231" i="3"/>
  <c r="E185"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51" i="40"/>
  <c r="E58" i="40"/>
  <c r="E62" i="39"/>
  <c r="E3" i="6"/>
  <c r="D5" i="43"/>
  <c r="H10" i="39"/>
  <c r="U10" i="39"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C16" i="15"/>
  <c r="G1" i="73"/>
  <c r="F27" i="68"/>
  <c r="F41" i="67"/>
  <c r="Q52" i="15" l="1"/>
  <c r="F1" i="15"/>
  <c r="Q61" i="15"/>
  <c r="J5" i="15"/>
  <c r="J24" i="15" s="1"/>
  <c r="M17" i="15"/>
  <c r="P6" i="1"/>
  <c r="C13" i="12" s="1"/>
  <c r="Q60" i="15"/>
  <c r="C49" i="15"/>
  <c r="F59" i="15"/>
  <c r="J10" i="40"/>
  <c r="AC10" i="40" s="1"/>
  <c r="H10" i="40"/>
  <c r="AB10" i="40" s="1"/>
  <c r="F10" i="40"/>
  <c r="S10" i="40" s="1"/>
  <c r="E530" i="3"/>
  <c r="E162" i="3"/>
  <c r="E478" i="3"/>
  <c r="E31" i="3"/>
  <c r="E450" i="3"/>
  <c r="E193" i="3"/>
  <c r="E583" i="3"/>
  <c r="E290" i="3"/>
  <c r="E230" i="3"/>
  <c r="E151" i="3"/>
  <c r="E553" i="3"/>
  <c r="E166" i="3"/>
  <c r="P6" i="3"/>
  <c r="E32" i="3"/>
  <c r="E496" i="3"/>
  <c r="E330" i="3"/>
  <c r="E353" i="3"/>
  <c r="E565" i="3"/>
  <c r="E390" i="3"/>
  <c r="E53" i="3"/>
  <c r="E403" i="3"/>
  <c r="E257" i="3"/>
  <c r="E157" i="3"/>
  <c r="E179" i="3"/>
  <c r="E265" i="3"/>
  <c r="E329" i="3"/>
  <c r="E258" i="3"/>
  <c r="E27" i="3"/>
  <c r="E515" i="3"/>
  <c r="E318" i="3"/>
  <c r="E571" i="3"/>
  <c r="E45" i="3"/>
  <c r="E336" i="3"/>
  <c r="E117" i="3"/>
  <c r="E294" i="3"/>
  <c r="E229" i="3"/>
  <c r="E366" i="3"/>
  <c r="E121" i="3"/>
  <c r="E448" i="3"/>
  <c r="E580" i="3"/>
  <c r="E429" i="3"/>
  <c r="E177" i="3"/>
  <c r="AN6" i="3"/>
  <c r="E237" i="3"/>
  <c r="E97" i="3"/>
  <c r="E29" i="3"/>
  <c r="E432" i="3"/>
  <c r="E208" i="3"/>
  <c r="E306" i="3"/>
  <c r="E462" i="3"/>
  <c r="E289" i="3"/>
  <c r="E35" i="3"/>
  <c r="E261" i="3"/>
  <c r="E561" i="3"/>
  <c r="E388" i="3"/>
  <c r="E384" i="3"/>
  <c r="AS6" i="3"/>
  <c r="E271" i="3"/>
  <c r="E150" i="3"/>
  <c r="E527" i="3"/>
  <c r="E314" i="3"/>
  <c r="E578" i="3"/>
  <c r="E395" i="3"/>
  <c r="V6" i="3"/>
  <c r="E516" i="3"/>
  <c r="E30" i="3"/>
  <c r="E444" i="3"/>
  <c r="E164" i="3"/>
  <c r="E256" i="3"/>
  <c r="E424" i="3"/>
  <c r="E128" i="3"/>
  <c r="E254" i="3"/>
  <c r="E338" i="3"/>
  <c r="O6" i="3"/>
  <c r="E272" i="3"/>
  <c r="E145" i="3"/>
  <c r="W6" i="3"/>
  <c r="E98" i="3"/>
  <c r="E354" i="3"/>
  <c r="E372" i="3"/>
  <c r="E430" i="3"/>
  <c r="E160" i="3"/>
  <c r="E174" i="3"/>
  <c r="E470" i="3"/>
  <c r="E564" i="3"/>
  <c r="E79" i="3"/>
  <c r="E566" i="3"/>
  <c r="E436" i="3"/>
  <c r="E488" i="3"/>
  <c r="E307" i="3"/>
  <c r="E532" i="3"/>
  <c r="E471" i="3"/>
  <c r="E357" i="3"/>
  <c r="U6" i="3"/>
  <c r="E546" i="3"/>
  <c r="E291" i="3"/>
  <c r="E501" i="3"/>
  <c r="E574" i="3"/>
  <c r="S6" i="3"/>
  <c r="E298" i="3"/>
  <c r="E213" i="3"/>
  <c r="E159" i="3"/>
  <c r="AA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3" i="3"/>
  <c r="AF6" i="3"/>
  <c r="E356" i="3"/>
  <c r="E376" i="3"/>
  <c r="E325" i="3"/>
  <c r="E386" i="3"/>
  <c r="E542" i="3"/>
  <c r="E195" i="3"/>
  <c r="E461" i="3"/>
  <c r="E529" i="3"/>
  <c r="E475" i="3"/>
  <c r="E397" i="3"/>
  <c r="E548"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499" i="3"/>
  <c r="E283" i="3"/>
  <c r="E197" i="3"/>
  <c r="AY6" i="3"/>
  <c r="J5" i="67"/>
  <c r="E16" i="6"/>
  <c r="J10" i="39"/>
  <c r="W10" i="39" s="1"/>
  <c r="E60" i="40"/>
  <c r="E266" i="3"/>
  <c r="E323" i="3"/>
  <c r="E110" i="3"/>
  <c r="E222" i="3"/>
  <c r="E348" i="3"/>
  <c r="E165" i="3"/>
  <c r="E20" i="3"/>
  <c r="E36" i="3"/>
  <c r="E194" i="3"/>
  <c r="E540" i="3"/>
  <c r="E226" i="3"/>
  <c r="E419" i="3"/>
  <c r="E507" i="3"/>
  <c r="E116" i="3"/>
  <c r="E80" i="3"/>
  <c r="E190" i="3"/>
  <c r="E41" i="3"/>
  <c r="E556" i="3"/>
  <c r="T6" i="3"/>
  <c r="E308" i="3"/>
  <c r="E86" i="3"/>
  <c r="E482" i="3"/>
  <c r="E494" i="3"/>
  <c r="E68" i="3"/>
  <c r="E310" i="3"/>
  <c r="E484" i="3"/>
  <c r="E554" i="3"/>
  <c r="E259" i="3"/>
  <c r="E47" i="3"/>
  <c r="E19" i="3"/>
  <c r="E57" i="3"/>
  <c r="E51" i="3"/>
  <c r="E155" i="3"/>
  <c r="E101" i="3"/>
  <c r="E50" i="3"/>
  <c r="E52" i="3"/>
  <c r="E137" i="3"/>
  <c r="E43" i="3"/>
  <c r="E202" i="3"/>
  <c r="E498" i="3"/>
  <c r="E486" i="3"/>
  <c r="E223" i="3"/>
  <c r="E370" i="3"/>
  <c r="E78" i="3"/>
  <c r="E104" i="3"/>
  <c r="E360" i="3"/>
  <c r="E534" i="3"/>
  <c r="E287" i="3"/>
  <c r="E522" i="3"/>
  <c r="E75" i="3"/>
  <c r="E21" i="3"/>
  <c r="E355" i="3"/>
  <c r="E371" i="3"/>
  <c r="E389" i="3"/>
  <c r="E510" i="3"/>
  <c r="E539" i="3"/>
  <c r="E575" i="3"/>
  <c r="E466" i="3"/>
  <c r="AP6" i="3"/>
  <c r="E417" i="3"/>
  <c r="E152" i="3"/>
  <c r="E349" i="3"/>
  <c r="E409" i="3"/>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28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67" i="3"/>
  <c r="E379" i="3"/>
  <c r="E93" i="3"/>
  <c r="E54" i="3"/>
  <c r="E288" i="3"/>
  <c r="E313"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67" i="3"/>
  <c r="E46" i="3"/>
  <c r="E479" i="3"/>
  <c r="E536" i="3"/>
  <c r="T32" i="71"/>
  <c r="D32" i="71"/>
  <c r="F30" i="6"/>
  <c r="F31" i="6" s="1"/>
  <c r="E29" i="6"/>
  <c r="E63" i="39"/>
  <c r="E59" i="40"/>
  <c r="C36" i="71"/>
  <c r="D35" i="71"/>
  <c r="O65" i="71"/>
  <c r="D66" i="71"/>
  <c r="O66" i="71"/>
  <c r="E381" i="3"/>
  <c r="E144" i="3"/>
  <c r="E23" i="3"/>
  <c r="E300" i="3"/>
  <c r="E103" i="3"/>
  <c r="E425" i="3"/>
  <c r="E76" i="3"/>
  <c r="E363" i="3"/>
  <c r="E192" i="3"/>
  <c r="E56" i="3"/>
  <c r="E435" i="3"/>
  <c r="I3" i="6"/>
  <c r="E541" i="3"/>
  <c r="R6" i="3"/>
  <c r="E199" i="3"/>
  <c r="T64" i="71"/>
  <c r="D64"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F41" i="15" s="1"/>
  <c r="M27" i="15"/>
  <c r="M27" i="67"/>
  <c r="C48" i="15" l="1"/>
  <c r="C66" i="15" s="1"/>
  <c r="F22" i="68"/>
  <c r="C44" i="68" s="1"/>
  <c r="D41" i="68" s="1"/>
  <c r="H6" i="3"/>
  <c r="E6" i="3" s="1"/>
  <c r="F25" i="12"/>
  <c r="C26" i="12" s="1"/>
  <c r="D25" i="12" s="1"/>
  <c r="D116" i="43"/>
  <c r="K15" i="1"/>
  <c r="K16" i="1" s="1"/>
  <c r="E30" i="6"/>
  <c r="E31" i="6" s="1"/>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C17" i="67"/>
  <c r="C14" i="67"/>
  <c r="D10" i="68"/>
  <c r="C17" i="15"/>
  <c r="C26" i="68" l="1"/>
  <c r="D22" i="68" s="1"/>
  <c r="C44" i="11"/>
  <c r="D41" i="11" s="1"/>
  <c r="H24" i="6"/>
  <c r="C26" i="11"/>
  <c r="D22" i="11" s="1"/>
  <c r="H25" i="6"/>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B3" i="43" l="1"/>
  <c r="C6" i="68"/>
  <c r="C7" i="68" s="1"/>
  <c r="C5" i="68" s="1"/>
  <c r="C23" i="68" s="1"/>
  <c r="B29" i="1"/>
  <c r="C18" i="12" s="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D34" i="9"/>
  <c r="L51" i="67"/>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8" i="1"/>
  <c r="AO9" i="1"/>
  <c r="AO10"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D118" i="9"/>
  <c r="D4" i="52" s="1"/>
  <c r="B47" i="72" s="1"/>
  <c r="H118" i="9"/>
  <c r="H119" i="9" s="1"/>
  <c r="H5" i="52" s="1"/>
  <c r="D119" i="9" l="1"/>
  <c r="D5" i="52" s="1"/>
  <c r="B49" i="72" s="1"/>
  <c r="F4" i="52"/>
  <c r="B51" i="72" s="1"/>
  <c r="G118" i="9"/>
  <c r="G4" i="52" s="1"/>
  <c r="B52" i="72" s="1"/>
  <c r="C104" i="9"/>
  <c r="I118" i="9"/>
  <c r="H101" i="9"/>
  <c r="D14" i="74" s="1"/>
  <c r="H4" i="52"/>
  <c r="B5" i="74" l="1"/>
  <c r="D5" i="74" s="1"/>
  <c r="E14" i="74"/>
  <c r="F14" i="74"/>
  <c r="H107" i="9"/>
  <c r="G14" i="74" s="1"/>
  <c r="B6" i="74" s="1"/>
  <c r="D6" i="74" s="1"/>
  <c r="D45" i="9"/>
  <c r="D5" i="53"/>
  <c r="M48" i="9"/>
  <c r="I4" i="52"/>
  <c r="C105" i="9"/>
  <c r="E118" i="9"/>
  <c r="E4" i="52" s="1"/>
  <c r="B48" i="72" s="1"/>
  <c r="H102" i="9"/>
  <c r="D7" i="53" l="1"/>
  <c r="B21" i="72" s="1"/>
  <c r="C5" i="74"/>
  <c r="C85" i="9"/>
  <c r="D53" i="9"/>
  <c r="D52" i="9"/>
  <c r="C78" i="9"/>
  <c r="C73" i="9" s="1"/>
  <c r="C93" i="9"/>
  <c r="C86" i="9" s="1"/>
  <c r="D55" i="9"/>
  <c r="M53" i="9" s="1"/>
  <c r="C64" i="9"/>
  <c r="C63" i="9" s="1"/>
  <c r="C67" i="9" s="1"/>
  <c r="C72" i="9"/>
  <c r="D6" i="53"/>
  <c r="B22" i="72" s="1"/>
  <c r="B20" i="72"/>
  <c r="M49" i="9"/>
  <c r="H108" i="9"/>
  <c r="D122" i="9"/>
  <c r="D13" i="53"/>
  <c r="C79" i="9" l="1"/>
  <c r="D14" i="53"/>
  <c r="B32" i="72" s="1"/>
  <c r="B30" i="72"/>
  <c r="D8" i="52"/>
  <c r="D123" i="9"/>
  <c r="D9" i="52" s="1"/>
  <c r="C95" i="9"/>
  <c r="D15" i="53"/>
  <c r="B31" i="72" s="1"/>
  <c r="C6" i="74"/>
  <c r="C80" i="9"/>
  <c r="E80" i="9" s="1"/>
  <c r="E81" i="9" s="1"/>
  <c r="L68" i="9"/>
  <c r="M68" i="9" s="1"/>
  <c r="L65" i="9"/>
  <c r="M65" i="9" s="1"/>
  <c r="L66" i="9"/>
  <c r="M66" i="9" s="1"/>
  <c r="L67" i="9"/>
  <c r="M67" i="9" s="1"/>
  <c r="L63" i="9"/>
  <c r="M63" i="9" s="1"/>
  <c r="L64" i="9"/>
  <c r="M64" i="9" s="1"/>
  <c r="D59" i="9"/>
  <c r="M55" i="9" s="1"/>
  <c r="C68" i="9"/>
  <c r="D54" i="9" s="1"/>
  <c r="C96" i="9" l="1"/>
  <c r="E96" i="9" s="1"/>
  <c r="E97" i="9" s="1"/>
  <c r="C97" i="9"/>
  <c r="D58" i="9" s="1"/>
  <c r="D56" i="9" s="1"/>
  <c r="M54" i="9" s="1"/>
  <c r="N57" i="9" s="1"/>
  <c r="C81" i="9"/>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<sst xmlns="http://schemas.openxmlformats.org/spreadsheetml/2006/main" count="7877" uniqueCount="3460">
  <si>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</si>
  <si>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</si>
  <si>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</si>
  <si>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</si>
  <si>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</si>
  <si>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</si>
  <si>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</si>
  <si>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</si>
  <si>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</si>
  <si>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</si>
  <si>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</si>
  <si>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</si>
  <si>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</si>
  <si>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</si>
  <si>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</si>
  <si>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</si>
  <si>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</si>
  <si>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</si>
  <si>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</si>
  <si>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</si>
  <si>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</si>
  <si>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</si>
  <si>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</si>
  <si>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</si>
  <si>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</si>
  <si>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</si>
  <si>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</si>
  <si>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</si>
  <si>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</si>
  <si>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</si>
  <si>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</si>
  <si>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</si>
  <si>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</si>
  <si>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</si>
  <si>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</si>
  <si>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</si>
  <si>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</si>
  <si>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</si>
  <si>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</si>
  <si>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</si>
  <si>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</si>
  <si>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</si>
  <si>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</si>
  <si>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</si>
  <si>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</si>
  <si>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</si>
  <si>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</si>
  <si>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</si>
  <si>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</si>
  <si>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</si>
  <si>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</si>
  <si>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</si>
  <si>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</si>
  <si>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</si>
  <si>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</si>
  <si>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</si>
  <si>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</si>
  <si>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</si>
  <si>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</si>
  <si>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</si>
  <si>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</si>
  <si>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</si>
  <si>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</si>
  <si>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</si>
  <si>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</si>
  <si>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</si>
  <si>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</si>
  <si>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</si>
  <si>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</si>
  <si>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</si>
  <si>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</si>
  <si>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</si>
  <si>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</si>
  <si>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</si>
  <si>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</si>
  <si>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</si>
  <si>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</si>
  <si>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</si>
  <si>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</si>
  <si>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</si>
  <si>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</si>
  <si>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</si>
  <si>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</si>
  <si>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</si>
  <si>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</si>
  <si>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</si>
  <si>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</si>
  <si>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</si>
  <si>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</si>
  <si>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</si>
  <si>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</si>
  <si>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</si>
  <si>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</si>
  <si>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</si>
  <si>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</si>
  <si>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</si>
  <si>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</si>
  <si>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</si>
  <si>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</si>
  <si>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</si>
  <si>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</si>
  <si>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</si>
  <si>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</si>
  <si>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</si>
  <si>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</si>
  <si>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</si>
  <si>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</si>
  <si>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</si>
  <si>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</si>
  <si>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</si>
  <si>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</si>
  <si>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</si>
  <si>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</si>
  <si>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</si>
  <si>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</si>
  <si>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</si>
  <si>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</si>
  <si>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</si>
  <si>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</si>
  <si>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</si>
  <si>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</si>
  <si>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</si>
  <si>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</si>
  <si>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</si>
  <si>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</si>
  <si>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</si>
  <si>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</si>
  <si>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</si>
  <si>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</si>
  <si>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</si>
  <si>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</si>
  <si>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</si>
  <si>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</si>
  <si>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</si>
  <si>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</si>
  <si>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</si>
  <si>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</si>
  <si>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</si>
  <si>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</si>
  <si>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</si>
  <si>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</si>
  <si>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</si>
  <si>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</si>
  <si>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</si>
  <si>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</si>
  <si>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</si>
  <si>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</si>
  <si>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</si>
  <si>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</si>
  <si>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</si>
  <si>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</si>
  <si>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</si>
  <si>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</si>
  <si>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</si>
  <si>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</si>
  <si>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</si>
  <si>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</si>
  <si>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</si>
  <si>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</si>
  <si>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</si>
  <si>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</si>
  <si>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</si>
  <si>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</si>
  <si>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</si>
  <si>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</si>
  <si>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</si>
  <si>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</si>
  <si>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</si>
  <si>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</si>
  <si>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</si>
  <si>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</si>
  <si>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</si>
  <si>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</si>
  <si>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</si>
  <si>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</si>
  <si>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</si>
  <si>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</si>
  <si>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</si>
  <si>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</si>
  <si>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</si>
  <si>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</si>
  <si>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</si>
  <si>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</si>
  <si>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</si>
  <si>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</si>
  <si>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</si>
  <si>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</si>
  <si>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</si>
  <si>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</si>
  <si>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</si>
  <si>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</si>
  <si>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</si>
  <si>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</si>
  <si>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</si>
  <si>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</si>
  <si>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</si>
  <si>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</si>
  <si>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</si>
  <si>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</si>
  <si>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</si>
  <si>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</si>
  <si>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</si>
  <si>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</si>
  <si>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</si>
  <si>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</si>
  <si>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</si>
  <si>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</si>
  <si>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</si>
  <si>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</si>
  <si>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</si>
  <si>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</si>
  <si>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</si>
  <si>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</si>
  <si>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</si>
  <si>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</si>
  <si>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</si>
  <si>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</si>
  <si>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</si>
  <si>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</si>
  <si>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</si>
  <si>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</si>
  <si>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</si>
  <si>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</si>
  <si>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</si>
  <si>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</si>
  <si>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</si>
  <si>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</si>
  <si>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</si>
  <si>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</si>
  <si>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</si>
  <si>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</si>
  <si>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</si>
  <si>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</si>
  <si>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</si>
  <si>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</si>
  <si>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</si>
  <si>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</si>
  <si>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</si>
  <si>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</si>
  <si>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</si>
  <si>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</si>
  <si>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</si>
  <si>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</si>
  <si>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</si>
  <si>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</si>
  <si>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</si>
  <si>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</si>
  <si>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</si>
  <si>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</si>
  <si>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</si>
  <si>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</si>
  <si>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</si>
  <si>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</si>
  <si>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</si>
  <si>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</si>
  <si>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</si>
  <si>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</si>
  <si>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</si>
  <si>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</si>
  <si>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</si>
  <si>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</si>
  <si>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</si>
  <si>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</si>
  <si>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</si>
  <si>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</si>
  <si>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</si>
  <si>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</si>
  <si>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</si>
  <si>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</si>
  <si>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</si>
  <si>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</si>
  <si>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</si>
  <si>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</si>
  <si>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</si>
  <si>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</si>
  <si>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</si>
  <si>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</si>
  <si>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</si>
  <si>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</si>
  <si>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</si>
  <si>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</si>
  <si>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</si>
  <si>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</si>
  <si>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</si>
  <si>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</si>
  <si>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</si>
  <si>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</si>
  <si>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</si>
  <si>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</si>
  <si>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</si>
  <si>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</si>
  <si>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</si>
  <si>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</si>
  <si>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</si>
  <si>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</si>
  <si>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</si>
  <si>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</si>
  <si>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</si>
  <si>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</si>
  <si>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</si>
  <si>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</si>
  <si>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</si>
  <si>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</si>
  <si>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</si>
  <si>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</si>
  <si>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</si>
  <si>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</si>
  <si>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</si>
  <si>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</si>
  <si>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</si>
  <si>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</si>
  <si>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</si>
  <si>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</si>
  <si>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</si>
  <si>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</si>
  <si>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</si>
  <si>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</si>
  <si>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</si>
  <si>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</si>
  <si>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</si>
  <si>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</si>
  <si>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</si>
  <si>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</si>
  <si>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</si>
  <si>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</si>
  <si>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</si>
  <si>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</si>
  <si>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</si>
  <si>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</si>
  <si>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</si>
  <si>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</si>
  <si>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</si>
  <si>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</si>
  <si>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</si>
  <si>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</si>
  <si>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</si>
  <si>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</si>
  <si>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</si>
  <si>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</si>
  <si>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</si>
  <si>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</si>
  <si>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</si>
  <si>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</si>
  <si>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</si>
  <si>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</si>
  <si>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</si>
  <si>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</si>
  <si>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</si>
  <si>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</si>
  <si>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</si>
  <si>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</si>
  <si>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</si>
  <si>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</si>
  <si>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</si>
  <si>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</si>
  <si>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</si>
  <si>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</si>
  <si>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</si>
  <si>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</si>
  <si>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</si>
  <si>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</si>
  <si>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</si>
  <si>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</si>
  <si>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</si>
  <si>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</si>
  <si>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</si>
  <si>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</si>
  <si>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</si>
  <si>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</si>
  <si>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</si>
  <si>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</si>
  <si>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</si>
  <si>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</si>
  <si>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</si>
  <si>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</si>
  <si>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</si>
  <si>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</si>
  <si>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</si>
  <si>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</si>
  <si>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</si>
  <si>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</si>
  <si>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</si>
  <si>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</si>
  <si>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</si>
  <si>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</si>
  <si>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</si>
  <si>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</si>
  <si>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</si>
  <si>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</si>
  <si>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</si>
  <si>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</si>
  <si>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</si>
  <si>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</si>
  <si>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</si>
  <si>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</si>
  <si>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</si>
  <si>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</si>
  <si>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</si>
  <si>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</si>
  <si>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</si>
  <si>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</si>
  <si>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</si>
  <si>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</si>
  <si>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</si>
  <si>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</si>
  <si>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</si>
  <si>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</si>
  <si>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</si>
  <si>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</si>
  <si>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</si>
  <si>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</si>
  <si>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</si>
  <si>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</si>
  <si>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</si>
  <si>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</si>
  <si>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</si>
  <si>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</si>
  <si>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</si>
  <si>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</si>
  <si>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</si>
  <si>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</si>
  <si>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</si>
  <si>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</si>
  <si>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</si>
  <si>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</si>
  <si>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</si>
  <si>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</si>
  <si>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</si>
  <si>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</si>
  <si>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</si>
  <si>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</si>
  <si>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</si>
  <si>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</si>
  <si>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</si>
  <si>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</si>
  <si>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</si>
  <si>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</si>
  <si>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</si>
  <si>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</si>
  <si>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</si>
  <si>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</si>
  <si>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</si>
  <si>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</si>
  <si>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</si>
  <si>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</si>
  <si>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</si>
  <si>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</si>
  <si>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</si>
  <si>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</si>
  <si>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</si>
  <si>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</si>
  <si>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</si>
  <si>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</si>
  <si>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</si>
  <si>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</si>
  <si>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</si>
  <si>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</si>
  <si>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</si>
  <si>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</si>
  <si>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</si>
  <si>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</si>
  <si>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</si>
  <si>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</si>
  <si>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</si>
  <si>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</si>
  <si>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</si>
  <si>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</si>
  <si>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</si>
  <si>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</si>
  <si>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</si>
  <si>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</si>
  <si>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</si>
  <si>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</si>
  <si>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</si>
  <si>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</si>
  <si>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</si>
  <si>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</si>
  <si>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</si>
  <si>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</si>
  <si>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</si>
  <si>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</si>
  <si>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</si>
  <si>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</si>
  <si>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</si>
  <si>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</si>
  <si>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</si>
  <si>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</si>
  <si>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</si>
  <si>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</si>
  <si>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</si>
  <si>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</si>
  <si>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</si>
  <si>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</si>
  <si>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</si>
  <si>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</si>
  <si>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</si>
  <si>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</si>
  <si>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</si>
  <si>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</si>
  <si>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</si>
  <si>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</si>
  <si>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</si>
  <si>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</si>
  <si>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</si>
  <si>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</si>
  <si>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</si>
  <si>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</si>
  <si>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</si>
  <si>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</si>
  <si>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</si>
  <si>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</si>
  <si>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</si>
  <si>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</si>
  <si>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</si>
  <si>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</si>
  <si>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</si>
  <si>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</si>
  <si>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</si>
  <si>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</si>
  <si>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</si>
  <si>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</si>
  <si>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</si>
  <si>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</si>
  <si>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</si>
  <si>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</si>
  <si>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</si>
  <si>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</si>
  <si>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</si>
  <si>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</si>
  <si>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</si>
  <si>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</si>
  <si>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</si>
  <si>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</si>
  <si>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</si>
  <si>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</si>
  <si>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</si>
  <si>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</si>
  <si>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</si>
  <si>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</si>
  <si>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</si>
  <si>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</si>
  <si>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</si>
  <si>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</si>
  <si>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</si>
  <si>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</si>
  <si>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</si>
  <si>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</si>
  <si>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</si>
  <si>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</si>
  <si>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</si>
  <si>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</si>
  <si>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</si>
  <si>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</si>
  <si>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</si>
  <si>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</si>
  <si>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</si>
  <si>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</si>
  <si>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</si>
  <si>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</si>
  <si>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</si>
  <si>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</si>
  <si>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</si>
  <si>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</si>
  <si>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</si>
  <si>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</si>
  <si>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</si>
  <si>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</si>
  <si>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</si>
  <si>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</si>
  <si>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</si>
  <si>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</si>
  <si>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</si>
  <si>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</si>
  <si>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</si>
  <si>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</si>
  <si>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</si>
  <si>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</si>
  <si>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</si>
  <si>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</si>
  <si>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</si>
  <si>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</si>
  <si>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</si>
  <si>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</si>
  <si>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</si>
  <si>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</si>
  <si>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</si>
  <si>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</si>
  <si>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</si>
  <si>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</si>
  <si>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</si>
  <si>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</si>
  <si>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</si>
  <si>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</si>
  <si>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</si>
  <si>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</si>
  <si>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</si>
  <si>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</si>
  <si>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</si>
  <si>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</si>
  <si>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</si>
  <si>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</si>
  <si>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</si>
  <si>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</si>
  <si>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</si>
  <si>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</si>
  <si>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</si>
  <si>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</si>
  <si>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</si>
  <si>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</si>
  <si>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</si>
  <si>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</si>
  <si>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</si>
  <si>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</si>
  <si>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</si>
  <si>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</si>
  <si>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</si>
  <si>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</si>
  <si>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</si>
  <si>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</si>
  <si>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</si>
  <si>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</si>
  <si>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</si>
  <si>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</si>
  <si>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</si>
  <si>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</si>
  <si>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</si>
  <si>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</si>
  <si>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</si>
  <si>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</si>
  <si>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</si>
  <si>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</si>
  <si>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</si>
  <si>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</si>
  <si>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</si>
  <si>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</si>
  <si>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</si>
  <si>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</si>
  <si>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</si>
  <si>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</si>
  <si>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</si>
  <si>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</si>
  <si>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</si>
  <si>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</si>
  <si>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</si>
  <si>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</si>
  <si>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</si>
  <si>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</si>
  <si>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</si>
  <si>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</si>
  <si>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</si>
  <si>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</si>
  <si>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</si>
  <si>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</si>
  <si>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</si>
  <si>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</si>
  <si>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</si>
  <si>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</si>
  <si>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</si>
  <si>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</si>
  <si>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</si>
  <si>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</si>
  <si>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</si>
  <si>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</si>
  <si>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</si>
  <si>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</si>
  <si>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</si>
  <si>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</si>
  <si>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</si>
  <si>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</si>
  <si>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</si>
  <si>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</si>
  <si>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</si>
  <si>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</si>
  <si>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</si>
  <si>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</si>
  <si>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</si>
  <si>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</si>
  <si>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</si>
  <si>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</si>
  <si>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</si>
  <si>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</si>
  <si>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</si>
  <si>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</si>
  <si>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</si>
  <si>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</si>
  <si>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</si>
  <si>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</si>
  <si>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</si>
  <si>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</si>
  <si>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</si>
  <si>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</si>
  <si>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</si>
  <si>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</si>
  <si>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</si>
  <si>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</si>
  <si>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</si>
  <si>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</si>
  <si>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</si>
  <si>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</si>
  <si>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</si>
  <si>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</si>
  <si>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</si>
  <si>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</si>
  <si>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</si>
  <si>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</si>
  <si>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</si>
  <si>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</si>
  <si>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</si>
  <si>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</si>
  <si>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</si>
  <si>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</si>
  <si>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</si>
  <si>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</si>
  <si>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</si>
  <si>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</si>
  <si>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</si>
  <si>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</si>
  <si>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</si>
  <si>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</si>
  <si>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</si>
  <si>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</si>
  <si>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</si>
  <si>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</si>
  <si>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</si>
  <si>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</si>
  <si>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</si>
  <si>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</si>
  <si>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</si>
  <si>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</si>
  <si>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</si>
  <si>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</si>
  <si>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</si>
  <si>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</si>
  <si>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</si>
  <si>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</si>
  <si>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</si>
  <si>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</si>
  <si>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</si>
  <si>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</si>
  <si>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</si>
  <si>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</si>
  <si>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</si>
  <si>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</si>
  <si>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</si>
  <si>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</si>
  <si>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</si>
  <si>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</si>
  <si>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</si>
  <si>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</si>
  <si>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</si>
  <si>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</si>
  <si>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</si>
  <si>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</si>
  <si>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</si>
  <si>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</si>
  <si>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</si>
  <si>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</si>
  <si>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</si>
  <si>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</si>
  <si>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</si>
  <si>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</si>
  <si>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</si>
  <si>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</si>
  <si>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</si>
  <si>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</si>
  <si>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</si>
  <si>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</si>
  <si>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</si>
  <si>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</si>
  <si>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</si>
  <si>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</si>
  <si>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</si>
  <si>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</si>
  <si>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</si>
  <si>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</si>
  <si>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</si>
  <si>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</si>
  <si>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</si>
  <si>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</si>
  <si>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</si>
  <si>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</si>
  <si>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</si>
  <si>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</si>
  <si>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</si>
  <si>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</si>
  <si>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</si>
  <si>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</si>
  <si>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</si>
  <si>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</si>
  <si>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</si>
  <si>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</si>
  <si>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</si>
  <si>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</si>
  <si>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</si>
  <si>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</si>
  <si>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</si>
  <si>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</si>
  <si>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</si>
  <si>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</si>
  <si>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</si>
  <si>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</si>
  <si>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</si>
  <si>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</si>
  <si>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</si>
  <si>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</si>
  <si>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</si>
  <si>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</si>
  <si>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</si>
  <si>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</si>
  <si>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</si>
  <si>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</si>
  <si>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</si>
  <si>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</si>
  <si>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</si>
  <si>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</si>
  <si>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</si>
  <si>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</si>
  <si>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</si>
  <si>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</si>
  <si>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</si>
  <si>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</si>
  <si>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</si>
  <si>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</si>
  <si>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</si>
  <si>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</si>
  <si>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</si>
  <si>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</si>
  <si>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</si>
  <si>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</si>
  <si>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</si>
  <si>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</si>
  <si>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</si>
  <si>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</si>
  <si>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</si>
  <si>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</si>
  <si>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</si>
  <si>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</si>
  <si>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</si>
  <si>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</si>
  <si>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</si>
  <si>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</si>
  <si>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</si>
  <si>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</si>
  <si>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</si>
  <si>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</si>
  <si>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</si>
  <si>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</si>
  <si>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</si>
  <si>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</si>
  <si>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</si>
  <si>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</si>
  <si>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</si>
  <si>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</si>
  <si>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</si>
  <si>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</si>
  <si>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</si>
  <si>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</si>
  <si>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</si>
  <si>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</si>
  <si>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</si>
  <si>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</si>
  <si>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</si>
  <si>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</si>
  <si>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</si>
  <si>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</si>
  <si>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</si>
  <si>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</si>
  <si>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</si>
  <si>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</si>
  <si>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</si>
  <si>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</si>
  <si>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</si>
  <si>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</si>
  <si>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</si>
  <si>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</si>
  <si>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</si>
  <si>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</si>
  <si>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</si>
  <si>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</si>
  <si>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</si>
  <si>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</si>
  <si>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</si>
  <si>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</si>
  <si>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</si>
  <si>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</si>
  <si>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</si>
  <si>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</si>
  <si>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</si>
  <si>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</si>
  <si>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</si>
  <si>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</si>
  <si>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</si>
  <si>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</si>
  <si>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</si>
  <si>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</si>
  <si>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</si>
  <si>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</si>
  <si>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</si>
  <si>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</si>
  <si>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</si>
  <si>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</si>
  <si>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</si>
  <si>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</si>
  <si>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</si>
  <si>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</si>
  <si>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</si>
  <si>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</si>
  <si>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</si>
  <si>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</si>
  <si>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</si>
  <si>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</si>
  <si>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</si>
  <si>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</si>
  <si>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</si>
  <si>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</si>
  <si>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</si>
  <si>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</si>
  <si>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</si>
  <si>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</si>
  <si>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</si>
  <si>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</si>
  <si>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</si>
  <si>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</si>
  <si>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</si>
  <si>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</si>
  <si>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</si>
  <si>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</si>
  <si>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</si>
  <si>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</si>
  <si>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</si>
  <si>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</si>
  <si>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</si>
  <si>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</si>
  <si>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</si>
  <si>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</si>
  <si>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</si>
  <si>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</si>
  <si>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</si>
  <si>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</si>
  <si>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</si>
  <si>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</si>
  <si>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</si>
  <si>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</si>
  <si>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</si>
  <si>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</si>
  <si>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</si>
  <si>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</si>
  <si>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</si>
  <si>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</si>
  <si>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</si>
  <si>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</si>
  <si>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</si>
  <si>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</si>
  <si>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</si>
  <si>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</si>
  <si>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</si>
  <si>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</si>
  <si>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</si>
  <si>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</si>
  <si>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</si>
  <si>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</si>
  <si>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</si>
  <si>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</si>
  <si>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</si>
  <si>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</si>
  <si>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</si>
  <si>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</si>
  <si>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</si>
  <si>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</si>
  <si>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</si>
  <si>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</si>
  <si>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</si>
  <si>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</si>
  <si>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</si>
  <si>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</si>
  <si>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</si>
  <si>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</si>
  <si>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</si>
  <si>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</si>
  <si>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</si>
  <si>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</si>
  <si>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</si>
  <si>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</si>
  <si>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</si>
  <si>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</si>
  <si>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</si>
  <si>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</si>
  <si>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</si>
  <si>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</si>
  <si>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</si>
  <si>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</si>
  <si>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</si>
  <si>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</si>
  <si>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</si>
  <si>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</si>
  <si>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</si>
  <si>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</si>
  <si>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</si>
  <si>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</si>
  <si>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</si>
  <si>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</si>
  <si>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</si>
  <si>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</si>
  <si>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</si>
  <si>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</si>
  <si>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</si>
  <si>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</si>
  <si>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</si>
  <si>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</si>
  <si>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</si>
  <si>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</si>
  <si>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</si>
  <si>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</si>
  <si>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</si>
  <si>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</si>
  <si>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</si>
  <si>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</si>
  <si>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</si>
  <si>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</si>
  <si>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</si>
  <si>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</si>
  <si>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</si>
  <si>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</si>
  <si>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</si>
  <si>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</si>
  <si>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</si>
  <si>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</si>
  <si>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</si>
  <si>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</si>
  <si>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</si>
  <si>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</si>
  <si>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</si>
  <si>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</si>
  <si>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</si>
  <si>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</si>
  <si>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</si>
  <si>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</si>
  <si>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</si>
  <si>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</si>
  <si>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</si>
  <si>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</si>
  <si>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</si>
  <si>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</si>
  <si>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</si>
  <si>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</si>
  <si>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</si>
  <si>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</si>
  <si>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</si>
  <si>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</si>
  <si>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</si>
  <si>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</si>
  <si>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</si>
  <si>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</si>
  <si>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</si>
  <si>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</si>
  <si>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</si>
  <si>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</si>
  <si>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</si>
  <si>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</si>
  <si>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</si>
  <si>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</si>
  <si>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</si>
  <si>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</si>
  <si>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</si>
  <si>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</si>
  <si>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</si>
  <si>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</si>
  <si>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</si>
  <si>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</si>
  <si>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</si>
  <si>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</si>
  <si>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</si>
  <si>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</si>
  <si>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</si>
  <si>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</si>
  <si>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</si>
  <si>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</si>
  <si>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</si>
  <si>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</si>
  <si>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</si>
  <si>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</si>
  <si>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</si>
  <si>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</si>
  <si>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</si>
  <si>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</si>
  <si>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</si>
  <si>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</si>
  <si>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</si>
  <si>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</si>
  <si>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</si>
  <si>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</si>
  <si>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</si>
  <si>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</si>
  <si>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</si>
  <si>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</si>
  <si>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</si>
  <si>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</si>
  <si>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</si>
  <si>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</si>
  <si>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</si>
  <si>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</si>
  <si>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</si>
  <si>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</si>
  <si>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</si>
  <si>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</si>
  <si>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</si>
  <si>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</si>
  <si>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</si>
  <si>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</si>
  <si>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</si>
  <si>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</si>
  <si>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</si>
  <si>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</si>
  <si>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</si>
  <si>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</si>
  <si>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</si>
  <si>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</si>
  <si>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</si>
  <si>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</si>
  <si>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</si>
  <si>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</si>
  <si>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</si>
  <si>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</si>
  <si>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</si>
  <si>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</si>
  <si>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</si>
  <si>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</si>
  <si>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</si>
  <si>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</si>
  <si>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</si>
  <si>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</si>
  <si>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</si>
  <si>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</si>
  <si>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</si>
  <si>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</si>
  <si>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</si>
  <si>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</si>
  <si>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</si>
  <si>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</si>
  <si>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</si>
  <si>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</si>
  <si>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</si>
  <si>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</si>
  <si>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</si>
  <si>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</si>
  <si>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</si>
  <si>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</si>
  <si>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</si>
  <si>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</si>
  <si>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</si>
  <si>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</si>
  <si>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</si>
  <si>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</si>
  <si>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</si>
  <si>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</si>
  <si>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</si>
  <si>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</si>
  <si>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</si>
  <si>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</si>
  <si>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</si>
  <si>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</si>
  <si>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</si>
  <si>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</si>
  <si>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</si>
  <si>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</si>
  <si>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</si>
  <si>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</si>
  <si>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</si>
  <si>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</si>
  <si>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</si>
  <si>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</si>
  <si>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</si>
  <si>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</si>
  <si>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</si>
  <si>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</si>
  <si>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</si>
  <si>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</si>
  <si>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</si>
  <si>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</si>
  <si>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</si>
  <si>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</si>
  <si>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</si>
  <si>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</si>
  <si>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</si>
  <si>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</si>
  <si>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</si>
  <si>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</si>
  <si>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</si>
  <si>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</si>
  <si>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</si>
  <si>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</si>
  <si>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</si>
  <si>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</si>
  <si>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</si>
  <si>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</si>
  <si>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</si>
  <si>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</si>
  <si>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</si>
  <si>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</si>
  <si>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</si>
  <si>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</si>
  <si>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</si>
  <si>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</si>
  <si>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</si>
  <si>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</si>
  <si>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</si>
  <si>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</si>
  <si>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</si>
  <si>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</si>
  <si>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</si>
  <si>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</si>
  <si>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</si>
  <si>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</si>
  <si>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</si>
  <si>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</si>
  <si>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</si>
  <si>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</si>
  <si>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</si>
  <si>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</si>
  <si>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</si>
  <si>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</si>
  <si>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</si>
  <si>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</si>
  <si>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</si>
  <si>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</si>
  <si>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</si>
  <si>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</si>
  <si>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</si>
  <si>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</si>
  <si>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</si>
  <si>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</si>
  <si>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</si>
  <si>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</si>
  <si>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</si>
  <si>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</si>
  <si>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</si>
  <si>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</si>
  <si>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</si>
  <si>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</si>
  <si>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</si>
  <si>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</si>
  <si>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</si>
  <si>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</si>
  <si>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</si>
  <si>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</si>
  <si>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</si>
  <si>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</si>
  <si>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</si>
  <si>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</si>
  <si>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</si>
  <si>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</si>
  <si>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</si>
  <si>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</si>
  <si>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</si>
  <si>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</si>
  <si>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</si>
  <si>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</si>
  <si>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</si>
  <si>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</si>
  <si>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</si>
  <si>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</si>
  <si>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</si>
  <si>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</si>
  <si>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</si>
  <si>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</si>
  <si>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</si>
  <si>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</si>
  <si>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</si>
  <si>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</si>
  <si>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</si>
  <si>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</si>
  <si>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</si>
  <si>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</si>
  <si>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</si>
  <si>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</si>
  <si>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</si>
  <si>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</si>
  <si>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</si>
  <si>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</si>
  <si>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</si>
  <si>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</si>
  <si>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</si>
  <si>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</si>
  <si>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</si>
  <si>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</si>
  <si>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</si>
  <si>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</si>
  <si>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</si>
  <si>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</si>
  <si>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</si>
  <si>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</si>
  <si>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</si>
  <si>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</si>
  <si>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</si>
  <si>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</si>
  <si>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</si>
  <si>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</si>
  <si>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</si>
  <si>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</si>
  <si>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</si>
  <si>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</si>
  <si>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</si>
  <si>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</si>
  <si>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</si>
  <si>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</si>
  <si>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</si>
  <si>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</si>
  <si>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</si>
  <si>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</si>
  <si>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</si>
  <si>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</si>
  <si>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</si>
  <si>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</si>
  <si>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</si>
  <si>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</si>
  <si>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</si>
  <si>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</si>
  <si>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</si>
  <si>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</si>
  <si>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</si>
  <si>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</si>
  <si>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</si>
  <si>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</si>
  <si>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</si>
  <si>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</si>
  <si>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</si>
  <si>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</si>
  <si>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</si>
  <si>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</si>
  <si>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</si>
  <si>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</si>
  <si>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</si>
  <si>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</si>
  <si>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</si>
  <si>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</si>
  <si>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</si>
  <si>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</si>
  <si>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</si>
  <si>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</si>
  <si>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</si>
  <si>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</si>
  <si>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</si>
  <si>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</si>
  <si>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</si>
  <si>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</si>
  <si>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</si>
  <si>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</si>
  <si>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</si>
  <si>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</si>
  <si>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</si>
  <si>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</si>
  <si>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</si>
  <si>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</si>
  <si>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</si>
  <si>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</si>
  <si>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</si>
  <si>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</si>
  <si>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</si>
  <si>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</si>
  <si>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</si>
  <si>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</si>
  <si>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</si>
  <si>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</si>
  <si>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</si>
  <si>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</si>
  <si>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</si>
  <si>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</si>
  <si>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</si>
  <si>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</si>
  <si>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</si>
  <si>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</si>
  <si>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</si>
  <si>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</si>
  <si>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</si>
  <si>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</si>
  <si>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</si>
  <si>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</si>
  <si>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</si>
  <si>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</si>
  <si>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</si>
  <si>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</si>
  <si>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</si>
  <si>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</si>
  <si>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</si>
  <si>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</si>
  <si>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</si>
  <si>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</si>
  <si>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</si>
  <si>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</si>
  <si>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</si>
  <si>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</si>
  <si>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</si>
  <si>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</si>
  <si>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</si>
  <si>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</si>
  <si>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</si>
  <si>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</si>
  <si>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</si>
  <si>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</si>
  <si>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</si>
  <si>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</si>
  <si>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</si>
  <si>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</si>
  <si>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</si>
  <si>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</si>
  <si>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</si>
  <si>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</si>
  <si>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</si>
  <si>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</si>
  <si>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</si>
  <si>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</si>
  <si>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</si>
  <si>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</si>
  <si>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</si>
  <si>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</si>
  <si>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</si>
  <si>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</si>
  <si>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</si>
  <si>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</si>
  <si>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</si>
  <si>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</si>
  <si>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</si>
  <si>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</si>
  <si>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</si>
  <si>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</si>
  <si>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</si>
  <si>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</si>
  <si>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</si>
  <si>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</si>
  <si>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</si>
  <si>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</si>
  <si>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</si>
  <si>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</si>
  <si>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</si>
  <si>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</si>
  <si>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</si>
  <si>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</si>
  <si>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</si>
  <si>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</si>
  <si>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</si>
  <si>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</si>
  <si>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</si>
  <si>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</si>
  <si>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</si>
  <si>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</si>
  <si>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</si>
  <si>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</si>
  <si>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</si>
  <si>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</si>
  <si>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</si>
  <si>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</si>
  <si>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</si>
  <si>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</si>
  <si>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</si>
  <si>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</si>
  <si>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</si>
  <si>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</si>
  <si>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</si>
  <si>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</si>
  <si>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</si>
  <si>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</si>
  <si>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</si>
  <si>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</si>
  <si>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</si>
  <si>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</si>
  <si>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</si>
  <si>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</si>
  <si>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</si>
  <si>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</si>
  <si>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</si>
  <si>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</si>
  <si>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</si>
  <si>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</si>
  <si>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</si>
  <si>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</si>
  <si>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</si>
  <si>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</si>
  <si>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</si>
  <si>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</si>
  <si>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</si>
  <si>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</si>
  <si>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</si>
  <si>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</si>
  <si>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</si>
  <si>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</si>
  <si>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</si>
  <si>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</si>
  <si>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</si>
  <si>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</si>
  <si>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</si>
  <si>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</si>
  <si>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</si>
  <si>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</si>
  <si>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</si>
  <si>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</si>
  <si>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</si>
  <si>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</si>
  <si>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</si>
  <si>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</si>
  <si>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</si>
  <si>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</si>
  <si>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</si>
  <si>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</si>
  <si>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</si>
  <si>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</si>
  <si>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</si>
  <si>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</si>
  <si>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</si>
  <si>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</si>
  <si>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</si>
  <si>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</si>
  <si>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</si>
  <si>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</si>
  <si>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</si>
  <si>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</si>
  <si>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</si>
  <si>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</si>
  <si>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</si>
  <si>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</si>
  <si>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</si>
  <si>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</si>
  <si>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</si>
  <si>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</si>
  <si>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</si>
  <si>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</si>
  <si>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</si>
  <si>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</si>
  <si>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</si>
  <si>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</si>
  <si>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</si>
  <si>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</si>
  <si>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</si>
  <si>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</si>
  <si>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</si>
  <si>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</si>
  <si>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</si>
  <si>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</si>
  <si>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</si>
  <si>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</si>
  <si>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</si>
  <si>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</si>
  <si>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</si>
  <si>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</si>
  <si>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</si>
  <si>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</si>
  <si>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</si>
  <si>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</si>
  <si>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</si>
  <si>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</si>
  <si>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</si>
  <si>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</si>
  <si>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</si>
  <si>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</si>
  <si>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</si>
  <si>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</si>
  <si>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</si>
  <si>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</si>
  <si>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</si>
  <si>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</si>
  <si>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</si>
  <si>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</si>
  <si>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</si>
  <si>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</si>
  <si>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</si>
  <si>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</si>
  <si>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</si>
  <si>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</si>
  <si>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</si>
  <si>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</si>
  <si>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</si>
  <si>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</si>
  <si>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</si>
  <si>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</si>
  <si>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</si>
  <si>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</si>
  <si>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</si>
  <si>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</si>
  <si>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</si>
  <si>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</si>
  <si>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</si>
  <si>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</si>
  <si>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</si>
  <si>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</si>
  <si>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</si>
  <si>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</si>
  <si>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</si>
  <si>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</si>
  <si>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</si>
  <si>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</si>
  <si>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</si>
  <si>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</si>
  <si>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</si>
  <si>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</si>
  <si>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</si>
  <si>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</si>
  <si>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</si>
  <si>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</si>
  <si>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</si>
  <si>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</si>
  <si>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</si>
  <si>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</si>
  <si>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</si>
  <si>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</si>
  <si>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</si>
  <si>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</si>
  <si>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</si>
  <si>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</si>
  <si>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</si>
  <si>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</si>
  <si>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</si>
  <si>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</si>
  <si>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</si>
  <si>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</si>
  <si>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</si>
  <si>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</si>
  <si>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</si>
  <si>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</si>
  <si>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</si>
  <si>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</si>
  <si>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</si>
  <si>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</si>
  <si>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</si>
  <si>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</si>
  <si>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</si>
  <si>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</si>
  <si>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</si>
  <si>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</si>
  <si>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</si>
  <si>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</si>
  <si>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</si>
  <si>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</si>
  <si>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</si>
  <si>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</si>
  <si>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</si>
  <si>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</si>
  <si>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</si>
  <si>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</si>
  <si>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</si>
  <si>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</si>
  <si>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</si>
  <si>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</si>
  <si>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</si>
  <si>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</si>
  <si>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</si>
  <si>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</si>
  <si>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</si>
  <si>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</si>
  <si>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</si>
  <si>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</si>
  <si>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</si>
  <si>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</si>
  <si>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</si>
  <si>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</si>
  <si>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</si>
  <si>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</si>
  <si>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</si>
  <si>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</si>
  <si>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</si>
  <si>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</si>
  <si>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</si>
  <si>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</si>
  <si>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</si>
  <si>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</si>
  <si>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</si>
  <si>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</si>
  <si>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</si>
  <si>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</si>
  <si>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</si>
  <si>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</si>
  <si>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</si>
  <si>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</si>
  <si>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</si>
  <si>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</si>
  <si>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</si>
  <si>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</si>
  <si>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</si>
  <si>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</si>
  <si>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</si>
  <si>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</si>
  <si>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</si>
  <si>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</si>
  <si>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</si>
  <si>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</si>
  <si>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</si>
  <si>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</si>
  <si>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</si>
  <si>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</si>
  <si>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</si>
  <si>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</si>
  <si>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</si>
  <si>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</si>
  <si>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</si>
  <si>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</si>
  <si>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</si>
  <si>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</si>
  <si>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</si>
  <si>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</si>
  <si>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</si>
  <si>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</si>
  <si>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</si>
  <si>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</si>
  <si>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</si>
  <si>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</si>
  <si>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</si>
  <si>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</si>
  <si>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</si>
  <si>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</si>
  <si>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</si>
  <si>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</si>
  <si>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</si>
  <si>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</si>
  <si>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</si>
  <si>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</si>
  <si>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</si>
  <si>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</si>
  <si>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</si>
  <si>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</si>
  <si>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</si>
  <si>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</si>
  <si>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</si>
  <si>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</si>
  <si>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</si>
  <si>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</si>
  <si>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</si>
  <si>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</si>
  <si>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</si>
  <si>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</si>
  <si>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</si>
  <si>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</si>
  <si>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</si>
  <si>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</si>
  <si>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</si>
  <si>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</si>
  <si>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</si>
  <si>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</si>
  <si>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</si>
  <si>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</si>
  <si>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</si>
  <si>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</si>
  <si>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</si>
  <si>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</si>
  <si>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</si>
  <si>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</si>
  <si>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</si>
  <si>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</si>
  <si>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</si>
  <si>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</si>
  <si>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</si>
  <si>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</si>
  <si>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</si>
  <si>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</si>
  <si>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</si>
  <si>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</si>
  <si>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</si>
  <si>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</si>
  <si>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</si>
  <si>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</si>
  <si>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</si>
  <si>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</si>
  <si>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</si>
  <si>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</si>
  <si>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</si>
  <si>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</si>
  <si>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</si>
  <si>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</si>
  <si>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</si>
  <si>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</si>
  <si>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</si>
  <si>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</si>
  <si>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</si>
  <si>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</si>
  <si>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</si>
  <si>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</si>
  <si>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</si>
  <si>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</si>
  <si>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</si>
  <si>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</si>
  <si>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</si>
  <si>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</si>
  <si>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</si>
  <si>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</si>
  <si>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</si>
  <si>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</si>
  <si>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</si>
  <si>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</si>
  <si>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</si>
  <si>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</si>
  <si>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</si>
  <si>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</si>
  <si>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</si>
  <si>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</si>
  <si>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</si>
  <si>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</si>
  <si>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</si>
  <si>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</si>
  <si>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</si>
  <si>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</si>
  <si>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</si>
  <si>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</si>
  <si>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</si>
  <si>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</si>
  <si>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</si>
  <si>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</si>
  <si>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</si>
  <si>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</si>
  <si>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</si>
  <si>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</si>
  <si>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</si>
  <si>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</si>
  <si>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</si>
  <si>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</si>
  <si>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</si>
  <si>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</si>
  <si>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</si>
  <si>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</si>
  <si>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</si>
  <si>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</si>
  <si>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</si>
  <si>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</si>
  <si>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</si>
  <si>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</si>
  <si>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</si>
  <si>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</si>
  <si>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</si>
  <si>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</si>
  <si>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</si>
  <si>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</si>
  <si>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</si>
  <si>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</si>
  <si>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</si>
  <si>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</si>
  <si>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</si>
  <si>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</si>
  <si>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</si>
  <si>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</si>
  <si>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</si>
  <si>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</si>
  <si>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</si>
  <si>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</si>
  <si>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</si>
  <si>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</si>
  <si>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</si>
  <si>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</si>
  <si>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</si>
  <si>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</si>
  <si>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</si>
  <si>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</si>
  <si>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</si>
  <si>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</si>
  <si>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</si>
  <si>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</si>
  <si>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</si>
  <si>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</si>
  <si>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</si>
  <si>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</si>
  <si>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</si>
  <si>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</si>
  <si>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</si>
  <si>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</si>
  <si>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</si>
  <si>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</si>
  <si>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</si>
  <si>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</si>
  <si>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</si>
  <si>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</si>
  <si>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</si>
  <si>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</si>
  <si>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</si>
  <si>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</si>
  <si>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</si>
  <si>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</si>
  <si>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</si>
  <si>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</si>
  <si>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</si>
  <si>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</si>
  <si>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</si>
  <si>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</si>
  <si>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</si>
  <si>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</si>
  <si>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</si>
  <si>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</si>
  <si>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</si>
  <si>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</si>
  <si>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</si>
  <si>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</si>
  <si>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</si>
  <si>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</si>
  <si>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</si>
  <si>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</si>
  <si>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</si>
  <si>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</si>
  <si>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</si>
  <si>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</si>
  <si>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</si>
  <si>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</si>
  <si>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</si>
  <si>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</si>
  <si>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</si>
  <si>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</si>
  <si>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</si>
  <si>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</si>
  <si>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</si>
  <si>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</si>
  <si>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</si>
  <si>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</si>
  <si>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</si>
  <si>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</si>
  <si>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</si>
  <si>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</si>
  <si>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</si>
  <si>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</si>
  <si>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</si>
  <si>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</si>
  <si>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</si>
  <si>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</si>
  <si>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</si>
  <si>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</si>
  <si>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</si>
  <si>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</si>
  <si>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</si>
  <si>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</si>
  <si>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</si>
  <si>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</si>
  <si>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</si>
  <si>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</si>
  <si>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</si>
  <si>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</si>
  <si>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</si>
  <si>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</si>
  <si>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</si>
  <si>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</si>
  <si>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</si>
  <si>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</si>
  <si>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</si>
  <si>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</si>
  <si>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</si>
  <si>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</si>
  <si>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</si>
  <si>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</si>
  <si>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</si>
  <si>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</si>
  <si>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</si>
  <si>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</si>
  <si>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</si>
  <si>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</si>
  <si>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</si>
  <si>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</si>
  <si>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</si>
  <si>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</si>
  <si>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</si>
  <si>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</si>
  <si>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</si>
  <si>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</si>
  <si>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</si>
  <si>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</si>
  <si>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</si>
  <si>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</si>
  <si>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</si>
  <si>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</si>
  <si>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</si>
  <si>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</si>
  <si>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</si>
  <si>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</si>
  <si>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</si>
  <si>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</si>
  <si>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</si>
  <si>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</si>
  <si>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</si>
  <si>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</si>
  <si>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</si>
  <si>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</si>
  <si>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</si>
  <si>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</si>
  <si>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</si>
  <si>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</si>
  <si>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</si>
  <si>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</si>
  <si>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</si>
  <si>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</si>
  <si>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</si>
  <si>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</si>
  <si>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</si>
  <si>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</si>
  <si>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</si>
  <si>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</si>
  <si>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</si>
  <si>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</si>
  <si>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</si>
  <si>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</si>
  <si>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</si>
  <si>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</si>
  <si>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</si>
  <si>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</si>
  <si>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</si>
  <si>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</si>
  <si>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</si>
  <si>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</si>
  <si>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</si>
  <si>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</si>
  <si>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</si>
  <si>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</si>
  <si>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</si>
  <si>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</si>
  <si>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</si>
  <si>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</si>
  <si>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</si>
  <si>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</si>
  <si>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</si>
  <si>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</si>
  <si>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</si>
  <si>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</si>
  <si>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</si>
  <si>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</si>
  <si>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</si>
  <si>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</si>
  <si>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</si>
  <si>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</si>
  <si>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</si>
  <si>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</si>
  <si>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</si>
  <si>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</si>
  <si>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</si>
  <si>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</si>
  <si>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</si>
  <si>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</si>
  <si>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</si>
  <si>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</si>
  <si>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</si>
  <si>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</si>
  <si>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</si>
  <si>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</si>
  <si>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</si>
  <si>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</si>
  <si>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</si>
  <si>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</si>
  <si>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</si>
  <si>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</si>
  <si>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</si>
  <si>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</si>
  <si>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</si>
  <si>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</si>
  <si>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</si>
  <si>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</si>
  <si>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</si>
  <si>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</si>
  <si>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</si>
  <si>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</si>
  <si>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</si>
  <si>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</si>
  <si>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</si>
  <si>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</si>
  <si>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</si>
  <si>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</si>
  <si>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</si>
  <si>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</si>
  <si>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</si>
  <si>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</si>
  <si>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</si>
  <si>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</si>
  <si>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</si>
  <si>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</si>
  <si>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</si>
  <si>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</si>
  <si>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</si>
  <si>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</si>
  <si>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</si>
  <si>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</si>
  <si>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</si>
  <si>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</si>
  <si>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</si>
  <si>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</si>
  <si>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</si>
  <si>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</si>
  <si>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</si>
  <si>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</si>
  <si>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</si>
  <si>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</si>
  <si>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</si>
  <si>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</si>
  <si>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</si>
  <si>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</si>
  <si>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</si>
  <si>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</si>
  <si>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</si>
  <si>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</si>
  <si>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</si>
  <si>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</si>
  <si>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</si>
  <si>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</si>
  <si>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</si>
  <si>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</si>
  <si>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</si>
  <si>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</si>
  <si>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</si>
  <si>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</si>
  <si>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</si>
  <si>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</si>
  <si>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</si>
  <si>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</si>
  <si>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</si>
  <si>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</si>
  <si>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</si>
  <si>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</si>
  <si>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</si>
  <si>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</si>
  <si>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</si>
  <si>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</si>
  <si>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</si>
  <si>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</si>
  <si>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</si>
  <si>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</si>
  <si>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</si>
  <si>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</si>
  <si>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</si>
  <si>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</si>
  <si>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</si>
  <si>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</si>
  <si>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</si>
  <si>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</si>
  <si>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</si>
  <si>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</si>
  <si>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</si>
  <si>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</si>
  <si>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</si>
  <si>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</si>
  <si>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</si>
  <si>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</si>
  <si>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</si>
  <si>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</si>
  <si>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</si>
  <si>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</si>
  <si>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</si>
  <si>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</si>
  <si>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</si>
  <si>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</si>
  <si>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</si>
  <si>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</si>
  <si>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</si>
  <si>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</si>
  <si>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</si>
  <si>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</si>
  <si>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</si>
  <si>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</si>
  <si>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</si>
  <si>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</si>
  <si>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</si>
  <si>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</si>
  <si>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</si>
  <si>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</si>
  <si>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</si>
  <si>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</si>
  <si>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</si>
  <si>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</si>
  <si>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</si>
  <si>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</si>
  <si>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</si>
  <si>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</si>
  <si>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</si>
  <si>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</si>
  <si>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</si>
  <si>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</si>
  <si>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</si>
  <si>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</si>
  <si>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</si>
  <si>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</si>
  <si>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</si>
  <si>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</si>
  <si>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</si>
  <si>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</si>
  <si>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</si>
  <si>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</si>
  <si>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</si>
  <si>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</si>
  <si>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</si>
  <si>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</si>
  <si>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</si>
  <si>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</si>
  <si>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</si>
  <si>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</si>
  <si>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</si>
  <si>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</si>
  <si>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</si>
  <si>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</si>
  <si>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</si>
  <si>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</si>
  <si>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</si>
  <si>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</si>
  <si>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</si>
  <si>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</si>
  <si>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</si>
  <si>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</si>
  <si>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</si>
  <si>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</si>
  <si>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</si>
  <si>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</si>
  <si>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</si>
  <si>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</si>
  <si>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</si>
  <si>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</si>
  <si>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</si>
  <si>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</si>
  <si>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</si>
  <si>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</si>
  <si>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</si>
  <si>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</si>
  <si>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</si>
  <si>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</si>
  <si>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</si>
  <si>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</si>
  <si>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</si>
  <si>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</si>
  <si>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</si>
  <si>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</si>
  <si>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</si>
  <si>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</si>
  <si>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</si>
  <si>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</si>
  <si>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</si>
  <si>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</si>
  <si>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</si>
  <si>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</si>
  <si>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</si>
  <si>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</si>
  <si>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</si>
  <si>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</si>
  <si>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</si>
  <si>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</si>
  <si>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</si>
  <si>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</si>
  <si>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</si>
  <si>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</si>
  <si>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</si>
  <si>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</si>
  <si>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</si>
  <si>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</si>
  <si>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</si>
  <si>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</si>
  <si>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</si>
  <si>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</si>
  <si>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</si>
  <si>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</si>
  <si>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</si>
  <si>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</si>
  <si>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</si>
  <si>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</si>
  <si>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</si>
  <si>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</si>
  <si>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</si>
  <si>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</si>
  <si>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</si>
  <si>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</si>
  <si>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</si>
  <si>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</si>
  <si>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</si>
  <si>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</si>
  <si>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</si>
  <si>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</si>
  <si>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</si>
  <si>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</si>
  <si>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</si>
  <si>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</si>
  <si>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</si>
  <si>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</si>
  <si>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</si>
  <si>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</si>
  <si>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</si>
  <si>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</si>
  <si>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</si>
  <si>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</si>
  <si>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</si>
  <si>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</si>
  <si>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</si>
  <si>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</si>
  <si>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</si>
  <si>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</si>
  <si>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</si>
  <si>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</si>
  <si>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</si>
  <si>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</si>
  <si>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</si>
  <si>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</si>
  <si>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</si>
  <si>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</si>
  <si>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</si>
  <si>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</si>
  <si>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</si>
  <si>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</si>
  <si>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</si>
  <si>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</si>
  <si>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</si>
  <si>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</si>
  <si>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</si>
  <si>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</si>
  <si>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</si>
  <si>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</si>
  <si>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</si>
  <si>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</si>
  <si>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</si>
  <si>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</si>
  <si>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</si>
  <si>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</si>
  <si>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</si>
  <si>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</si>
  <si>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</si>
  <si>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</si>
  <si>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</si>
  <si>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</si>
  <si>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</si>
  <si>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</si>
  <si>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</si>
  <si>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</si>
  <si>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</si>
  <si>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</si>
  <si>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</si>
  <si>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</si>
  <si>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</si>
  <si>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</si>
  <si>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</si>
  <si>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</si>
  <si>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</si>
  <si>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</si>
  <si>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</si>
  <si>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</si>
  <si>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</si>
  <si>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</si>
  <si>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</si>
  <si>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</si>
  <si>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</si>
  <si>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</si>
  <si>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</si>
  <si>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</si>
  <si>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</si>
  <si>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</si>
  <si>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</si>
  <si>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</si>
  <si>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</si>
  <si>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</si>
  <si>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</si>
  <si>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</si>
  <si>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</si>
  <si>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</si>
  <si>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</si>
  <si>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</si>
  <si>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</si>
  <si>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</si>
  <si>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</si>
  <si>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</si>
  <si>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</si>
  <si>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</si>
  <si>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</si>
  <si>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</si>
  <si>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</si>
  <si>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</si>
  <si>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</si>
  <si>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</si>
  <si>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</si>
  <si>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</si>
  <si>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</si>
  <si>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</si>
  <si>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</si>
  <si>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</si>
  <si>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</si>
  <si>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</si>
  <si>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</si>
  <si>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</si>
  <si>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</si>
  <si>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</si>
  <si>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</si>
  <si>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</si>
  <si>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</si>
  <si>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</si>
  <si>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</si>
  <si>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</si>
  <si>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</si>
  <si>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</si>
  <si>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</si>
  <si>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</si>
  <si>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</si>
  <si>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</si>
  <si>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</si>
  <si>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</si>
  <si>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</si>
  <si>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</si>
  <si>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</si>
  <si>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</si>
  <si>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</si>
  <si>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</si>
  <si>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</si>
  <si>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</si>
  <si>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</si>
  <si>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</si>
  <si>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</si>
  <si>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</si>
  <si>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</si>
  <si>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</si>
  <si>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</si>
  <si>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</si>
  <si>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</si>
  <si>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</si>
  <si>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</si>
  <si>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</si>
  <si>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</si>
  <si>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</si>
  <si>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</si>
  <si>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</si>
  <si>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</si>
  <si>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</si>
  <si>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</si>
  <si>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</si>
  <si>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</si>
  <si>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</si>
  <si>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</si>
  <si>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</si>
  <si>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</si>
  <si>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</si>
  <si>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</si>
  <si>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</si>
  <si>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</si>
  <si>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</si>
  <si>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</si>
  <si>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</si>
  <si>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</si>
  <si>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</si>
  <si>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</si>
  <si>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</si>
  <si>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</si>
  <si>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</si>
  <si>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</si>
  <si>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</si>
  <si>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</si>
  <si>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</si>
  <si>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</si>
  <si>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</si>
  <si>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</si>
  <si>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</si>
  <si>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</si>
  <si>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</si>
  <si>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</si>
  <si>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</si>
  <si>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</si>
  <si>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</si>
  <si>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</si>
  <si>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</si>
  <si>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</si>
  <si>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</si>
  <si>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</si>
  <si>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</si>
  <si>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</si>
  <si>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</si>
  <si>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</si>
  <si>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</si>
  <si>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</si>
  <si>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</si>
  <si>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</si>
  <si>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</si>
  <si>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</si>
  <si>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</si>
  <si>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</si>
  <si>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</si>
  <si>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</si>
  <si>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</si>
  <si>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</si>
  <si>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</si>
  <si>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</si>
  <si>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</si>
  <si>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</si>
  <si>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</si>
  <si>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</si>
  <si>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</si>
  <si>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</si>
  <si>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</si>
  <si>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</si>
  <si>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</si>
  <si>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</si>
  <si>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</si>
  <si>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</si>
  <si>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</si>
  <si>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</si>
  <si>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</si>
  <si>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</si>
  <si>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</si>
  <si>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</si>
  <si>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</si>
  <si>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</si>
  <si>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</si>
  <si>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</si>
  <si>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</si>
  <si>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</si>
  <si>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</si>
  <si>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</si>
  <si>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</si>
  <si>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</si>
  <si>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</si>
  <si>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</si>
  <si>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</si>
  <si>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</si>
  <si>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</si>
  <si>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</si>
  <si>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</si>
  <si>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</si>
  <si>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</si>
  <si>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</si>
  <si>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</si>
  <si>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</si>
  <si>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</si>
  <si>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</si>
  <si>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</si>
  <si>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</si>
  <si>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</si>
  <si>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</si>
  <si>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</si>
  <si>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</si>
  <si>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</si>
  <si>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</si>
  <si>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</si>
  <si>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</si>
  <si>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</si>
  <si>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</si>
  <si>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</si>
  <si>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</si>
  <si>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</si>
  <si>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</si>
  <si>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</si>
  <si>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</si>
  <si>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</si>
  <si>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</si>
  <si>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</si>
  <si>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</si>
  <si>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</si>
  <si>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</si>
  <si>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</si>
  <si>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</si>
  <si>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</si>
  <si>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</si>
  <si>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</si>
  <si>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</si>
  <si>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</si>
  <si>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</si>
  <si>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</si>
  <si>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</si>
  <si>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</si>
  <si>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</si>
  <si>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</si>
  <si>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</si>
  <si>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</si>
  <si>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</si>
  <si>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</si>
  <si>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</si>
  <si>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</si>
  <si>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</si>
  <si>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</si>
  <si>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</si>
  <si>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</si>
  <si>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</si>
  <si>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</si>
  <si>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</si>
  <si>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</si>
  <si>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</si>
  <si>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</si>
  <si>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</si>
  <si>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</si>
  <si>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</si>
  <si>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</si>
  <si>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</si>
  <si>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</si>
  <si>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</si>
  <si>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</si>
  <si>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</si>
  <si>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</si>
  <si>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</si>
  <si>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</si>
  <si>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</si>
  <si>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</si>
  <si>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</si>
  <si>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</si>
  <si>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</si>
  <si>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</si>
  <si>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</si>
  <si>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</si>
  <si>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</si>
  <si>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</si>
  <si>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</si>
  <si>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</si>
  <si>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</si>
  <si>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</si>
  <si>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</si>
  <si>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</si>
  <si>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</si>
  <si>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</si>
  <si>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</si>
  <si>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</si>
  <si>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</si>
  <si>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</si>
  <si>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</si>
  <si>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</si>
  <si>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</si>
  <si>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</si>
  <si>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</si>
  <si>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</si>
  <si>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</si>
  <si>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</si>
  <si>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</si>
  <si>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</si>
  <si>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</si>
  <si>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</si>
  <si>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</si>
  <si>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</si>
  <si>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</si>
  <si>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</si>
  <si>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</si>
  <si>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</si>
  <si>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</si>
  <si>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</si>
  <si>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</si>
  <si>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</si>
  <si>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</si>
  <si>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</si>
  <si>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</si>
  <si>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</si>
  <si>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</si>
  <si>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</si>
  <si>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</si>
  <si>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</si>
  <si>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</si>
  <si>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</si>
  <si>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</si>
  <si>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</si>
  <si>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</si>
  <si>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</si>
  <si>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</si>
  <si>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</si>
  <si>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</si>
  <si>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</si>
  <si>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</si>
  <si>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</si>
  <si>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</si>
  <si>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</si>
  <si>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</si>
  <si>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</si>
  <si>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</si>
  <si>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</si>
  <si>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</si>
  <si>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</si>
  <si>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</si>
  <si>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</si>
  <si>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</si>
  <si>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</si>
  <si>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</si>
  <si>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</si>
  <si>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</si>
  <si>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</si>
  <si>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</si>
  <si>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</si>
  <si>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</si>
  <si>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</si>
  <si>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</si>
  <si>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</si>
  <si>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</si>
  <si>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</si>
  <si>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</si>
  <si>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</si>
  <si>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</si>
  <si>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</si>
  <si>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</si>
  <si>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</si>
  <si>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</si>
  <si>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</si>
  <si>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</si>
  <si>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</si>
  <si>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</si>
  <si>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</si>
  <si>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</si>
  <si>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</si>
  <si>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</si>
  <si>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</si>
  <si>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</si>
  <si>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</si>
  <si>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</si>
  <si>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</si>
  <si>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</si>
  <si>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</si>
  <si>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</si>
  <si>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</si>
  <si>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</si>
  <si>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</si>
  <si>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</si>
  <si>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</si>
  <si>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</si>
  <si>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</si>
  <si>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</si>
  <si>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</si>
  <si>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</si>
  <si>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</si>
  <si>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</si>
  <si>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</si>
  <si>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</si>
  <si>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</si>
  <si>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</si>
  <si>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</si>
  <si>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</si>
  <si>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</si>
  <si>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</si>
  <si>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</si>
  <si>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</si>
  <si>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</si>
  <si>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</si>
  <si>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</si>
  <si>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</si>
  <si>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</si>
  <si>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</si>
  <si>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</si>
  <si>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</si>
  <si>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</si>
  <si>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</si>
  <si>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</si>
  <si>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</si>
  <si>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</si>
  <si>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</si>
  <si>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</si>
  <si>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</si>
  <si>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</si>
  <si>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</si>
  <si>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</si>
  <si>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</si>
  <si>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</si>
  <si>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</si>
  <si>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</si>
  <si>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</si>
  <si>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</si>
  <si>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</si>
  <si>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</si>
  <si>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</si>
  <si>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</si>
  <si>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</si>
  <si>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</si>
  <si>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</si>
  <si>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</si>
  <si>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</si>
  <si>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</si>
  <si>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</si>
  <si>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</si>
  <si>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</si>
  <si>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</si>
  <si>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</si>
  <si>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</si>
  <si>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</si>
  <si>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</si>
  <si>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</si>
  <si>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</si>
  <si>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</si>
  <si>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</si>
  <si>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</si>
  <si>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</si>
  <si>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</si>
  <si>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</si>
  <si>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</si>
  <si>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</si>
  <si>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</si>
  <si>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</si>
  <si>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</si>
  <si>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</si>
  <si>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</si>
  <si>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</si>
  <si>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</si>
  <si>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</si>
  <si>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</si>
  <si>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</si>
  <si>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</si>
  <si>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</si>
  <si>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</si>
  <si>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</si>
  <si>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</si>
  <si>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</si>
  <si>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</si>
  <si>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</si>
  <si>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</si>
  <si>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</si>
  <si>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</si>
  <si>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</si>
  <si>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</si>
  <si>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</si>
  <si>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</si>
  <si>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</si>
  <si>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</si>
  <si>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</si>
  <si>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</si>
  <si>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</si>
  <si>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</si>
  <si>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</si>
  <si>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</si>
  <si>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</si>
  <si>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</si>
  <si>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</si>
  <si>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</si>
  <si>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</si>
  <si>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</si>
  <si>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</si>
  <si>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</si>
  <si>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</si>
  <si>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</si>
  <si>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</si>
  <si>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</si>
  <si>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</si>
  <si>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</si>
  <si>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</si>
  <si>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</si>
  <si>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</si>
  <si>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</si>
  <si>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</si>
  <si>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</si>
  <si>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</si>
  <si>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</si>
  <si>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</si>
  <si>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</si>
  <si>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</si>
  <si>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</si>
  <si>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</si>
  <si>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</si>
  <si>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</si>
  <si>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</si>
  <si>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</si>
  <si>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</si>
  <si>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</si>
  <si>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</si>
  <si>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</si>
  <si>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</si>
  <si>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</si>
  <si>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</si>
  <si>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</si>
  <si>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</si>
  <si>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</si>
  <si>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</si>
  <si>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</si>
  <si>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</si>
  <si>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</si>
  <si>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</si>
  <si>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</si>
  <si>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</si>
  <si>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</si>
  <si>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</si>
  <si>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</si>
  <si>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</si>
  <si>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</si>
  <si>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</si>
  <si>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</si>
  <si>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</si>
  <si>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</si>
  <si>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</si>
  <si>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</si>
  <si>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</si>
  <si>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</si>
  <si>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</si>
  <si>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</si>
  <si>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</si>
  <si>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</si>
  <si>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</si>
  <si>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</si>
  <si>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</si>
  <si>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</si>
  <si>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</si>
  <si>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</si>
  <si>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</si>
  <si>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</si>
  <si>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</si>
  <si>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</si>
  <si>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</si>
  <si>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</si>
  <si>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</si>
  <si>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</si>
  <si>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</si>
  <si>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</si>
  <si>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</si>
  <si>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</si>
  <si>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</si>
  <si>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</si>
  <si>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</si>
  <si>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</si>
  <si>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</si>
  <si>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</si>
  <si>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</si>
  <si>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</si>
  <si>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</si>
  <si>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</si>
  <si>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</si>
  <si>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</si>
  <si>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</si>
  <si>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</si>
  <si>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</si>
  <si>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</si>
  <si>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</si>
  <si>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</si>
  <si>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</si>
  <si>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</si>
  <si>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</si>
  <si>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</si>
  <si>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</si>
  <si>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</si>
  <si>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</si>
  <si>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</si>
  <si>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</si>
  <si>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</si>
  <si>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</si>
  <si>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</si>
  <si>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</si>
  <si>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</si>
  <si>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</si>
  <si>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</si>
  <si>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</si>
  <si>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</si>
  <si>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</si>
  <si>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</si>
  <si>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</si>
  <si>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</si>
  <si>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</si>
  <si>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</si>
  <si>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</si>
  <si>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</si>
  <si>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</si>
  <si>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</si>
  <si>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</si>
  <si>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</si>
  <si>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</si>
  <si>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</si>
  <si>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</si>
  <si>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</si>
  <si>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</si>
  <si>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</si>
  <si>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</si>
  <si>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</si>
  <si>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</si>
  <si>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</si>
  <si>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</si>
  <si>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</si>
  <si>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</si>
  <si>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</si>
  <si>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</si>
  <si>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</si>
  <si>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</si>
  <si>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</si>
  <si>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</si>
  <si>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</si>
  <si>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</si>
  <si>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</si>
  <si>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</si>
  <si>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</si>
  <si>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</si>
  <si>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</si>
  <si>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</si>
  <si>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</si>
  <si>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</si>
  <si>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</si>
  <si>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</si>
  <si>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</si>
  <si>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</si>
  <si>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</si>
  <si>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</si>
  <si>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</si>
  <si>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</si>
  <si>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</si>
  <si>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</si>
  <si>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</si>
  <si>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</si>
  <si>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</si>
  <si>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</si>
  <si>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</si>
  <si>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</si>
  <si>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</si>
  <si>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</si>
  <si>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</si>
  <si>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</si>
  <si>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</si>
  <si>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</si>
  <si>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</si>
  <si>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</si>
  <si>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</si>
  <si>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</si>
  <si>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</si>
  <si>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</si>
  <si>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</si>
  <si>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</si>
  <si>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</si>
  <si>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</si>
  <si>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</si>
  <si>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</si>
  <si>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</si>
  <si>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</si>
  <si>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</si>
  <si>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</si>
  <si>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</si>
  <si>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</si>
  <si>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</si>
  <si>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</si>
  <si>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</si>
  <si>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</si>
  <si>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</si>
  <si>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</si>
  <si>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</si>
  <si>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</si>
  <si>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</si>
  <si>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</si>
  <si>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</si>
  <si>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</si>
  <si>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</si>
  <si>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</si>
  <si>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</si>
  <si>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</si>
  <si>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</si>
  <si>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</si>
  <si>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</si>
  <si>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</si>
  <si>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</si>
  <si>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</si>
  <si>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</si>
  <si>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</si>
  <si>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</si>
  <si>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</si>
  <si>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</si>
  <si>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</si>
  <si>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</si>
  <si>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</si>
  <si>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</si>
  <si>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</si>
  <si>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</si>
  <si>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</si>
  <si>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</si>
  <si>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</si>
  <si>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</si>
  <si>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</si>
  <si>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</si>
  <si>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</si>
  <si>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</si>
  <si>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</si>
  <si>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</si>
  <si>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</si>
  <si>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</si>
  <si>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</si>
  <si>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</si>
  <si>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</si>
  <si>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</si>
  <si>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</si>
  <si>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</si>
  <si>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</si>
  <si>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</si>
  <si>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</si>
  <si>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</si>
  <si>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</si>
  <si>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</si>
  <si>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</si>
  <si>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</si>
  <si>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</si>
  <si>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</si>
  <si>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</si>
  <si>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</si>
  <si>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</si>
  <si>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</si>
  <si>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</si>
  <si>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</si>
  <si>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</si>
  <si>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</si>
  <si>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</si>
  <si>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</si>
  <si>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</si>
  <si>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</si>
  <si>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</si>
  <si>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</si>
  <si>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</si>
  <si>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</si>
  <si>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</si>
  <si>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</si>
  <si>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</si>
  <si>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</si>
  <si>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</si>
  <si>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</si>
  <si>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</si>
  <si>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</si>
  <si>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</si>
  <si>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</si>
  <si>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</si>
  <si>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</si>
  <si>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</si>
  <si>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</si>
  <si>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</si>
  <si>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</si>
  <si>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</si>
  <si>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</si>
  <si>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</si>
  <si>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</si>
  <si>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</si>
  <si>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</si>
  <si>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</si>
  <si>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</si>
  <si>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</si>
  <si>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</si>
  <si>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</si>
  <si>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</si>
  <si>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</si>
  <si>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</si>
  <si>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</si>
  <si>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</si>
  <si>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</si>
  <si>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</si>
  <si>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</si>
  <si>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</si>
  <si>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</si>
  <si>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</si>
  <si>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</si>
  <si>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</si>
  <si>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</si>
  <si>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</si>
  <si>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</si>
  <si>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</si>
  <si>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</si>
  <si>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</si>
  <si>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</si>
  <si>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</si>
  <si>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</si>
  <si>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</si>
  <si>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</si>
  <si>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</si>
  <si>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</si>
  <si>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</si>
  <si>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</si>
  <si>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</si>
  <si>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</si>
  <si>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</si>
  <si>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</si>
  <si>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</si>
  <si>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</si>
  <si>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</si>
  <si>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</si>
  <si>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</si>
  <si>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</si>
  <si>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</si>
  <si>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</si>
  <si>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</si>
  <si>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</si>
  <si>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</si>
  <si>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</si>
  <si>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</si>
  <si>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</si>
  <si>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</si>
  <si>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</si>
  <si>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</si>
  <si>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</si>
  <si>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</si>
  <si>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</si>
  <si>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</si>
  <si>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</si>
  <si>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</si>
  <si>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</si>
  <si>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</si>
  <si>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</si>
  <si>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</si>
  <si>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</si>
  <si>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</si>
  <si>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</si>
  <si>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</si>
  <si>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</si>
  <si>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</si>
  <si>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</si>
  <si>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</si>
  <si>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</si>
  <si>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</si>
  <si>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</si>
  <si>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</si>
  <si>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</si>
  <si>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</si>
  <si>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</si>
  <si>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</si>
  <si>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</si>
  <si>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</si>
  <si>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</si>
  <si>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</si>
  <si>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</si>
  <si>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</si>
  <si>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</si>
  <si>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</si>
  <si>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</si>
  <si>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</si>
  <si>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</si>
  <si>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</si>
  <si>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</si>
  <si>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</si>
  <si>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</si>
  <si>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</si>
  <si>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</si>
  <si>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</si>
  <si>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</si>
  <si>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</si>
  <si>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</si>
  <si>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</si>
  <si>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</si>
  <si>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</si>
  <si>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</si>
  <si>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</si>
  <si>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</si>
  <si>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</si>
  <si>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</si>
  <si>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</si>
  <si>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</si>
  <si>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</si>
  <si>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</si>
  <si>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</si>
  <si>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</si>
  <si>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</si>
  <si>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</si>
  <si>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</si>
  <si>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</si>
  <si>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</si>
  <si>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</si>
  <si>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</si>
  <si>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</si>
  <si>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</si>
  <si>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</si>
  <si>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</si>
  <si>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</si>
  <si>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</si>
  <si>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</si>
  <si>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</si>
  <si>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</si>
  <si>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</si>
  <si>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</si>
  <si>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</si>
  <si>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</si>
  <si>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</si>
  <si>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</si>
  <si>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</si>
  <si>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</si>
  <si>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</si>
  <si>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</si>
  <si>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</si>
  <si>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</si>
  <si>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</si>
  <si>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</si>
  <si>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</si>
  <si>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</si>
  <si>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</si>
  <si>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</si>
  <si>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</si>
  <si>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</si>
  <si>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</si>
  <si>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</si>
  <si>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</si>
  <si>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</si>
  <si>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</si>
  <si>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</si>
  <si>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</si>
  <si>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</si>
  <si>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</si>
  <si>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</si>
  <si>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</si>
  <si>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</si>
  <si>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</si>
  <si>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</si>
  <si>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</si>
  <si>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</si>
  <si>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</si>
  <si>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</si>
  <si>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</si>
  <si>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</si>
  <si>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</si>
  <si>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</si>
  <si>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</si>
  <si>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</si>
  <si>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</si>
  <si>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</si>
  <si>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</si>
  <si>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</si>
  <si>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</si>
  <si>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</si>
  <si>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</si>
  <si>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</si>
  <si>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</si>
  <si>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</si>
  <si>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</si>
  <si>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</si>
  <si>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</si>
  <si>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</si>
  <si>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</si>
  <si>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</si>
  <si>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</si>
  <si>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</si>
  <si>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</si>
  <si>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</si>
  <si>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</si>
  <si>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</si>
  <si>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</si>
  <si>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</si>
  <si>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</si>
  <si>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</si>
  <si>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</si>
  <si>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</si>
  <si>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</si>
  <si>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</si>
  <si>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</si>
  <si>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</si>
  <si>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</si>
  <si>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</si>
  <si>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</si>
  <si>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</si>
  <si>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</si>
  <si>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</si>
  <si>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</si>
  <si>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</si>
  <si>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</si>
  <si>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</si>
  <si>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</si>
  <si>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</si>
  <si>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</si>
  <si>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</si>
  <si>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</si>
  <si>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</si>
  <si>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</si>
  <si>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</si>
  <si>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</si>
  <si>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</si>
  <si>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</si>
  <si>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</si>
  <si>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</si>
  <si>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</si>
  <si>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</si>
  <si>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</si>
  <si>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</si>
  <si>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</si>
  <si>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</si>
  <si>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</si>
  <si>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</si>
  <si>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</si>
  <si>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</si>
  <si>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</si>
  <si>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</si>
  <si>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</si>
  <si>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</si>
  <si>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</si>
  <si>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</si>
  <si>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</si>
  <si>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</si>
  <si>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</si>
  <si>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</si>
  <si>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</si>
  <si>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</si>
  <si>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</si>
  <si>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</si>
  <si>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</si>
  <si>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</si>
  <si>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</si>
  <si>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</si>
  <si>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</si>
  <si>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</si>
  <si>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</si>
  <si>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</si>
  <si>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</si>
  <si>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</si>
  <si>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</si>
  <si>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</si>
  <si>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</si>
  <si>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</si>
  <si>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</si>
  <si>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</si>
  <si>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</si>
  <si>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</si>
  <si>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</si>
  <si>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</si>
  <si>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</si>
  <si>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</si>
  <si>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</si>
  <si>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</si>
  <si>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</si>
  <si>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</si>
  <si>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</si>
  <si>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</si>
  <si>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</si>
  <si>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</si>
  <si>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</si>
  <si>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</si>
  <si>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</si>
  <si>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</si>
  <si>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</si>
  <si>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</si>
  <si>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</si>
  <si>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</si>
  <si>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</si>
  <si>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</si>
  <si>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</si>
  <si>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</si>
  <si>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</si>
  <si>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</si>
  <si>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</si>
  <si>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</si>
  <si>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</si>
  <si>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</si>
  <si>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</si>
  <si>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</si>
  <si>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</si>
  <si>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</si>
  <si>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</si>
  <si>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</si>
  <si>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</si>
  <si>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</si>
  <si>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</si>
  <si>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</si>
  <si>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</si>
  <si>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</si>
  <si>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</si>
  <si>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</si>
  <si>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</si>
  <si>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</si>
  <si>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</si>
  <si>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</si>
  <si>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</si>
  <si>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</si>
  <si>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</si>
  <si>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</si>
  <si>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</si>
  <si>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r>
      <rPr>
        <sz val="10"/>
        <color theme="9" tint="-0.249977111117893"/>
        <rFont val="宋体"/>
        <family val="3"/>
        <charset val="134"/>
      </rPr>
      <t>顺义区富林路</t>
    </r>
    <r>
      <rPr>
        <sz val="10"/>
        <color theme="9" tint="-0.249977111117893"/>
        <rFont val="Arial"/>
        <family val="2"/>
      </rPr>
      <t>50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204</t>
    </r>
    <phoneticPr fontId="6" type="noConversion"/>
  </si>
  <si>
    <t>商业</t>
    <phoneticPr fontId="6" type="noConversion"/>
  </si>
  <si>
    <t>商业项目</t>
  </si>
  <si>
    <t>现房</t>
  </si>
  <si>
    <t>Ⅶ-顺1</t>
  </si>
  <si>
    <t>是</t>
  </si>
  <si>
    <t>地上</t>
  </si>
  <si>
    <t>竣工</t>
    <phoneticPr fontId="3" type="noConversion"/>
  </si>
  <si>
    <t>根据产权证</t>
    <phoneticPr fontId="3" type="noConversion"/>
  </si>
  <si>
    <t>直线</t>
    <phoneticPr fontId="3" type="noConversion"/>
  </si>
  <si>
    <t>成新度</t>
  </si>
  <si>
    <t>年租金</t>
    <phoneticPr fontId="3" type="noConversion"/>
  </si>
  <si>
    <t>日租金</t>
    <phoneticPr fontId="3" type="noConversion"/>
  </si>
  <si>
    <t>收益法</t>
  </si>
  <si>
    <t>自定义容积率</t>
  </si>
  <si>
    <t>不临65条商业街</t>
  </si>
  <si>
    <t>与级别开发程度不一致</t>
  </si>
  <si>
    <t>通路</t>
  </si>
  <si>
    <t>通电</t>
  </si>
  <si>
    <t>通讯</t>
  </si>
  <si>
    <t>通上水</t>
  </si>
  <si>
    <t>通下水</t>
  </si>
  <si>
    <t>通热</t>
  </si>
  <si>
    <t>平整</t>
  </si>
  <si>
    <t>一般</t>
  </si>
  <si>
    <t>较差</t>
  </si>
  <si>
    <t>较好</t>
  </si>
  <si>
    <t>好</t>
  </si>
  <si>
    <t>未包含在土地购买价格中</t>
  </si>
  <si>
    <t>已包含在土地取得成本中</t>
  </si>
  <si>
    <t>全部缴纳</t>
  </si>
  <si>
    <t>押一</t>
  </si>
  <si>
    <t>钢混</t>
  </si>
  <si>
    <t>非生产用房</t>
  </si>
  <si>
    <t>否</t>
  </si>
  <si>
    <t>成本法</t>
  </si>
  <si>
    <r>
      <t>2024</t>
    </r>
    <r>
      <rPr>
        <sz val="10"/>
        <color indexed="8"/>
        <rFont val="宋体"/>
        <family val="3"/>
        <charset val="134"/>
      </rPr>
      <t>年富林路</t>
    </r>
    <r>
      <rPr>
        <sz val="10"/>
        <color indexed="8"/>
        <rFont val="Arial"/>
        <family val="2"/>
      </rPr>
      <t>50</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4-11</t>
    </r>
    <r>
      <rPr>
        <sz val="10"/>
        <color indexed="8"/>
        <rFont val="宋体"/>
        <family val="3"/>
        <charset val="134"/>
      </rPr>
      <t>层酒店</t>
    </r>
    <phoneticPr fontId="8" type="noConversion"/>
  </si>
  <si>
    <t>总价</t>
  </si>
  <si>
    <t>总价</t>
    <phoneticPr fontId="8" type="noConversion"/>
  </si>
  <si>
    <t>万元</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</si>
  <si>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</si>
  <si>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单价</t>
    <phoneticPr fontId="8" type="noConversion"/>
  </si>
  <si>
    <t>基准地价选的旅馆用地，建行项目，租金未取增长率</t>
    <phoneticPr fontId="8" type="noConversion"/>
  </si>
  <si>
    <t>成本比率</t>
  </si>
  <si>
    <r>
      <t>2024</t>
    </r>
    <r>
      <rPr>
        <sz val="11"/>
        <color indexed="8"/>
        <rFont val="宋体"/>
        <family val="3"/>
        <charset val="134"/>
      </rPr>
      <t>年取值</t>
    </r>
    <phoneticPr fontId="3"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</si>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</sst>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7" fillId="6" borderId="0" xfId="0" applyFont="1" applyFill="1" applyProtection="1">
      <alignment vertical="center"/>
      <protection locked="0"/>
    </xf>
    <xf numFmtId="0" fontId="273"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16</xdr:row>
      <xdr:rowOff>152400</xdr:rowOff>
    </xdr:from>
    <xdr:to>
      <xdr:col>27</xdr:col>
      <xdr:colOff>361614</xdr:colOff>
      <xdr:row>21</xdr:row>
      <xdr:rowOff>18952</xdr:rowOff>
    </xdr:to>
    <xdr:pic>
      <xdr:nvPicPr>
        <xdr:cNvPr id="2" name="图片 1">
          <a:extLst>
            <a:ext uri="{FF2B5EF4-FFF2-40B4-BE49-F238E27FC236}">
              <a16:creationId xmlns:a16="http://schemas.microsoft.com/office/drawing/2014/main" xmlns="" id="{CBBA4233-73BF-1518-E682-6FBA0037E0CA}"/>
            </a:ext>
          </a:extLst>
        </xdr:cNvPr>
        <xdr:cNvPicPr>
          <a:picLocks noChangeAspect="1"/>
        </xdr:cNvPicPr>
      </xdr:nvPicPr>
      <xdr:blipFill>
        <a:blip xmlns:r="http://schemas.openxmlformats.org/officeDocument/2006/relationships" r:embed="rId1"/>
        <a:stretch>
          <a:fillRect/>
        </a:stretch>
      </xdr:blipFill>
      <xdr:spPr>
        <a:xfrm>
          <a:off x="16489680" y="3817620"/>
          <a:ext cx="2685714" cy="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570362</xdr:colOff>
      <xdr:row>39</xdr:row>
      <xdr:rowOff>29585</xdr:rowOff>
    </xdr:to>
    <xdr:pic>
      <xdr:nvPicPr>
        <xdr:cNvPr id="2" name="图片 1">
          <a:extLst>
            <a:ext uri="{FF2B5EF4-FFF2-40B4-BE49-F238E27FC236}">
              <a16:creationId xmlns:a16="http://schemas.microsoft.com/office/drawing/2014/main" xmlns="" id="{F5DC8404-A2F9-56AD-01CA-25D79D1AC56A}"/>
            </a:ext>
          </a:extLst>
        </xdr:cNvPr>
        <xdr:cNvPicPr>
          <a:picLocks noChangeAspect="1"/>
        </xdr:cNvPicPr>
      </xdr:nvPicPr>
      <xdr:blipFill>
        <a:blip xmlns:r="http://schemas.openxmlformats.org/officeDocument/2006/relationships" r:embed="rId1"/>
        <a:stretch>
          <a:fillRect/>
        </a:stretch>
      </xdr:blipFill>
      <xdr:spPr>
        <a:xfrm>
          <a:off x="0" y="0"/>
          <a:ext cx="9104762"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北京市顺义区富林路50号院1号楼2层204房地产抵押价值预评估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受贵公司委托，我公司对北京市顺义区富林路50号院1号楼2层204房地产抵押价值进行了预评估。</v>
      </c>
    </row>
    <row r="7" spans="1:2">
      <c r="A7" s="1119" t="s">
        <v>566</v>
      </c>
      <c r="B7" s="1120" t="str">
        <f>'预评函-1'!A7</f>
        <v>估价对象为北京市顺义区富林路50号院1号楼2层204房地产，为所有。根据《国有土地使用证》[]，估价对象（分摊）出让国有建设用地使用权面积为0平方米，建筑面积为850.8平方米。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富林路50号院1号楼2层204房地产,属开发建设的商业项目，该项目尚在开发建设中。根据《国有土地使用证》[]，估价对象（分摊）出让国有建设用地使用权面积为0平方米，规划建筑面积为850.8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2025年5月28日</v>
      </c>
    </row>
    <row r="13" spans="1:2">
      <c r="A13" s="1119" t="s">
        <v>529</v>
      </c>
      <c r="B13" s="1120" t="str">
        <f>'预评函-1'!A18</f>
        <v>本次估价的“房地产价值”是指在正常市场情况下，在价值时点2025年5月28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1325</v>
      </c>
    </row>
    <row r="21" spans="1:2">
      <c r="A21" s="1119" t="s">
        <v>537</v>
      </c>
      <c r="B21" s="1120">
        <f ca="1">'预评函-2'!D7</f>
        <v>15574</v>
      </c>
    </row>
    <row r="22" spans="1:2">
      <c r="A22" s="1119" t="s">
        <v>538</v>
      </c>
      <c r="B22" s="1120" t="str">
        <f ca="1">'预评函-2'!D6</f>
        <v>壹仟叁佰贰拾伍万元整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1325</v>
      </c>
    </row>
    <row r="31" spans="1:2">
      <c r="A31" s="1119" t="s">
        <v>576</v>
      </c>
      <c r="B31" s="1120">
        <f ca="1">'预评函-2'!D15</f>
        <v>15574</v>
      </c>
    </row>
    <row r="32" spans="1:2">
      <c r="A32" s="1119" t="s">
        <v>543</v>
      </c>
      <c r="B32" s="1120" t="str">
        <f ca="1">'预评函-2'!D14</f>
        <v>壹仟叁佰贰拾伍万元整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北京市顺义区富林路50号院1号楼2层204房地产</v>
      </c>
    </row>
    <row r="42" spans="1:2">
      <c r="A42" s="1119" t="s">
        <v>590</v>
      </c>
      <c r="B42" s="1120" t="str">
        <f>'预评函-3'!B2</f>
        <v>建筑面积</v>
      </c>
    </row>
    <row r="43" spans="1:2">
      <c r="A43" s="1119" t="s">
        <v>591</v>
      </c>
      <c r="B43" s="1120">
        <f>'预评函-3'!B4</f>
        <v>850.8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841</v>
      </c>
    </row>
    <row r="48" spans="1:2">
      <c r="A48" s="1119" t="s">
        <v>549</v>
      </c>
      <c r="B48" s="1120">
        <f ca="1">'预评函-3'!E4</f>
        <v>9885</v>
      </c>
    </row>
    <row r="49" spans="1:2">
      <c r="A49" s="1119" t="s">
        <v>550</v>
      </c>
      <c r="B49" s="1120" t="str">
        <f ca="1">'预评函-3'!D5</f>
        <v>捌佰肆拾壹万元整</v>
      </c>
    </row>
    <row r="50" spans="1:2">
      <c r="A50" s="1119" t="s">
        <v>574</v>
      </c>
      <c r="B50" s="1120" t="str">
        <f>'预评函-3'!F2</f>
        <v>在建建筑物价值</v>
      </c>
    </row>
    <row r="51" spans="1:2">
      <c r="A51" s="1119" t="s">
        <v>551</v>
      </c>
      <c r="B51" s="1120">
        <f ca="1">'预评函-3'!F4</f>
        <v>484</v>
      </c>
    </row>
    <row r="52" spans="1:2">
      <c r="A52" s="1119" t="s">
        <v>552</v>
      </c>
      <c r="B52" s="1120">
        <f ca="1">'预评函-3'!G4</f>
        <v>5689</v>
      </c>
    </row>
    <row r="53" spans="1:2">
      <c r="A53" s="1119" t="s">
        <v>580</v>
      </c>
      <c r="B53" s="1120" t="str">
        <f ca="1">'预评函-3'!F5</f>
        <v>肆佰捌拾肆万元整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45805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1.56</v>
      </c>
      <c r="D5" s="2767">
        <f>IF(ISERROR(ROUND(POWER(1+E5,A5-C5)*(POWER(1+E5,C5)-1)/(POWER(1+E5,A5)-1),3)),0,ROUND(POWER(1+E5,A5-C5)*(POWER(1+E5,C5)-1)/(POWER(1+E5,A5)-1),4))</f>
        <v>7.4999999999999997E-2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11.56</v>
      </c>
      <c r="D6" s="2767">
        <f>IF(ISERROR(ROUND(POWER(1+E6,A6-C6)*(POWER(1+E6,C6)-1)/(POWER(1+E6,A6)-1),3)),0,ROUND(POWER(1+E6,A6-C6)*(POWER(1+E6,C6)-1)/(POWER(1+E6,A6)-1),4))</f>
        <v>0.42420000000000002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31.58</v>
      </c>
      <c r="D7" s="2767">
        <f>IF(ISERROR(ROUND(POWER(1+E7,A7-C7)*(POWER(1+E7,C7)-1)/(POWER(1+E7,A7)-1),3)),0,ROUND(POWER(1+E7,A7-C7)*(POWER(1+E7,C7)-1)/(POWER(1+E7,A7)-1),4))</f>
        <v>0.75890000000000002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8" sqref="M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北京市顺义区富林路50号院1号楼2层204房地产抵押价值预评估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北京市顺义区富林路50号院1号楼2层204房地产抵押价值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北京市顺义区富林路50号院1号楼2层204房地产</v>
      </c>
      <c r="T2" s="1618"/>
      <c r="U2" s="1618"/>
      <c r="V2" s="1618"/>
      <c r="W2" s="1618"/>
      <c r="X2" s="1618"/>
      <c r="Y2" s="1618"/>
      <c r="Z2" s="1618"/>
      <c r="AA2" s="1618"/>
      <c r="AB2" s="1618"/>
    </row>
    <row r="3" spans="1:30">
      <c r="A3" s="294" t="s">
        <v>2170</v>
      </c>
      <c r="B3" s="2185"/>
      <c r="C3" s="2186" t="s">
        <v>2171</v>
      </c>
      <c r="D3" s="2185">
        <v>45805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3411</v>
      </c>
      <c r="C8" s="2201"/>
      <c r="D8" s="3218" t="s">
        <v>2177</v>
      </c>
      <c r="E8" s="2202" t="s">
        <v>3412</v>
      </c>
      <c r="F8" s="2203"/>
      <c r="G8" s="2442"/>
      <c r="H8" s="2442"/>
      <c r="I8" s="2442"/>
      <c r="J8" s="2245"/>
      <c r="K8" s="2400"/>
      <c r="L8" s="2399"/>
      <c r="M8" s="2399"/>
      <c r="N8" s="2245"/>
      <c r="O8" s="1670"/>
      <c r="P8" s="2245"/>
      <c r="Q8" s="2245"/>
      <c r="R8" s="2245"/>
    </row>
    <row r="9" spans="1:30" ht="13.5" thickBot="1">
      <c r="A9" s="2204" t="s">
        <v>2178</v>
      </c>
      <c r="B9" s="2205" t="s">
        <v>3412</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3413</v>
      </c>
      <c r="C10" s="2210"/>
      <c r="D10" s="2193"/>
      <c r="E10" s="2211" t="s">
        <v>2180</v>
      </c>
      <c r="F10" s="3162" t="s">
        <v>3414</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58697</v>
      </c>
      <c r="E13" s="803"/>
      <c r="F13" s="803"/>
      <c r="G13" s="803"/>
      <c r="H13" s="803"/>
      <c r="I13" s="803"/>
      <c r="J13" s="2802"/>
      <c r="K13" s="2399"/>
      <c r="L13" s="2399"/>
      <c r="M13" s="2245"/>
      <c r="N13" s="1670"/>
      <c r="O13" s="2245"/>
      <c r="P13" s="2245"/>
      <c r="Q13" s="2245"/>
      <c r="AD13" s="1618"/>
    </row>
    <row r="14" spans="1:30">
      <c r="A14" s="1018"/>
      <c r="B14" s="2218" t="s">
        <v>2191</v>
      </c>
      <c r="C14" s="2219"/>
      <c r="D14" s="2219">
        <v>40</v>
      </c>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35.32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t="s">
        <v>3415</v>
      </c>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850.8</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t="s">
        <v>3448</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t="s">
        <v>3416</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t="s">
        <v>3417</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3418</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850.8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850.8</v>
      </c>
      <c r="H5" s="13">
        <f t="shared" ref="H5:AT5" si="0">SUM(H13:H656)</f>
        <v>850.8</v>
      </c>
      <c r="I5" s="13">
        <f t="shared" si="0"/>
        <v>850.8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850.8</v>
      </c>
      <c r="BA5" s="15">
        <f t="shared" si="1"/>
        <v>850.8</v>
      </c>
      <c r="BB5" s="15">
        <f t="shared" si="1"/>
        <v>850.8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204</v>
      </c>
      <c r="D13" s="1513" t="s">
        <v>3419</v>
      </c>
      <c r="E13" s="13">
        <f>IF($C$3="是",ROUND($A$3*G13/$B$3,2),ROUND($A$3*(G13-AT13)/$B$3,2))</f>
        <v>0</v>
      </c>
      <c r="F13" s="29"/>
      <c r="G13" s="30">
        <f>H13+AC13+AT13</f>
        <v>850.8</v>
      </c>
      <c r="H13" s="17">
        <f>SUMIF(I$12:AB$12,"总值",I13:AB13)</f>
        <v>850.8</v>
      </c>
      <c r="I13" s="1514">
        <v>850.8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850.8</v>
      </c>
      <c r="BA13" s="13">
        <f>SUM(BB13:BK13)</f>
        <v>850.8</v>
      </c>
      <c r="BB13" s="13">
        <f>IF($D13="是",I13-J13,0)</f>
        <v>850.8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0</v>
      </c>
      <c r="E3" s="41">
        <f>'数据-基础表'!AZ5</f>
        <v>850.8</v>
      </c>
      <c r="F3" s="2439"/>
      <c r="G3" s="42"/>
      <c r="H3" s="43" t="s">
        <v>1106</v>
      </c>
      <c r="I3" s="802" t="e">
        <f>ROUND('数据-基础表'!B3/'数据-基础表'!A3,2)</f>
        <v>#DIV/0!</v>
      </c>
      <c r="J3" s="2439"/>
      <c r="K3" s="2439"/>
      <c r="L3" s="2439"/>
      <c r="M3" s="2439"/>
      <c r="N3" s="2440"/>
      <c r="O3" s="2439"/>
      <c r="P3" s="2439"/>
    </row>
    <row r="4" spans="1:16" ht="15">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f>ROUND($D$3*E6/$E$3,2)</f>
        <v>0</v>
      </c>
      <c r="E6" s="44">
        <f>E3-E5</f>
        <v>850.8</v>
      </c>
      <c r="F6" s="2439"/>
      <c r="G6" s="1529" t="s">
        <v>1112</v>
      </c>
      <c r="H6" s="45" t="s">
        <v>1113</v>
      </c>
      <c r="I6" s="2435" t="e">
        <f>ROUND(F31/D31,2)</f>
        <v>#DIV/0!</v>
      </c>
      <c r="J6" s="2439"/>
      <c r="K6" s="2439"/>
      <c r="L6" s="2439"/>
      <c r="M6" s="2439"/>
      <c r="N6" s="2439"/>
      <c r="O6" s="2439"/>
      <c r="P6" s="2439"/>
    </row>
    <row r="7" spans="1:16" ht="15.75" thickBot="1">
      <c r="A7" s="3243"/>
      <c r="B7" s="3244"/>
      <c r="C7" s="3245"/>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850.8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850.8</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v>204</v>
      </c>
      <c r="D19" s="43">
        <f>ROUND($D$3*E19/$E$3,2)</f>
        <v>0</v>
      </c>
      <c r="E19" s="51">
        <f t="shared" ref="E19:E26" si="1">SUM(F19:G19)</f>
        <v>850.8</v>
      </c>
      <c r="F19" s="2557">
        <f>'数据-基础表'!H13</f>
        <v>850.8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850.8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850.8</v>
      </c>
      <c r="F27" s="1072">
        <f>IF(SUM(F19:F26)=E8,SUM(F19:F26),"地上面积有误")</f>
        <v>850.8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850.8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850.8</v>
      </c>
      <c r="F31" s="644">
        <f>F27+F30</f>
        <v>850.8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204</v>
      </c>
      <c r="B6" s="1587" t="str">
        <f>IF(A6=0,"","经营性")</f>
        <v>经营性</v>
      </c>
      <c r="C6" s="1588" t="s">
        <v>673</v>
      </c>
      <c r="D6" s="805">
        <f>SUMIF(项目基本情况!C$12:I$12,C6,项目基本情况!C$14:I$14)</f>
        <v>40</v>
      </c>
      <c r="E6" s="804">
        <f>IF(B6="","",SUMIF(项目基本情况!C$12:I$12,C6,项目基本情况!C$13:I$13))</f>
        <v>58697</v>
      </c>
      <c r="F6" s="61">
        <f>SUMIF(项目基本情况!C$12:I$12,C6,项目基本情况!C$15:I$15)</f>
        <v>35.32</v>
      </c>
      <c r="G6" s="62">
        <f>IF(ISERROR(ROUND(POWER(1+H6,D6-F6)*(POWER(1+H6,F6)-1)/(POWER(1+H6,D6)-1),3)),0,ROUND(POWER(1+H6,D6-F6)*(POWER(1+H6,F6)-1)/(POWER(1+H6,D6)-1),3))</f>
        <v>0.95799999999999996</v>
      </c>
      <c r="H6" s="691">
        <v>0.05</v>
      </c>
      <c r="I6" s="691">
        <v>0.06</v>
      </c>
      <c r="J6" s="63">
        <v>7.0000000000000007E-2</v>
      </c>
      <c r="K6" s="970">
        <f>SUMIF('数据-汇总表'!C$19:C$33,A6,'数据-汇总表'!E$19:E$33)</f>
        <v>850.8</v>
      </c>
      <c r="L6" s="692">
        <v>6500</v>
      </c>
      <c r="M6" s="64">
        <f t="shared" ref="M6:M14" si="0">ROUND(K6*L6/10000,0)</f>
        <v>553</v>
      </c>
      <c r="N6" s="690">
        <f>N19</f>
        <v>0.97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U19</f>
        <v>2.19</v>
      </c>
      <c r="V6" s="67">
        <v>0.02</v>
      </c>
      <c r="W6" s="67">
        <v>0.1</v>
      </c>
      <c r="X6" s="979"/>
      <c r="Y6" s="68">
        <f>N6</f>
        <v>0.97</v>
      </c>
      <c r="Z6" s="69"/>
      <c r="AA6" s="63"/>
      <c r="AB6" s="63"/>
      <c r="AC6" s="979"/>
      <c r="AD6" s="70"/>
      <c r="AE6" s="980">
        <f ca="1">IF(AN6="",0,SUMIF(INDIRECT("'"&amp;AN6&amp;"'"&amp;"!E:E"),$AE$5,INDIRECT("'"&amp;AN6&amp;"'"&amp;"!F:F")))</f>
        <v>35.32</v>
      </c>
      <c r="AF6" s="74"/>
      <c r="AG6" s="130">
        <f>IF(AF6="",0,AE6-AF6)</f>
        <v>0</v>
      </c>
      <c r="AH6" s="71"/>
      <c r="AI6" s="73">
        <v>365</v>
      </c>
      <c r="AJ6" s="74"/>
      <c r="AK6" s="75">
        <v>0.01</v>
      </c>
      <c r="AL6" s="76">
        <v>1E-3</v>
      </c>
      <c r="AM6" s="77">
        <v>0.01</v>
      </c>
      <c r="AN6" s="1589" t="s">
        <v>3427</v>
      </c>
      <c r="AO6" s="50">
        <f ca="1">SUMIF(INDIRECT("'"&amp;AN6&amp;"'"&amp;"!A:A"),"总价",INDIRECT("'"&amp;AN6&amp;"'"&amp;"!B:B"))</f>
        <v>805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0.95799999999999996</v>
      </c>
      <c r="H16" s="84">
        <f>ROUND(SUMPRODUCT(H6:H13,K6:K13)/SUMPRODUCT((H6:H13&gt;0)*(K6:K13)),3)</f>
        <v>0.05</v>
      </c>
      <c r="I16" s="85"/>
      <c r="J16" s="85"/>
      <c r="K16" s="86">
        <f>SUM(K6:K15)</f>
        <v>850.8</v>
      </c>
      <c r="L16" s="87">
        <f>ROUND(M16*10000/SUM(K6:K14),0)</f>
        <v>6500</v>
      </c>
      <c r="M16" s="87">
        <f>SUM(M6:M14)</f>
        <v>553</v>
      </c>
      <c r="N16" s="88">
        <f>ROUND(SUMPRODUCT(M6:M14,N6:N14)/M16,3)</f>
        <v>0.97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63" t="s">
        <v>3421</v>
      </c>
      <c r="N18" s="2448">
        <v>2023</v>
      </c>
      <c r="O18" s="3163" t="s">
        <v>3422</v>
      </c>
      <c r="P18" s="2448"/>
      <c r="Q18" s="2448"/>
      <c r="R18" s="2448"/>
      <c r="S18" s="2448"/>
      <c r="T18" s="3163" t="s">
        <v>3425</v>
      </c>
      <c r="U18" s="2448">
        <v>680000</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9"/>
      <c r="F19" s="2439"/>
      <c r="G19" s="2439"/>
      <c r="H19" s="2439"/>
      <c r="I19" s="2439"/>
      <c r="J19" s="2439"/>
      <c r="K19" s="2449"/>
      <c r="L19" s="2449"/>
      <c r="M19" s="3163" t="s">
        <v>3423</v>
      </c>
      <c r="N19" s="2448">
        <f>ROUND(1-(1-0)*(2025-N18)/60,2)</f>
        <v>0.97</v>
      </c>
      <c r="O19" s="2448"/>
      <c r="P19" s="2448"/>
      <c r="Q19" s="2448"/>
      <c r="R19" s="2448"/>
      <c r="S19" s="2448"/>
      <c r="T19" s="3163" t="s">
        <v>3426</v>
      </c>
      <c r="U19" s="2448">
        <f>ROUND(U18/365/'数据-汇总表'!E19,2)</f>
        <v>2.19</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成本法!C8</f>
        <v>17</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3382</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t="s">
        <v>3458</v>
      </c>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3400</v>
      </c>
      <c r="D36" s="2451">
        <v>0.03</v>
      </c>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3383</v>
      </c>
      <c r="D37" s="2451">
        <v>0.03</v>
      </c>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3384</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3385</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850.8</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45805</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1325</v>
      </c>
      <c r="C5" s="2300">
        <f ca="1">IF(B5=D14,结果表!H102,ROUND(B5*10000/$B$1,0))</f>
        <v>15574</v>
      </c>
      <c r="D5" s="2300" t="e">
        <f ca="1">ROUND(B5*10000/$B$2,0)</f>
        <v>#DIV/0!</v>
      </c>
      <c r="E5" s="2461"/>
      <c r="F5" s="2462"/>
      <c r="G5" s="2462"/>
      <c r="H5" s="2462"/>
      <c r="I5" s="2462"/>
      <c r="J5" s="2462"/>
      <c r="K5" s="2462"/>
    </row>
    <row r="6" spans="1:11" ht="16.5">
      <c r="A6" s="2300" t="s">
        <v>656</v>
      </c>
      <c r="B6" s="2300">
        <f ca="1">SUM(G14:G23)</f>
        <v>1325</v>
      </c>
      <c r="C6" s="2300">
        <f ca="1">IF(B6=G14,结果表!H108,ROUND(B6*10000/$B$1,0))</f>
        <v>15574</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3355</v>
      </c>
      <c r="D10" s="2300" t="s">
        <v>3356</v>
      </c>
      <c r="E10" s="3136"/>
      <c r="F10" s="3140" t="s">
        <v>3357</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850.8</v>
      </c>
      <c r="C14" s="2306"/>
      <c r="D14" s="2306">
        <f ca="1">结果表!H101</f>
        <v>1325</v>
      </c>
      <c r="E14" s="2306">
        <f ca="1">ROUND(D14*10000/B14,0)</f>
        <v>15574</v>
      </c>
      <c r="F14" s="2306" t="e">
        <f ca="1">ROUND(D14*10000/C14,0)</f>
        <v>#DIV/0!</v>
      </c>
      <c r="G14" s="2306">
        <f ca="1">结果表!H107</f>
        <v>1325</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5" sqref="L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204</v>
      </c>
      <c r="D1" s="646"/>
      <c r="E1" s="646"/>
      <c r="F1" s="1621" t="s">
        <v>1263</v>
      </c>
      <c r="G1" s="1453" t="s">
        <v>3417</v>
      </c>
      <c r="H1" s="1621" t="str">
        <f>IF(G1="现房","——","估价对象范围")</f>
        <v>——</v>
      </c>
      <c r="I1" s="1622"/>
    </row>
    <row r="2" spans="1:12" ht="21.75" customHeight="1" thickBot="1">
      <c r="A2" s="3288" t="str">
        <f>项目基本情况!S2</f>
        <v>北京市顺义区富林路50号院1号楼2层204房地产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3449</v>
      </c>
      <c r="D4" s="1626" t="s">
        <v>3427</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4</v>
      </c>
      <c r="D14" s="3291">
        <v>6</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78" t="s">
        <v>2131</v>
      </c>
      <c r="F18" s="3279"/>
      <c r="G18" s="3279"/>
      <c r="H18" s="3279"/>
      <c r="I18" s="3279"/>
      <c r="K18" s="294" t="s">
        <v>1289</v>
      </c>
      <c r="L18" s="294">
        <f>IF(C1="",'数据-汇总表'!E3,SUMIF(项目类型,C1,'数据-汇总表'!E17:E26)+SUMIF(项目类型,C1,'数据-汇总表'!I17:I26))</f>
        <v>850.8</v>
      </c>
      <c r="M18" s="294">
        <f>IF(C1="",'数据-汇总表'!E3,SUMIF(项目类型,C1,'数据-汇总表'!E17:E26))</f>
        <v>850.8</v>
      </c>
    </row>
    <row r="19" spans="1:36" ht="15">
      <c r="A19" s="1630" t="s">
        <v>1290</v>
      </c>
      <c r="B19" s="1631" t="s">
        <v>1291</v>
      </c>
      <c r="C19" s="126">
        <f ca="1">SUMIF(INDIRECT("'"&amp;C4&amp;"'"&amp;"!A:A"),结果表!B19,INDIRECT("'"&amp;C4&amp;"'"&amp;"!B:B"))</f>
        <v>2106</v>
      </c>
      <c r="D19" s="127">
        <f ca="1">SUMIF(INDIRECT("'"&amp;D4&amp;"'"&amp;"!A:A"),结果表!B19,INDIRECT("'"&amp;D4&amp;"'"&amp;"!B:B"))</f>
        <v>805</v>
      </c>
      <c r="E19" s="1630" t="s">
        <v>1292</v>
      </c>
      <c r="F19" s="1631" t="s">
        <v>1291</v>
      </c>
      <c r="G19" s="128">
        <f ca="1">ROUND(C19*$C$18+D19*$D$18,0)</f>
        <v>1325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24753</v>
      </c>
      <c r="D20" s="130">
        <f ca="1">SUMIF(INDIRECT("'"&amp;D4&amp;"'"&amp;"!A:A"),结果表!B20,INDIRECT("'"&amp;D4&amp;"'"&amp;"!B:B"))</f>
        <v>9462</v>
      </c>
      <c r="E20" s="1633"/>
      <c r="F20" s="43" t="s">
        <v>1295</v>
      </c>
      <c r="G20" s="131">
        <f ca="1">ROUND(C20*$C$18+D20*$D$18,0)</f>
        <v>15578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1.6161490683229816</v>
      </c>
      <c r="E22" s="121"/>
      <c r="F22" s="121"/>
      <c r="G22" s="121"/>
      <c r="H22" s="121"/>
      <c r="I22" s="121"/>
    </row>
    <row r="23" spans="1:36" ht="13.5" thickBot="1">
      <c r="A23" s="646"/>
      <c r="B23" s="646"/>
      <c r="C23" s="646"/>
      <c r="D23" s="646"/>
      <c r="E23" s="121"/>
      <c r="F23" s="121" t="s">
        <v>3450</v>
      </c>
      <c r="G23" s="121"/>
      <c r="H23" s="121"/>
      <c r="I23" s="121"/>
    </row>
    <row r="24" spans="1:36" ht="14.25">
      <c r="A24" s="3262" t="s">
        <v>1299</v>
      </c>
      <c r="B24" s="1631" t="s">
        <v>1291</v>
      </c>
      <c r="C24" s="128">
        <f>IF(B30=0,0,D30)</f>
        <v>0</v>
      </c>
      <c r="D24" s="1637"/>
      <c r="E24" s="121"/>
      <c r="F24" s="3164" t="s">
        <v>3452</v>
      </c>
      <c r="G24" s="121">
        <v>24030</v>
      </c>
      <c r="H24" s="3164" t="s">
        <v>3453</v>
      </c>
      <c r="I24" s="121"/>
    </row>
    <row r="25" spans="1:36" ht="14.25">
      <c r="A25" s="3263"/>
      <c r="B25" s="43" t="s">
        <v>1295</v>
      </c>
      <c r="C25" s="133">
        <f>IF(B30=0,0,C30)</f>
        <v>0</v>
      </c>
      <c r="D25" s="1638"/>
      <c r="E25" s="121"/>
      <c r="F25" s="3164" t="s">
        <v>3455</v>
      </c>
      <c r="G25" s="121">
        <v>12771</v>
      </c>
      <c r="H25" s="3165" t="s">
        <v>3454</v>
      </c>
      <c r="I25" s="121"/>
    </row>
    <row r="26" spans="1:36" ht="13.5" customHeight="1">
      <c r="A26" s="1639" t="s">
        <v>1300</v>
      </c>
      <c r="B26" s="134" t="s">
        <v>1301</v>
      </c>
      <c r="C26" s="134" t="s">
        <v>1302</v>
      </c>
      <c r="D26" s="135" t="s">
        <v>1303</v>
      </c>
      <c r="E26" s="121"/>
      <c r="F26" s="3164" t="s">
        <v>3456</v>
      </c>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1325</v>
      </c>
      <c r="D32" s="1641" t="s">
        <v>3451</v>
      </c>
      <c r="E32" s="121"/>
      <c r="F32" s="121"/>
      <c r="G32" s="121"/>
      <c r="H32" s="121"/>
      <c r="I32" s="121"/>
    </row>
    <row r="33" spans="1:15" ht="15">
      <c r="A33" s="740" t="s">
        <v>1306</v>
      </c>
      <c r="B33" s="123"/>
      <c r="C33" s="1642" t="s">
        <v>3457</v>
      </c>
      <c r="D33" s="1643" t="s">
        <v>3449</v>
      </c>
      <c r="E33" s="1644" t="s">
        <v>1307</v>
      </c>
      <c r="F33" s="1645" t="str">
        <f>IF(D32="楼面单价","取值（单价）","取值（总价）")</f>
        <v>取值（总价）</v>
      </c>
      <c r="G33" s="121"/>
      <c r="H33" s="121"/>
      <c r="I33" s="121"/>
    </row>
    <row r="34" spans="1:15" ht="15">
      <c r="A34" s="1646"/>
      <c r="B34" s="1647" t="s">
        <v>1308</v>
      </c>
      <c r="C34" s="140">
        <f ca="1">IF(C33="自定义",F34,C32-C35)</f>
        <v>841</v>
      </c>
      <c r="D34" s="808">
        <f ca="1">IF(C33="自定义",ROUND(C34/C32,3),IF(C33="收益比率",SUMIF(INDIRECT("'"&amp;D33&amp;"'"&amp;"!b:b"),"土地收益比率",INDIRECT("'"&amp;D33&amp;"'"&amp;"!c:c")),SUMIF(INDIRECT("'"&amp;D33&amp;"'"&amp;"!b:b"),"土地成本比率",INDIRECT("'"&amp;D33&amp;"'"&amp;"!c:c"))))</f>
        <v>0.63500000000000001</v>
      </c>
      <c r="E34" s="1648" t="s">
        <v>1309</v>
      </c>
      <c r="F34" s="1243"/>
      <c r="G34" s="121"/>
      <c r="H34" s="121"/>
      <c r="I34" s="121"/>
    </row>
    <row r="35" spans="1:15" ht="15.75" thickBot="1">
      <c r="A35" s="1649"/>
      <c r="B35" s="1650" t="s">
        <v>1310</v>
      </c>
      <c r="C35" s="1090">
        <f ca="1">IF(C33="自定义",F35,ROUND(C32*D35,0))</f>
        <v>484</v>
      </c>
      <c r="D35" s="1091">
        <f ca="1">IF(C33="自定义",ROUND(C35/C32,3),IF(C33="收益比率",SUMIF(INDIRECT("'"&amp;D33&amp;"'"&amp;"!b:b"),"建筑物收益比率",INDIRECT("'"&amp;D33&amp;"'"&amp;"!c:c")),SUMIF(INDIRECT("'"&amp;D33&amp;"'"&amp;"!b:b"),"建筑物成本比率",INDIRECT("'"&amp;D33&amp;"'"&amp;"!c:c"))))</f>
        <v>0.36499999999999999</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1325</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45805</v>
      </c>
      <c r="N47" s="3339"/>
      <c r="O47" s="3339"/>
    </row>
    <row r="48" spans="1:15" ht="25.5">
      <c r="A48" s="3287" t="s">
        <v>1338</v>
      </c>
      <c r="B48" s="3270"/>
      <c r="C48" s="327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8" t="s">
        <v>1340</v>
      </c>
      <c r="L48" s="3318"/>
      <c r="M48" s="3340">
        <f ca="1">H101</f>
        <v>1325</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1325</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69</v>
      </c>
      <c r="E52" s="1256" t="s">
        <v>1354</v>
      </c>
      <c r="F52" s="2340">
        <f>'数据-取费表'!B41</f>
        <v>5.5000000000000007E-2</v>
      </c>
      <c r="G52" s="2341"/>
      <c r="H52" s="2331"/>
      <c r="I52" s="1669"/>
      <c r="J52" s="2310">
        <v>1</v>
      </c>
      <c r="K52" s="3319" t="s">
        <v>1355</v>
      </c>
      <c r="L52" s="3319"/>
      <c r="M52" s="2312" t="b">
        <f>D48</f>
        <v>0</v>
      </c>
      <c r="N52" s="2310" t="str">
        <f>E48</f>
        <v>销售额×税（费）率</v>
      </c>
      <c r="O52" s="2313">
        <f>F48</f>
        <v>5.5000000000000007E-2</v>
      </c>
    </row>
    <row r="53" spans="1:35" ht="12" customHeight="1">
      <c r="A53" s="2153" t="s">
        <v>1356</v>
      </c>
      <c r="B53" s="3280" t="s">
        <v>2291</v>
      </c>
      <c r="C53" s="3281"/>
      <c r="D53" s="1024">
        <f ca="1">ROUND(D45*'数据-取费表'!B41/(1+'数据-取费表'!C42),0)</f>
        <v>69</v>
      </c>
      <c r="E53" s="1256" t="s">
        <v>1354</v>
      </c>
      <c r="F53" s="2340">
        <f>'数据-取费表'!B41</f>
        <v>5.5000000000000007E-2</v>
      </c>
      <c r="G53" s="2341"/>
      <c r="H53" s="2331"/>
      <c r="I53" s="1669"/>
      <c r="J53" s="2310">
        <v>2</v>
      </c>
      <c r="K53" s="3319" t="s">
        <v>1357</v>
      </c>
      <c r="L53" s="3319"/>
      <c r="M53" s="2312">
        <f t="shared" ref="M53:O54" ca="1" si="0">D55</f>
        <v>1</v>
      </c>
      <c r="N53" s="2310" t="str">
        <f t="shared" si="0"/>
        <v>销售额×税（费）率</v>
      </c>
      <c r="O53" s="2313" t="str">
        <f t="shared" si="0"/>
        <v>免征</v>
      </c>
    </row>
    <row r="54" spans="1:35" ht="12" customHeight="1">
      <c r="A54" s="2153" t="s">
        <v>1358</v>
      </c>
      <c r="B54" s="3280" t="s">
        <v>2292</v>
      </c>
      <c r="C54" s="3281"/>
      <c r="D54" s="1024">
        <f ca="1">C68</f>
        <v>69</v>
      </c>
      <c r="E54" s="319" t="s">
        <v>1359</v>
      </c>
      <c r="F54" s="2340">
        <f>'数据-取费表'!B41</f>
        <v>5.5000000000000007E-2</v>
      </c>
      <c r="G54" s="2341"/>
      <c r="H54" s="2342"/>
      <c r="I54" s="1669"/>
      <c r="J54" s="2310">
        <v>3</v>
      </c>
      <c r="K54" s="3319" t="s">
        <v>1360</v>
      </c>
      <c r="L54" s="3319"/>
      <c r="M54" s="2312">
        <f t="shared" ca="1" si="0"/>
        <v>752</v>
      </c>
      <c r="N54" s="2310" t="str">
        <f t="shared" si="0"/>
        <v>增值额×税（费）率</v>
      </c>
      <c r="O54" s="2314" t="str">
        <f t="shared" si="0"/>
        <v>免征</v>
      </c>
    </row>
    <row r="55" spans="1:35" ht="24" customHeight="1">
      <c r="A55" s="3269" t="s">
        <v>1361</v>
      </c>
      <c r="B55" s="3270"/>
      <c r="C55" s="3270"/>
      <c r="D55" s="12">
        <f ca="1">IF(H55="个人住宅",0,ROUND(D45*I55,0))</f>
        <v>1</v>
      </c>
      <c r="E55" s="1256" t="s">
        <v>1362</v>
      </c>
      <c r="F55" s="2340" t="str">
        <f>IF(H55="正常",I55,"免征")</f>
        <v>免征</v>
      </c>
      <c r="G55" s="2341"/>
      <c r="H55" s="2337"/>
      <c r="I55" s="157">
        <f>'数据-取费表'!B49</f>
        <v>5.0000000000000001E-4</v>
      </c>
      <c r="J55" s="2310">
        <f>IF(H59="非个人房产","",4)</f>
        <v>4</v>
      </c>
      <c r="K55" s="3319" t="str">
        <f>IF(H59="非个人房产","——","个人所得税")</f>
        <v>个人所得税</v>
      </c>
      <c r="L55" s="3319"/>
      <c r="M55" s="2315">
        <f ca="1">D59</f>
        <v>13</v>
      </c>
      <c r="N55" s="1883" t="str">
        <f>E59</f>
        <v>差额计税</v>
      </c>
      <c r="O55" s="2316">
        <f>F59</f>
        <v>0.01</v>
      </c>
    </row>
    <row r="56" spans="1:35" ht="24.75">
      <c r="A56" s="3269" t="s">
        <v>1363</v>
      </c>
      <c r="B56" s="3270"/>
      <c r="C56" s="3270"/>
      <c r="D56" s="12">
        <f ca="1">IF(H56="个人住宅",D57,D58)</f>
        <v>752</v>
      </c>
      <c r="E56" s="1256" t="s">
        <v>1364</v>
      </c>
      <c r="F56" s="2340" t="str">
        <f>IF(H56="正常",F58,"免征")</f>
        <v>免征</v>
      </c>
      <c r="G56" s="2343" t="s">
        <v>1365</v>
      </c>
      <c r="H56" s="2344"/>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766</v>
      </c>
      <c r="O57" s="2320"/>
      <c r="P57" s="2464">
        <f ca="1">N57/M49</f>
        <v>0.57811320754716977</v>
      </c>
    </row>
    <row r="58" spans="1:35" ht="24.75">
      <c r="A58" s="2153" t="s">
        <v>1352</v>
      </c>
      <c r="B58" s="3280" t="s">
        <v>1369</v>
      </c>
      <c r="C58" s="3254"/>
      <c r="D58" s="12">
        <f ca="1">IF(H58="转让取得",C81,C97)</f>
        <v>752</v>
      </c>
      <c r="E58" s="1256" t="s">
        <v>1364</v>
      </c>
      <c r="F58" s="294" t="s">
        <v>28</v>
      </c>
      <c r="G58" s="2341"/>
      <c r="H58" s="2344"/>
      <c r="I58" s="1670"/>
      <c r="J58" s="3319"/>
      <c r="K58" s="3319"/>
      <c r="L58" s="2317" t="s">
        <v>1370</v>
      </c>
      <c r="M58" s="2321"/>
      <c r="N58" s="2322" t="str">
        <f ca="1">NUMBERSTRING(INT(N57*10000),2)&amp;"元整"</f>
        <v>柒佰陆拾陆万元整</v>
      </c>
      <c r="O58" s="2323"/>
    </row>
    <row r="59" spans="1:35" ht="24.75" thickBot="1">
      <c r="A59" s="3322" t="s">
        <v>1371</v>
      </c>
      <c r="B59" s="3323"/>
      <c r="C59" s="3323"/>
      <c r="D59" s="2346">
        <f ca="1">IF(H59="非个人房产","——",IF(H59="个人住宅（满五唯一有凭证）",0,IF(H59="个人其他（无凭证）",ROUND(D45*F59,0),ROUND(C67*F59,0))))</f>
        <v>13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0">
        <f>J57+1</f>
        <v>6</v>
      </c>
      <c r="K59" s="3319" t="s">
        <v>1372</v>
      </c>
      <c r="L59" s="2310" t="s">
        <v>1368</v>
      </c>
      <c r="M59" s="2324"/>
      <c r="N59" s="2325">
        <f ca="1">M49-N57</f>
        <v>559</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伍佰伍拾玖万元整</v>
      </c>
      <c r="O60" s="2323"/>
    </row>
    <row r="61" spans="1:35" ht="13.5" thickBot="1">
      <c r="A61" s="3267" t="s">
        <v>1373</v>
      </c>
      <c r="B61" s="3267"/>
      <c r="C61" s="3267"/>
      <c r="D61" s="3267"/>
      <c r="E61" s="3267"/>
      <c r="F61" s="1670"/>
      <c r="G61" s="1670"/>
      <c r="H61" s="151"/>
      <c r="I61" s="121"/>
      <c r="J61" s="2310">
        <f>J59+1</f>
        <v>7</v>
      </c>
      <c r="K61" s="3319" t="s">
        <v>1374</v>
      </c>
      <c r="L61" s="3319"/>
      <c r="M61" s="2327"/>
      <c r="N61" s="2328">
        <f ca="1">ROUND(N59*10000/'数据-汇总表'!E3,0)</f>
        <v>6570</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1262</v>
      </c>
      <c r="D63" s="159"/>
      <c r="E63" s="160"/>
      <c r="F63" s="1670"/>
      <c r="G63" s="1670"/>
      <c r="H63" s="151"/>
      <c r="I63" s="121"/>
      <c r="J63" s="3344" t="s">
        <v>1379</v>
      </c>
      <c r="K63" s="1245" t="s">
        <v>1380</v>
      </c>
      <c r="L63" s="1245">
        <f ca="1">IF(M49&gt;10000,M49*0.5%,IF(AND(M49&gt;1000,M49&lt;=10000),M49*1%,IF(AND(M49&gt;100,M49&lt;=1000),M49*3%,IF(AND(M49&gt;10,M49&lt;=100),M49*5%,M49*8%))))</f>
        <v>13.25</v>
      </c>
      <c r="M63" s="294">
        <f ca="1">ROUND(L63,1)</f>
        <v>13.3</v>
      </c>
      <c r="N63" s="2330"/>
      <c r="Z63" s="1623"/>
      <c r="AI63" s="1561"/>
    </row>
    <row r="64" spans="1:35" ht="14.25" customHeight="1">
      <c r="A64" s="161" t="s">
        <v>325</v>
      </c>
      <c r="B64" s="162" t="s">
        <v>1381</v>
      </c>
      <c r="C64" s="2351">
        <f ca="1">D45</f>
        <v>1325</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7.95</v>
      </c>
      <c r="M64" s="294">
        <f t="shared" ref="M64:M65" ca="1" si="1">ROUND(L64,1)</f>
        <v>8</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1.325</v>
      </c>
      <c r="M65" s="294">
        <f t="shared" ca="1" si="1"/>
        <v>1.3</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6.625</v>
      </c>
      <c r="M66" s="294">
        <f ca="1">IF(L66&gt;0.5,0.5,ROUND(L66,0))</f>
        <v>0.5</v>
      </c>
      <c r="N66" s="2331" t="s">
        <v>1388</v>
      </c>
      <c r="Z66" s="1623"/>
      <c r="AI66" s="1561"/>
    </row>
    <row r="67" spans="1:35" ht="14.25" customHeight="1">
      <c r="A67" s="165" t="s">
        <v>328</v>
      </c>
      <c r="B67" s="166" t="s">
        <v>1389</v>
      </c>
      <c r="C67" s="2354">
        <f ca="1">C63-C66</f>
        <v>1262</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3.2374999999999998</v>
      </c>
      <c r="M67" s="294">
        <f ca="1">ROUND(L67*0.9,1)</f>
        <v>2.9</v>
      </c>
      <c r="N67" s="2330"/>
      <c r="Z67" s="1623"/>
      <c r="AI67" s="1561"/>
    </row>
    <row r="68" spans="1:35" ht="14.25" customHeight="1" thickBot="1">
      <c r="A68" s="168" t="s">
        <v>329</v>
      </c>
      <c r="B68" s="169" t="s">
        <v>1391</v>
      </c>
      <c r="C68" s="2355">
        <f ca="1">IF(C67&lt;=0,0,ROUND(C67*D68,0))</f>
        <v>69</v>
      </c>
      <c r="D68" s="2356">
        <f>'数据-取费表'!B41</f>
        <v>5.5000000000000007E-2</v>
      </c>
      <c r="E68" s="170"/>
      <c r="F68" s="1670"/>
      <c r="G68" s="1670"/>
      <c r="H68" s="151"/>
      <c r="I68" s="121"/>
      <c r="J68" s="3344"/>
      <c r="K68" s="1245" t="s">
        <v>1392</v>
      </c>
      <c r="L68" s="1245">
        <f ca="1">IF(M49&gt;10000,M49*0.5%,IF(AND(M49&gt;5000,M49&lt;=10000),M49*1%,IF(AND(M49&gt;1000,M49&lt;=5000),M49*2%,IF(AND(M49&gt;200,M49&lt;=1000),M49*3%,M49*5%))))</f>
        <v>26.5</v>
      </c>
      <c r="M68" s="294">
        <f ca="1">ROUND(L68,1)</f>
        <v>26.5</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53</v>
      </c>
      <c r="N69" s="2332">
        <f ca="1">M69/M49</f>
        <v>0.04</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1262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5.000000000000001E-3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1256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752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1262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5.000000000000001E-3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1256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752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v>
      </c>
      <c r="D101" s="2372" t="str">
        <f>D4</f>
        <v>收益法</v>
      </c>
      <c r="E101" s="3341" t="s">
        <v>1431</v>
      </c>
      <c r="F101" s="3298"/>
      <c r="G101" s="1687" t="s">
        <v>1432</v>
      </c>
      <c r="H101" s="2381">
        <f ca="1">H118</f>
        <v>1325</v>
      </c>
      <c r="I101" s="121"/>
    </row>
    <row r="102" spans="1:35" ht="18.75" customHeight="1">
      <c r="A102" s="3300" t="s">
        <v>1433</v>
      </c>
      <c r="B102" s="2370" t="s">
        <v>1432</v>
      </c>
      <c r="C102" s="2371">
        <f ca="1">IF(D32="楼面单价",ROUND(C19,0),C19)</f>
        <v>2106</v>
      </c>
      <c r="D102" s="2372">
        <f ca="1">IF(D32="楼面单价",ROUND(D19,0),D19)</f>
        <v>805</v>
      </c>
      <c r="E102" s="3341"/>
      <c r="F102" s="3298"/>
      <c r="G102" s="1687" t="s">
        <v>1434</v>
      </c>
      <c r="H102" s="2341">
        <f ca="1">I118</f>
        <v>15574</v>
      </c>
      <c r="I102" s="121"/>
    </row>
    <row r="103" spans="1:35" ht="42.75" customHeight="1">
      <c r="A103" s="3300"/>
      <c r="B103" s="2370" t="s">
        <v>1434</v>
      </c>
      <c r="C103" s="2373">
        <f ca="1">C20</f>
        <v>24753</v>
      </c>
      <c r="D103" s="2374">
        <f ca="1">D20</f>
        <v>9462</v>
      </c>
      <c r="E103" s="3335" t="s">
        <v>1435</v>
      </c>
      <c r="F103" s="3336"/>
      <c r="G103" s="1688" t="s">
        <v>1436</v>
      </c>
      <c r="H103" s="2381">
        <f>IF(D36="正常操作",H104+H105+H106,H105+H106)</f>
        <v>0</v>
      </c>
      <c r="I103" s="121"/>
    </row>
    <row r="104" spans="1:35" ht="18.75" customHeight="1">
      <c r="A104" s="3300" t="s">
        <v>1437</v>
      </c>
      <c r="B104" s="2375" t="s">
        <v>1432</v>
      </c>
      <c r="C104" s="2376">
        <f ca="1">H118</f>
        <v>1325</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15574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1325</v>
      </c>
      <c r="I107" s="121"/>
    </row>
    <row r="108" spans="1:35" ht="18.75" customHeight="1">
      <c r="A108" s="121"/>
      <c r="B108" s="121"/>
      <c r="C108" s="121"/>
      <c r="D108" s="121"/>
      <c r="E108" s="3297"/>
      <c r="F108" s="3298"/>
      <c r="G108" s="1687" t="s">
        <v>1434</v>
      </c>
      <c r="H108" s="2341">
        <f ca="1">IF(H107=H101,H102,ROUND(H107*10000/'数据-汇总表'!E3,0))</f>
        <v>15574</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北京市顺义区富林路50号院1号楼2层204房地产</v>
      </c>
      <c r="B118" s="2150">
        <f>M18</f>
        <v>850.8</v>
      </c>
      <c r="C118" s="2150">
        <f>M19</f>
        <v>0</v>
      </c>
      <c r="D118" s="2150">
        <f ca="1">ROUND(IF(D32="总价",C34,E118*B118/10000),0)</f>
        <v>841</v>
      </c>
      <c r="E118" s="2150">
        <f ca="1">ROUND(IF(C33="自定义",IF(D32="楼面单价",C34,D118*10000/B118),I118-G118),0)</f>
        <v>9885</v>
      </c>
      <c r="F118" s="2150">
        <f ca="1">ROUND(IF(D32="总价",C35,G118*B118/10000),0)</f>
        <v>484</v>
      </c>
      <c r="G118" s="2150">
        <f ca="1">ROUND(IF(D32="楼面单价",C35,F118*10000/B118),0)</f>
        <v>5689</v>
      </c>
      <c r="H118" s="2150">
        <f ca="1">ROUND(IF(D32="总价",C32,I118*B118/10000),0)</f>
        <v>1325</v>
      </c>
      <c r="I118" s="2150">
        <f ca="1">ROUND(IF(D32="楼面单价",C32,H118*10000/B118),0)</f>
        <v>15574</v>
      </c>
    </row>
    <row r="119" spans="1:27" ht="18.75" customHeight="1">
      <c r="A119" s="3268" t="s">
        <v>1452</v>
      </c>
      <c r="B119" s="3268"/>
      <c r="C119" s="3268"/>
      <c r="D119" s="3308" t="str">
        <f ca="1">NUMBERSTRING(INT(D118*10000),2)&amp;"元整"</f>
        <v>捌佰肆拾壹万元整</v>
      </c>
      <c r="E119" s="3310"/>
      <c r="F119" s="3308" t="str">
        <f ca="1">NUMBERSTRING(INT(F118*10000),2)&amp;"元整"</f>
        <v>肆佰捌拾肆万元整</v>
      </c>
      <c r="G119" s="3310"/>
      <c r="H119" s="3308" t="str">
        <f ca="1">NUMBERSTRING(INT(H118*10000),2)&amp;"元整"</f>
        <v>壹仟叁佰贰拾伍万元整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1325</v>
      </c>
      <c r="E122" s="3333"/>
      <c r="F122" s="3333"/>
      <c r="G122" s="3333"/>
      <c r="H122" s="3333"/>
      <c r="I122" s="3334"/>
      <c r="AA122" s="684"/>
    </row>
    <row r="123" spans="1:27" ht="18.75" customHeight="1">
      <c r="A123" s="3268" t="s">
        <v>1452</v>
      </c>
      <c r="B123" s="3268"/>
      <c r="C123" s="3268"/>
      <c r="D123" s="3308" t="str">
        <f ca="1">NUMBERSTRING(INT(D122*10000),2)&amp;"元整"</f>
        <v>壹仟叁佰贰拾伍万元整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v>204</v>
      </c>
      <c r="C1" s="190"/>
      <c r="D1" s="190"/>
      <c r="E1" s="190"/>
      <c r="F1" s="190"/>
      <c r="G1" s="1062">
        <f>MATCH(B1,'数据-取费表'!A6:A16,0)+5</f>
        <v>6</v>
      </c>
    </row>
    <row r="2" spans="1:9" s="192" customFormat="1" ht="18" customHeight="1">
      <c r="A2" s="193" t="s">
        <v>1462</v>
      </c>
      <c r="B2" s="194">
        <f ca="1">IF(D2="——",C52,C52-E2)</f>
        <v>2106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24753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1001</v>
      </c>
      <c r="D5" s="203" t="s">
        <v>1469</v>
      </c>
      <c r="E5" s="204" t="s">
        <v>1470</v>
      </c>
      <c r="F5" s="204" t="s">
        <v>1471</v>
      </c>
      <c r="G5" s="205"/>
    </row>
    <row r="6" spans="1:9" s="206" customFormat="1" ht="13.5" customHeight="1">
      <c r="A6" s="732" t="s">
        <v>1472</v>
      </c>
      <c r="B6" s="207" t="s">
        <v>1473</v>
      </c>
      <c r="C6" s="208">
        <f>基准地价修正!B2</f>
        <v>955</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v>
      </c>
      <c r="D8" s="214"/>
      <c r="E8" s="212"/>
      <c r="F8" s="213"/>
      <c r="G8" s="1714" t="s">
        <v>3442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3444</v>
      </c>
      <c r="H9" s="1070"/>
      <c r="I9" s="1716" t="s">
        <v>1479</v>
      </c>
    </row>
    <row r="10" spans="1:9" s="206" customFormat="1" ht="13.5" customHeight="1">
      <c r="A10" s="733" t="s">
        <v>356</v>
      </c>
      <c r="B10" s="216" t="s">
        <v>1480</v>
      </c>
      <c r="C10" s="217">
        <f ca="1">ROUND(D10*E10/10000,0)</f>
        <v>17</v>
      </c>
      <c r="D10" s="795">
        <f ca="1">IF(B1="",'数据-汇总表'!E6,IF(INDIRECT("'数据-取费表'!c"&amp;$G$1)="住宅",INDIRECT("'数据-取费表'!s"&amp;$G$1),INDIRECT("'数据-取费表'!k"&amp;$G$1)+INDIRECT("'数据-取费表'!s"&amp;$G$1)))</f>
        <v>850.8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850.8</v>
      </c>
      <c r="E19" s="203">
        <f>'数据-取费表'!B31</f>
        <v>200</v>
      </c>
      <c r="F19" s="223"/>
      <c r="G19" s="1714" t="s">
        <v>3443</v>
      </c>
    </row>
    <row r="20" spans="1:7" s="206" customFormat="1" ht="13.5" customHeight="1">
      <c r="A20" s="247" t="s">
        <v>1493</v>
      </c>
      <c r="B20" s="202" t="s">
        <v>1494</v>
      </c>
      <c r="C20" s="224">
        <f ca="1">ROUND((C5+C19)*F20,0)</f>
        <v>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62</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153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553</v>
      </c>
      <c r="D34" s="209"/>
      <c r="E34" s="212"/>
      <c r="F34" s="249">
        <f ca="1">IF('数据-取费表'!B24=0,1,IF(B1="",'数据-取费表'!N16,INDIRECT("'数据-取费表'!n"&amp;$G$1)))</f>
        <v>1</v>
      </c>
      <c r="G34" s="211" t="s">
        <v>1526</v>
      </c>
    </row>
    <row r="35" spans="1:7" ht="13.5" customHeight="1">
      <c r="A35" s="734" t="s">
        <v>351</v>
      </c>
      <c r="B35" s="207" t="s">
        <v>1527</v>
      </c>
      <c r="C35" s="212">
        <f ca="1">ROUND(C34*F35,0)</f>
        <v>28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v>
      </c>
      <c r="D37" s="209">
        <f ca="1">D19</f>
        <v>850.8</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18</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5.9999999999999995E-4</v>
      </c>
      <c r="D44" s="230"/>
      <c r="E44" s="230"/>
      <c r="F44" s="231"/>
      <c r="G44" s="3350"/>
    </row>
    <row r="45" spans="1:7" s="206" customFormat="1" ht="13.5" customHeight="1">
      <c r="A45" s="247" t="s">
        <v>1547</v>
      </c>
      <c r="B45" s="236" t="s">
        <v>1513</v>
      </c>
      <c r="C45" s="237">
        <f ca="1">C46</f>
        <v>93</v>
      </c>
      <c r="D45" s="227">
        <f ca="1">C47</f>
        <v>3.0000000000000001E-3</v>
      </c>
      <c r="E45" s="228" t="s">
        <v>1539</v>
      </c>
      <c r="F45" s="238">
        <f ca="1">F27</f>
        <v>0.15</v>
      </c>
      <c r="G45" s="239" t="s">
        <v>1548</v>
      </c>
    </row>
    <row r="46" spans="1:7" s="206" customFormat="1" ht="13.5" customHeight="1">
      <c r="A46" s="734" t="s">
        <v>346</v>
      </c>
      <c r="B46" s="240" t="s">
        <v>1549</v>
      </c>
      <c r="C46" s="241">
        <f ca="1">ROUND((C33+C39)*F27,0)</f>
        <v>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792</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768</v>
      </c>
      <c r="D51" s="224"/>
      <c r="E51" s="224"/>
      <c r="F51" s="256"/>
      <c r="G51" s="226" t="s">
        <v>1560</v>
      </c>
    </row>
    <row r="52" spans="1:7" s="200" customFormat="1" ht="16.5" thickBot="1">
      <c r="A52" s="257" t="s">
        <v>1561</v>
      </c>
      <c r="B52" s="258"/>
      <c r="C52" s="259">
        <f ca="1">C31+C51</f>
        <v>2106</v>
      </c>
      <c r="D52" s="258"/>
      <c r="E52" s="258"/>
      <c r="F52" s="258"/>
      <c r="G52" s="260"/>
    </row>
    <row r="55" spans="1:7" ht="15">
      <c r="B55" s="262" t="s">
        <v>1562</v>
      </c>
      <c r="C55" s="263"/>
    </row>
    <row r="56" spans="1:7">
      <c r="B56" s="265" t="s">
        <v>802</v>
      </c>
      <c r="C56" s="267">
        <f ca="1">1-C57</f>
        <v>0.63500000000000001</v>
      </c>
    </row>
    <row r="57" spans="1:7">
      <c r="B57" s="265" t="s">
        <v>803</v>
      </c>
      <c r="C57" s="266">
        <f ca="1">ROUND(C51/C52,3)</f>
        <v>0.36499999999999999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北京市顺义区富林路50号院1号楼2层204房地产抵押价值预评估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814.63210000000004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9575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170160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170160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170160</v>
      </c>
      <c r="D10" s="795">
        <f ca="1">IF(B1="",'数据-汇总表'!E6,IF(INDIRECT("'数据-取费表'!c"&amp;$G$1)="住宅",INDIRECT("'数据-取费表'!s"&amp;$G$1),INDIRECT("'数据-取费表'!k"&amp;$G$1)+INDIRECT("'数据-取费表'!s"&amp;$G$1)))</f>
        <v>850.8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170160</v>
      </c>
      <c r="D19" s="204">
        <f ca="1">D9+D10</f>
        <v>850.8</v>
      </c>
      <c r="E19" s="203">
        <f>'数据-取费表'!B31</f>
        <v>200</v>
      </c>
      <c r="F19" s="223"/>
      <c r="G19" s="1714"/>
    </row>
    <row r="20" spans="1:7" s="206" customFormat="1" ht="13.5" customHeight="1">
      <c r="A20" s="247" t="s">
        <v>1574</v>
      </c>
      <c r="B20" s="202" t="s">
        <v>1575</v>
      </c>
      <c r="C20" s="224">
        <f ca="1">ROUND((C5+C19)*F20,0)</f>
        <v>6806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20930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10363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10363</v>
      </c>
      <c r="D24" s="230"/>
      <c r="E24" s="230"/>
      <c r="F24" s="231"/>
      <c r="G24" s="232" t="s">
        <v>1586</v>
      </c>
    </row>
    <row r="25" spans="1:7" s="206" customFormat="1" ht="24">
      <c r="A25" s="734" t="s">
        <v>1476</v>
      </c>
      <c r="B25" s="207" t="s">
        <v>1587</v>
      </c>
      <c r="C25" s="230">
        <f ca="1">ROUND(IF('数据-取费表'!B22&lt;=1,C20*F22*'数据-取费表'!B22/2,C20*(POWER((1+F22),'数据-取费表'!B22/2)-1)),0)</f>
        <v>204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52069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52069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454681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6087474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5530200</v>
      </c>
      <c r="D34" s="209"/>
      <c r="E34" s="212"/>
      <c r="F34" s="249"/>
      <c r="G34" s="211"/>
    </row>
    <row r="35" spans="1:7" ht="13.5" customHeight="1">
      <c r="A35" s="734" t="s">
        <v>351</v>
      </c>
      <c r="B35" s="207" t="s">
        <v>1527</v>
      </c>
      <c r="C35" s="212">
        <f ca="1">ROUND(C34*F35,0)</f>
        <v>276510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170160</v>
      </c>
      <c r="D37" s="209">
        <f ca="1">D19</f>
        <v>850.8</v>
      </c>
      <c r="E37" s="241">
        <f>'数据-取费表'!B35</f>
        <v>200</v>
      </c>
      <c r="F37" s="251"/>
      <c r="G37" s="253"/>
    </row>
    <row r="38" spans="1:7" ht="13.5" customHeight="1">
      <c r="A38" s="734" t="s">
        <v>354</v>
      </c>
      <c r="B38" s="207" t="s">
        <v>1533</v>
      </c>
      <c r="C38" s="212">
        <f ca="1">ROUND(C34*F38,0)</f>
        <v>110604</v>
      </c>
      <c r="D38" s="212"/>
      <c r="E38" s="212"/>
      <c r="F38" s="251">
        <f>'数据-取费表'!B36</f>
        <v>0.02</v>
      </c>
      <c r="G38" s="211" t="s">
        <v>1528</v>
      </c>
    </row>
    <row r="39" spans="1:7" s="206" customFormat="1" ht="13.5" customHeight="1">
      <c r="A39" s="247" t="s">
        <v>1534</v>
      </c>
      <c r="B39" s="202" t="s">
        <v>1535</v>
      </c>
      <c r="C39" s="224">
        <f ca="1">ROUND(C33*F20,0)</f>
        <v>121749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186276</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182624</v>
      </c>
      <c r="D42" s="230"/>
      <c r="E42" s="230"/>
      <c r="F42" s="231"/>
      <c r="G42" s="3348" t="s">
        <v>1591</v>
      </c>
    </row>
    <row r="43" spans="1:7" ht="13.5" customHeight="1">
      <c r="A43" s="734" t="s">
        <v>347</v>
      </c>
      <c r="B43" s="207" t="s">
        <v>1545</v>
      </c>
      <c r="C43" s="230">
        <f ca="1">ROUND(IF('数据-取费表'!B22&lt;=1,C39*F22*'数据-取费表'!B20/2,C39*(POWER((1+F22),'数据-取费表'!B20/2)-1)),0)</f>
        <v>3652</v>
      </c>
      <c r="D43" s="230"/>
      <c r="E43" s="230"/>
      <c r="F43" s="231"/>
      <c r="G43" s="3349"/>
    </row>
    <row r="44" spans="1:7" ht="13.5" customHeight="1">
      <c r="A44" s="734" t="s">
        <v>348</v>
      </c>
      <c r="B44" s="207" t="s">
        <v>1546</v>
      </c>
      <c r="C44" s="230">
        <f ca="1">ROUND(IF('数据-取费表'!B22&lt;=1,C40*F22*'数据-取费表'!B20/2,C40*(POWER((1+F22),'数据-取费表'!B20/2)-1)),4)</f>
        <v>5.9999999999999995E-4</v>
      </c>
      <c r="D44" s="230"/>
      <c r="E44" s="230"/>
      <c r="F44" s="231"/>
      <c r="G44" s="3350"/>
    </row>
    <row r="45" spans="1:7" s="206" customFormat="1" ht="13.5" customHeight="1">
      <c r="A45" s="247" t="s">
        <v>1547</v>
      </c>
      <c r="B45" s="236" t="s">
        <v>1513</v>
      </c>
      <c r="C45" s="237">
        <f ca="1">C46</f>
        <v>931383</v>
      </c>
      <c r="D45" s="227">
        <f ca="1">C47</f>
        <v>3.0000000000000001E-3</v>
      </c>
      <c r="E45" s="228" t="s">
        <v>1539</v>
      </c>
      <c r="F45" s="238">
        <f ca="1">F27</f>
        <v>0.15</v>
      </c>
      <c r="G45" s="239" t="s">
        <v>1548</v>
      </c>
    </row>
    <row r="46" spans="1:7" s="206" customFormat="1" ht="13.5" customHeight="1">
      <c r="A46" s="734" t="s">
        <v>346</v>
      </c>
      <c r="B46" s="240" t="s">
        <v>1549</v>
      </c>
      <c r="C46" s="241">
        <f ca="1">ROUND((C33+C39)*F27,0)</f>
        <v>931383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7929526</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7691640</v>
      </c>
      <c r="D51" s="224"/>
      <c r="E51" s="224"/>
      <c r="F51" s="256"/>
      <c r="G51" s="226" t="s">
        <v>1560</v>
      </c>
    </row>
    <row r="52" spans="1:7" s="200" customFormat="1" ht="16.5" thickBot="1">
      <c r="A52" s="257" t="s">
        <v>1561</v>
      </c>
      <c r="B52" s="258"/>
      <c r="C52" s="259">
        <f ca="1">C31+C51</f>
        <v>8146321</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850.8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850.8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v>
      </c>
      <c r="D20" s="796">
        <f ca="1">IF(C1="",'数据-汇总表'!E6,IF(INDIRECT("'数据-取费表'!c"&amp;$K$1)="住宅",INDIRECT("'数据-取费表'!s"&amp;$K$1),INDIRECT("'数据-取费表'!k"&amp;$K$1)+INDIRECT("'数据-取费表'!s"&amp;$K$1)))</f>
        <v>850.8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C39" sqref="C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204</v>
      </c>
      <c r="D1" s="1271" t="s">
        <v>43</v>
      </c>
      <c r="E1" s="1272" t="s">
        <v>678</v>
      </c>
      <c r="F1" s="999">
        <f ca="1">J53</f>
        <v>35.32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805</v>
      </c>
      <c r="C2" s="1289" t="s">
        <v>805</v>
      </c>
      <c r="D2" s="1289"/>
      <c r="E2" s="1295"/>
      <c r="F2" s="1296"/>
      <c r="G2" s="2478"/>
      <c r="H2" s="2468"/>
      <c r="I2" s="2468"/>
      <c r="J2" s="2468"/>
      <c r="K2" s="2469"/>
      <c r="L2" s="2468"/>
      <c r="M2" s="2468"/>
    </row>
    <row r="3" spans="1:37" ht="18" customHeight="1" thickBot="1">
      <c r="A3" s="1297" t="s">
        <v>806</v>
      </c>
      <c r="B3" s="1298">
        <f ca="1">IF(ISERROR(B2*10000/F43),0,ROUND(B2*10000/F43,0))</f>
        <v>9462</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61</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61</v>
      </c>
      <c r="D6" s="147" t="s">
        <v>2109</v>
      </c>
      <c r="E6" s="294" t="s">
        <v>696</v>
      </c>
      <c r="F6" s="295">
        <f ca="1">INDIRECT("'数据-取费表'!u"&amp;$G$1)</f>
        <v>2.19</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850.8</v>
      </c>
      <c r="G7" s="1292"/>
      <c r="H7" s="296"/>
      <c r="I7" s="3354"/>
      <c r="J7" s="298"/>
      <c r="K7" s="299"/>
      <c r="L7" s="294" t="s">
        <v>697</v>
      </c>
      <c r="M7" s="295">
        <f ca="1">F7</f>
        <v>850.8</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768</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553</v>
      </c>
      <c r="D14" s="1257" t="s">
        <v>708</v>
      </c>
      <c r="E14" s="1255"/>
      <c r="F14" s="311"/>
      <c r="G14" s="1292"/>
      <c r="H14" s="928" t="s">
        <v>398</v>
      </c>
      <c r="I14" s="294" t="s">
        <v>709</v>
      </c>
      <c r="J14" s="21">
        <f ca="1">C29</f>
        <v>792</v>
      </c>
      <c r="K14" s="12"/>
      <c r="L14" s="759"/>
      <c r="M14" s="760"/>
    </row>
    <row r="15" spans="1:37" s="1304" customFormat="1" ht="18" customHeight="1" thickBot="1">
      <c r="A15" s="928" t="s">
        <v>399</v>
      </c>
      <c r="B15" s="294" t="s">
        <v>710</v>
      </c>
      <c r="C15" s="21">
        <f ca="1">ROUND(C14*F15,0)</f>
        <v>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17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609</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12</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7.92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792</v>
      </c>
      <c r="D29" s="1029"/>
      <c r="E29" s="1027"/>
      <c r="F29" s="1030"/>
      <c r="G29" s="1303"/>
      <c r="H29" s="325" t="s">
        <v>396</v>
      </c>
      <c r="I29" s="326" t="s">
        <v>768</v>
      </c>
      <c r="J29" s="327">
        <f ca="1">ROUND(J26/(1+F40)^F41,0)</f>
        <v>0</v>
      </c>
      <c r="K29" s="328" t="s">
        <v>769</v>
      </c>
      <c r="L29" s="329"/>
      <c r="M29" s="330">
        <f ca="1">INDIRECT("'数据-取费表'!k"&amp;$G$1)</f>
        <v>850.8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10.17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3.2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6.97</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7.92</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ROUND(C13*F37,2)</f>
        <v>0.77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0.61</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42</v>
      </c>
      <c r="D39" s="1032" t="s">
        <v>773</v>
      </c>
      <c r="E39" s="1033"/>
      <c r="F39" s="1034"/>
      <c r="G39" s="1292"/>
      <c r="H39" s="2473"/>
      <c r="I39" s="1305"/>
      <c r="J39" s="1306"/>
      <c r="K39" s="2471"/>
      <c r="L39" s="2473"/>
      <c r="M39" s="2473"/>
    </row>
    <row r="40" spans="1:18" ht="18" customHeight="1">
      <c r="A40" s="291" t="s">
        <v>395</v>
      </c>
      <c r="B40" s="292" t="s">
        <v>774</v>
      </c>
      <c r="C40" s="293">
        <f ca="1">ROUND(C39*(1-((1+F42)/(1+F40))^F41)/(F40-F42),0)</f>
        <v>780</v>
      </c>
      <c r="D40" s="316" t="s">
        <v>758</v>
      </c>
      <c r="E40" s="294" t="s">
        <v>759</v>
      </c>
      <c r="F40" s="304">
        <f ca="1">INDIRECT("'数据-取费表'!I"&amp;$G$1)</f>
        <v>0.06</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35.32</v>
      </c>
      <c r="G41" s="1292"/>
      <c r="H41" s="121">
        <f ca="1">C39/C5</f>
        <v>0.68852459016393441</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9168</v>
      </c>
      <c r="D43" s="328" t="s">
        <v>777</v>
      </c>
      <c r="E43" s="329" t="s">
        <v>778</v>
      </c>
      <c r="F43" s="330">
        <f ca="1">INDIRECT("'数据-取费表'!k"&amp;$G$1)</f>
        <v>850.8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-911</v>
      </c>
      <c r="D46" s="1313" t="str">
        <f>C2</f>
        <v>万元</v>
      </c>
      <c r="E46" s="1307"/>
      <c r="F46" s="1307"/>
      <c r="I46" s="1314" t="s">
        <v>810</v>
      </c>
      <c r="J46" s="1315"/>
      <c r="K46" s="1316"/>
      <c r="L46" s="1317">
        <f ca="1">IF(M47="住宅",0,IF(L48&gt;J51,L60,J60))</f>
        <v>25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3446</v>
      </c>
      <c r="K47" s="1323" t="s">
        <v>816</v>
      </c>
      <c r="L47" s="1324">
        <f ca="1">INDIRECT("'数据-取费表'!d"&amp;$G$1)</f>
        <v>40</v>
      </c>
      <c r="M47" s="1288" t="str">
        <f>IF(ISNUMBER(FIND("住宅",C1)),"住宅","非住宅")</f>
        <v>非住宅</v>
      </c>
      <c r="O47" s="1325" t="s">
        <v>403</v>
      </c>
      <c r="P47" s="1326" t="s">
        <v>817</v>
      </c>
      <c r="Q47" s="1327">
        <f ca="1">C40+J29</f>
        <v>780</v>
      </c>
      <c r="R47" s="1327" t="s">
        <v>818</v>
      </c>
    </row>
    <row r="48" spans="1:18" s="1292" customFormat="1" ht="28.5" thickBot="1">
      <c r="A48" s="1047" t="s">
        <v>438</v>
      </c>
      <c r="B48" s="292" t="s">
        <v>692</v>
      </c>
      <c r="C48" s="1268">
        <f ca="1">C49+C53+C55</f>
        <v>0</v>
      </c>
      <c r="D48" s="1049"/>
      <c r="E48" s="1050"/>
      <c r="F48" s="908"/>
      <c r="G48" s="681"/>
      <c r="H48" s="682"/>
      <c r="I48" s="1328" t="s">
        <v>819</v>
      </c>
      <c r="J48" s="1329" t="s">
        <v>3447</v>
      </c>
      <c r="K48" s="1330" t="s">
        <v>820</v>
      </c>
      <c r="L48" s="1331">
        <f ca="1">INDIRECT("'数据-取费表'!f"&amp;$G$1)</f>
        <v>35.32</v>
      </c>
      <c r="O48" s="1325" t="s">
        <v>404</v>
      </c>
      <c r="P48" s="1326" t="s">
        <v>821</v>
      </c>
      <c r="Q48" s="1327">
        <f ca="1">J60</f>
        <v>25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2023</v>
      </c>
      <c r="K49" s="1330" t="s">
        <v>824</v>
      </c>
      <c r="L49" s="1333"/>
      <c r="O49" s="1334" t="s">
        <v>405</v>
      </c>
      <c r="P49" s="1326" t="s">
        <v>825</v>
      </c>
      <c r="Q49" s="1327">
        <f ca="1">C29</f>
        <v>792</v>
      </c>
      <c r="R49" s="1327" t="s">
        <v>818</v>
      </c>
    </row>
    <row r="50" spans="1:18" s="1292" customFormat="1" ht="13.5" thickBot="1">
      <c r="A50" s="922"/>
      <c r="B50" s="925"/>
      <c r="C50" s="1055"/>
      <c r="D50" s="899"/>
      <c r="E50" s="993" t="s">
        <v>697</v>
      </c>
      <c r="F50" s="994">
        <f ca="1">F7</f>
        <v>850.8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-221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35.32</v>
      </c>
      <c r="K53" s="3351" t="s">
        <v>837</v>
      </c>
      <c r="L53" s="3352"/>
      <c r="O53" s="1325" t="s">
        <v>409</v>
      </c>
      <c r="P53" s="1326" t="s">
        <v>838</v>
      </c>
      <c r="Q53" s="1327">
        <f ca="1">Q47+Q48</f>
        <v>805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0.378</v>
      </c>
      <c r="K55" s="1350" t="s">
        <v>841</v>
      </c>
      <c r="L55" s="1351"/>
      <c r="O55" s="1318" t="s">
        <v>811</v>
      </c>
      <c r="P55" s="1319" t="s">
        <v>812</v>
      </c>
      <c r="Q55" s="1320" t="s">
        <v>813</v>
      </c>
      <c r="R55" s="1320" t="s">
        <v>814</v>
      </c>
    </row>
    <row r="56" spans="1:18" s="1292" customFormat="1" ht="25.5" thickTop="1" thickBot="1">
      <c r="A56" s="903">
        <v>2</v>
      </c>
      <c r="B56" s="904" t="s">
        <v>704</v>
      </c>
      <c r="C56" s="224">
        <f ca="1">C13</f>
        <v>768</v>
      </c>
      <c r="D56" s="1352"/>
      <c r="E56" s="1353"/>
      <c r="F56" s="1345"/>
      <c r="I56" s="1354" t="s">
        <v>842</v>
      </c>
      <c r="J56" s="1355" t="s">
        <v>3448</v>
      </c>
      <c r="K56" s="1328" t="s">
        <v>843</v>
      </c>
      <c r="L56" s="1331" t="str">
        <f ca="1">IF(L48&lt;J51,"——",L48-J53)</f>
        <v>——</v>
      </c>
      <c r="O56" s="1325" t="s">
        <v>403</v>
      </c>
      <c r="P56" s="1326" t="s">
        <v>817</v>
      </c>
      <c r="Q56" s="1327">
        <f ca="1">C40+J29</f>
        <v>780</v>
      </c>
      <c r="R56" s="1327" t="s">
        <v>818</v>
      </c>
    </row>
    <row r="57" spans="1:18" s="1292" customFormat="1" ht="24.75" thickBot="1">
      <c r="A57" s="1356"/>
      <c r="B57" s="896" t="s">
        <v>767</v>
      </c>
      <c r="C57" s="230">
        <f ca="1">C29</f>
        <v>792</v>
      </c>
      <c r="D57" s="1357"/>
      <c r="E57" s="1358"/>
      <c r="F57" s="1359"/>
      <c r="I57" s="1360" t="s">
        <v>844</v>
      </c>
      <c r="J57" s="1361">
        <f ca="1">IF(OR(M47="住宅",J51&lt;L48,J56="是"),"——",J51-L48)</f>
        <v>22.68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780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7.92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0.77</v>
      </c>
      <c r="D65" s="910" t="s">
        <v>743</v>
      </c>
      <c r="E65" s="896" t="s">
        <v>744</v>
      </c>
      <c r="F65" s="321">
        <f t="shared" ca="1" si="0"/>
        <v>1E-3</v>
      </c>
      <c r="I65" s="1367" t="s">
        <v>867</v>
      </c>
      <c r="J65" s="610">
        <v>40</v>
      </c>
      <c r="K65" s="610">
        <v>30</v>
      </c>
      <c r="L65" s="610">
        <v>50</v>
      </c>
      <c r="M65" s="1369">
        <v>0.02</v>
      </c>
      <c r="O65" s="1325" t="s">
        <v>403</v>
      </c>
      <c r="P65" s="1326" t="s">
        <v>868</v>
      </c>
      <c r="Q65" s="1327">
        <f ca="1">C40+J29</f>
        <v>780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v>
      </c>
      <c r="D67" s="909" t="s">
        <v>753</v>
      </c>
      <c r="E67" s="914"/>
      <c r="F67" s="915"/>
      <c r="O67" s="1334" t="s">
        <v>405</v>
      </c>
      <c r="P67" s="1326" t="s">
        <v>850</v>
      </c>
      <c r="Q67" s="1370">
        <f ca="1">L51</f>
        <v>-221</v>
      </c>
      <c r="R67" s="1327" t="s">
        <v>870</v>
      </c>
    </row>
    <row r="68" spans="1:18" s="1292" customFormat="1" ht="16.5" thickBot="1">
      <c r="A68" s="893" t="s">
        <v>395</v>
      </c>
      <c r="B68" s="894" t="s">
        <v>774</v>
      </c>
      <c r="C68" s="293">
        <f ca="1">ROUND(C67*(1-((1+F70)/(1+F68))^F69)/(F68-F70),0)</f>
        <v>-131</v>
      </c>
      <c r="D68" s="911" t="s">
        <v>758</v>
      </c>
      <c r="E68" s="896" t="s">
        <v>759</v>
      </c>
      <c r="F68" s="304">
        <f ca="1">F40</f>
        <v>0.06</v>
      </c>
      <c r="O68" s="1334" t="s">
        <v>406</v>
      </c>
      <c r="P68" s="1371" t="s">
        <v>871</v>
      </c>
      <c r="Q68" s="1327">
        <f ca="1">ROUND(Q69-Q70*Q71,0)</f>
        <v>-12</v>
      </c>
      <c r="R68" s="1327" t="s">
        <v>414</v>
      </c>
    </row>
    <row r="69" spans="1:18" s="1292" customFormat="1" ht="13.5" thickBot="1">
      <c r="A69" s="897"/>
      <c r="B69" s="898"/>
      <c r="C69" s="298"/>
      <c r="D69" s="916" t="s">
        <v>762</v>
      </c>
      <c r="E69" s="896" t="s">
        <v>763</v>
      </c>
      <c r="F69" s="324">
        <f ca="1">F41</f>
        <v>35.32</v>
      </c>
      <c r="O69" s="1334" t="s">
        <v>411</v>
      </c>
      <c r="P69" s="1371" t="s">
        <v>872</v>
      </c>
      <c r="Q69" s="1327">
        <f ca="1">C39</f>
        <v>42</v>
      </c>
      <c r="R69" s="1327" t="s">
        <v>818</v>
      </c>
    </row>
    <row r="70" spans="1:18" s="1292" customFormat="1" ht="13.5" thickBot="1">
      <c r="A70" s="900"/>
      <c r="B70" s="901"/>
      <c r="C70" s="302"/>
      <c r="D70" s="912"/>
      <c r="E70" s="896" t="s">
        <v>766</v>
      </c>
      <c r="F70" s="991"/>
      <c r="O70" s="1334" t="s">
        <v>412</v>
      </c>
      <c r="P70" s="1371" t="s">
        <v>873</v>
      </c>
      <c r="Q70" s="1327">
        <f ca="1">C13</f>
        <v>768</v>
      </c>
      <c r="R70" s="1327" t="s">
        <v>818</v>
      </c>
    </row>
    <row r="71" spans="1:18" s="1292" customFormat="1" ht="13.5" thickBot="1">
      <c r="A71" s="917" t="s">
        <v>396</v>
      </c>
      <c r="B71" s="918" t="s">
        <v>776</v>
      </c>
      <c r="C71" s="327">
        <f ca="1">ROUND(C68*10000/F71,0)</f>
        <v>-1540</v>
      </c>
      <c r="D71" s="919" t="s">
        <v>777</v>
      </c>
      <c r="E71" s="920" t="s">
        <v>778</v>
      </c>
      <c r="F71" s="330">
        <f ca="1">F43</f>
        <v>850.8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v>
      </c>
      <c r="D75" s="1292"/>
      <c r="E75" s="1292"/>
      <c r="F75" s="1292"/>
      <c r="K75" s="1309"/>
      <c r="L75" s="1292"/>
      <c r="O75" s="1325" t="s">
        <v>409</v>
      </c>
      <c r="P75" s="1326" t="s">
        <v>838</v>
      </c>
      <c r="Q75" s="1327">
        <f ca="1">Q65+Q66</f>
        <v>780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-0.28600000000000003</v>
      </c>
    </row>
    <row r="80" spans="1:18">
      <c r="B80" s="331" t="s">
        <v>800</v>
      </c>
      <c r="C80" s="266">
        <f ca="1">ROUND(C75/C39,3)</f>
        <v>1.286</v>
      </c>
    </row>
    <row r="81" spans="2:3">
      <c r="B81" s="262" t="s">
        <v>801</v>
      </c>
      <c r="C81" s="230"/>
    </row>
    <row r="82" spans="2:3">
      <c r="B82" s="265" t="s">
        <v>802</v>
      </c>
      <c r="C82" s="267">
        <f ca="1">1-C83</f>
        <v>1.5000000000000013E-2</v>
      </c>
    </row>
    <row r="83" spans="2:3">
      <c r="B83" s="265" t="s">
        <v>803</v>
      </c>
      <c r="C83" s="266">
        <f ca="1">ROUND(C13/C40,3)</f>
        <v>0.98499999999999999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t="e">
        <f ca="1">ROUND((C68-C40)/10000,4)</f>
        <v>#DIV/0!</v>
      </c>
      <c r="D45" s="3130"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3358</v>
      </c>
      <c r="E2" s="3139"/>
      <c r="F2" s="2597"/>
      <c r="G2" s="2598"/>
      <c r="H2" s="2599"/>
      <c r="I2" s="2600"/>
      <c r="J2" s="3362" t="s">
        <v>2317</v>
      </c>
      <c r="K2" s="3363"/>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4" t="s">
        <v>2327</v>
      </c>
      <c r="K3" s="3365"/>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4" t="s">
        <v>2329</v>
      </c>
      <c r="K4" s="3365"/>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0" t="s">
        <v>2333</v>
      </c>
      <c r="B6" s="3371"/>
      <c r="C6" s="3372"/>
      <c r="D6" s="2621"/>
      <c r="E6" s="2622"/>
      <c r="F6" s="2623"/>
      <c r="G6" s="2624"/>
      <c r="H6" s="2599"/>
      <c r="I6" s="2600"/>
      <c r="J6" s="3356">
        <v>1</v>
      </c>
      <c r="K6" s="335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6"/>
      <c r="K7" s="335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3" t="s">
        <v>2347</v>
      </c>
      <c r="C8" s="3374"/>
      <c r="D8" s="2640" t="s">
        <v>2348</v>
      </c>
      <c r="E8" s="2641" t="s">
        <v>2349</v>
      </c>
      <c r="F8" s="2642" t="s">
        <v>2350</v>
      </c>
      <c r="G8" s="2643"/>
      <c r="H8" s="2599"/>
      <c r="I8" s="2600"/>
      <c r="J8" s="3356"/>
      <c r="K8" s="335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3" t="s">
        <v>2353</v>
      </c>
      <c r="C9" s="3374"/>
      <c r="D9" s="2640">
        <f>ROUND(D6*E9,0)</f>
        <v>0</v>
      </c>
      <c r="E9" s="2644"/>
      <c r="F9" s="2645" t="s">
        <v>2354</v>
      </c>
      <c r="G9" s="2624"/>
      <c r="H9" s="2599"/>
      <c r="I9" s="2600"/>
      <c r="J9" s="3356"/>
      <c r="K9" s="3358"/>
      <c r="L9" s="2634" t="s">
        <v>2355</v>
      </c>
      <c r="M9" s="2635"/>
      <c r="N9" s="2611"/>
      <c r="O9" s="2636"/>
      <c r="P9" s="2636"/>
      <c r="Q9" s="2637">
        <v>365</v>
      </c>
      <c r="R9" s="2638">
        <f t="shared" si="0"/>
        <v>0</v>
      </c>
      <c r="S9" s="2592"/>
      <c r="T9" s="2592"/>
      <c r="U9" s="2592"/>
      <c r="V9" s="2600"/>
    </row>
    <row r="10" spans="1:22" s="2604" customFormat="1" ht="13.15" customHeight="1">
      <c r="A10" s="2639">
        <v>2</v>
      </c>
      <c r="B10" s="3373" t="s">
        <v>2356</v>
      </c>
      <c r="C10" s="3374"/>
      <c r="D10" s="2640">
        <f>ROUND(D6*E10,0)</f>
        <v>0</v>
      </c>
      <c r="E10" s="2644"/>
      <c r="F10" s="2645" t="s">
        <v>2357</v>
      </c>
      <c r="G10" s="2624"/>
      <c r="H10" s="2599"/>
      <c r="I10" s="2600"/>
      <c r="J10" s="3356"/>
      <c r="K10" s="3358"/>
      <c r="L10" s="2634" t="s">
        <v>2358</v>
      </c>
      <c r="M10" s="2635"/>
      <c r="N10" s="2611"/>
      <c r="O10" s="2636"/>
      <c r="P10" s="2636"/>
      <c r="Q10" s="2637">
        <v>365</v>
      </c>
      <c r="R10" s="2638">
        <f t="shared" si="0"/>
        <v>0</v>
      </c>
      <c r="S10" s="2592"/>
      <c r="T10" s="2592"/>
      <c r="U10" s="2592"/>
      <c r="V10" s="2600"/>
    </row>
    <row r="11" spans="1:22" s="2604" customFormat="1" ht="13.15" customHeight="1">
      <c r="A11" s="2639">
        <v>3</v>
      </c>
      <c r="B11" s="3373" t="s">
        <v>2359</v>
      </c>
      <c r="C11" s="3374"/>
      <c r="D11" s="2640">
        <f>D12+D14+D15+D16</f>
        <v>0</v>
      </c>
      <c r="E11" s="2646" t="e">
        <f>D11/D6</f>
        <v>#DIV/0!</v>
      </c>
      <c r="F11" s="2642"/>
      <c r="G11" s="2643"/>
      <c r="H11" s="2599"/>
      <c r="I11" s="2600"/>
      <c r="J11" s="3356"/>
      <c r="K11" s="335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6" t="s">
        <v>2362</v>
      </c>
      <c r="C12" s="3367"/>
      <c r="D12" s="2648">
        <f>ROUND(D13*1.2%*(1-30%),0)</f>
        <v>0</v>
      </c>
      <c r="E12" s="2649">
        <v>1.2E-2</v>
      </c>
      <c r="F12" s="2642" t="s">
        <v>2363</v>
      </c>
      <c r="G12" s="2643"/>
      <c r="H12" s="2599"/>
      <c r="I12" s="2600"/>
      <c r="J12" s="3356"/>
      <c r="K12" s="335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6"/>
      <c r="K13" s="335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6" t="s">
        <v>2368</v>
      </c>
      <c r="C14" s="3367"/>
      <c r="D14" s="2648">
        <f>ROUND(E14*B5/10000,0)</f>
        <v>0</v>
      </c>
      <c r="E14" s="2637"/>
      <c r="F14" s="2642" t="s">
        <v>2369</v>
      </c>
      <c r="G14" s="2643"/>
      <c r="H14" s="2599"/>
      <c r="I14" s="2600"/>
      <c r="J14" s="3356"/>
      <c r="K14" s="335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6" t="s">
        <v>2372</v>
      </c>
      <c r="C15" s="3367"/>
      <c r="D15" s="2648">
        <f>ROUND(D6*E15,0)</f>
        <v>0</v>
      </c>
      <c r="E15" s="2649">
        <v>5.5E-2</v>
      </c>
      <c r="F15" s="2642" t="s">
        <v>2373</v>
      </c>
      <c r="G15" s="2624"/>
      <c r="H15" s="2599"/>
      <c r="I15" s="2600"/>
      <c r="J15" s="3356">
        <v>2</v>
      </c>
      <c r="K15" s="335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6" t="s">
        <v>2381</v>
      </c>
      <c r="C16" s="3367"/>
      <c r="D16" s="2659">
        <f>D6*E16</f>
        <v>0</v>
      </c>
      <c r="E16" s="2660"/>
      <c r="F16" s="2645" t="s">
        <v>2382</v>
      </c>
      <c r="G16" s="2624"/>
      <c r="H16" s="2599"/>
      <c r="I16" s="2600"/>
      <c r="J16" s="3356"/>
      <c r="K16" s="335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68" t="s">
        <v>2384</v>
      </c>
      <c r="C17" s="3369"/>
      <c r="D17" s="2662">
        <f>ROUND(D6*E17,0)</f>
        <v>0</v>
      </c>
      <c r="E17" s="2663"/>
      <c r="F17" s="2664" t="s">
        <v>2385</v>
      </c>
      <c r="G17" s="2624"/>
      <c r="H17" s="2599"/>
      <c r="I17" s="2600"/>
      <c r="J17" s="3356"/>
      <c r="K17" s="335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6"/>
      <c r="K18" s="335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6"/>
      <c r="K19" s="335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6">
        <v>3</v>
      </c>
      <c r="K20" s="335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6"/>
      <c r="K21" s="335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6"/>
      <c r="K22" s="335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6"/>
      <c r="K23" s="335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6"/>
      <c r="K24" s="335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2" t="s">
        <v>2317</v>
      </c>
      <c r="K32" s="3363"/>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4" t="s">
        <v>2327</v>
      </c>
      <c r="K33" s="3365"/>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4" t="s">
        <v>2329</v>
      </c>
      <c r="K34" s="336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6">
        <v>1</v>
      </c>
      <c r="K36" s="335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6"/>
      <c r="K37" s="335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6"/>
      <c r="K38" s="335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6"/>
      <c r="K39" s="335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6"/>
      <c r="K40" s="335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0">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805</v>
      </c>
      <c r="C2" s="1729" t="s">
        <v>1651</v>
      </c>
      <c r="D2" s="1730" t="s">
        <v>1652</v>
      </c>
      <c r="E2" s="2393">
        <f>SUM(E6:E13)</f>
        <v>850.8</v>
      </c>
      <c r="F2" s="2479"/>
      <c r="G2" s="459"/>
      <c r="H2" s="459"/>
      <c r="I2" s="459"/>
      <c r="J2" s="459"/>
      <c r="K2" s="459"/>
      <c r="L2" s="459"/>
      <c r="M2" s="459"/>
      <c r="N2" s="459"/>
      <c r="O2" s="459"/>
      <c r="P2" s="459"/>
      <c r="Q2" s="459"/>
      <c r="R2" s="459"/>
      <c r="S2" s="459"/>
    </row>
    <row r="3" spans="1:22" ht="15.75">
      <c r="A3" s="1728" t="s">
        <v>686</v>
      </c>
      <c r="B3" s="2387">
        <f ca="1">ROUND(B2*10000/E2,0)</f>
        <v>9462</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375" t="s">
        <v>1654</v>
      </c>
      <c r="C5" s="3376"/>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805</v>
      </c>
      <c r="C6" s="1729" t="s">
        <v>1651</v>
      </c>
      <c r="D6" s="2479"/>
      <c r="E6" s="2392">
        <f>IF(OR(A6=0,F6="否"),0,'数据-取费表'!K6+'数据-取费表'!S6)</f>
        <v>850.8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850.8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5" t="s">
        <v>1667</v>
      </c>
      <c r="D4" s="3396"/>
      <c r="E4" s="3397" t="s">
        <v>1668</v>
      </c>
      <c r="F4" s="3398"/>
      <c r="G4" s="3395" t="s">
        <v>1669</v>
      </c>
      <c r="H4" s="3396"/>
      <c r="I4" s="3395" t="s">
        <v>1670</v>
      </c>
      <c r="J4" s="3396"/>
      <c r="K4" s="1744" t="s">
        <v>1671</v>
      </c>
      <c r="L4" s="2486"/>
      <c r="M4" s="2487"/>
      <c r="N4" s="2487"/>
      <c r="O4" s="2487"/>
      <c r="P4" s="3399" t="s">
        <v>1672</v>
      </c>
      <c r="Q4" s="3400"/>
      <c r="R4" s="3405" t="s">
        <v>1668</v>
      </c>
      <c r="S4" s="3406"/>
      <c r="T4" s="3405" t="s">
        <v>1669</v>
      </c>
      <c r="U4" s="3406"/>
      <c r="V4" s="3381" t="s">
        <v>1670</v>
      </c>
      <c r="W4" s="3381"/>
      <c r="X4" s="1265"/>
      <c r="Y4" s="3405" t="s">
        <v>1672</v>
      </c>
      <c r="Z4" s="3406"/>
      <c r="AA4" s="3392" t="s">
        <v>1668</v>
      </c>
      <c r="AB4" s="3392" t="s">
        <v>1669</v>
      </c>
      <c r="AC4" s="3392" t="s">
        <v>1670</v>
      </c>
    </row>
    <row r="5" spans="1:29" ht="15">
      <c r="A5" s="348"/>
      <c r="B5" s="349"/>
      <c r="C5" s="3413" t="s">
        <v>1673</v>
      </c>
      <c r="D5" s="3414"/>
      <c r="E5" s="3420" t="s">
        <v>1674</v>
      </c>
      <c r="F5" s="3421"/>
      <c r="G5" s="3413" t="s">
        <v>1675</v>
      </c>
      <c r="H5" s="3414"/>
      <c r="I5" s="3413" t="s">
        <v>1676</v>
      </c>
      <c r="J5" s="3414"/>
      <c r="K5" s="1745"/>
      <c r="L5" s="2486"/>
      <c r="M5" s="2487"/>
      <c r="N5" s="2487"/>
      <c r="O5" s="2487"/>
      <c r="P5" s="3401"/>
      <c r="Q5" s="3402"/>
      <c r="R5" s="3407"/>
      <c r="S5" s="3408"/>
      <c r="T5" s="3407"/>
      <c r="U5" s="3408"/>
      <c r="V5" s="3381"/>
      <c r="W5" s="3381"/>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1745" t="s">
        <v>1678</v>
      </c>
      <c r="L6" s="2486"/>
      <c r="M6" s="2487"/>
      <c r="N6" s="2487"/>
      <c r="O6" s="2487"/>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1"/>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9"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0"/>
      <c r="Q16" s="1263"/>
      <c r="R16" s="667"/>
      <c r="S16" s="668"/>
      <c r="T16" s="667"/>
      <c r="U16" s="668"/>
      <c r="V16" s="667"/>
      <c r="W16" s="668"/>
      <c r="X16" s="1265"/>
      <c r="Y16" s="338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0"/>
      <c r="Q18" s="1263"/>
      <c r="R18" s="667"/>
      <c r="S18" s="668"/>
      <c r="T18" s="667"/>
      <c r="U18" s="668"/>
      <c r="V18" s="667"/>
      <c r="W18" s="668"/>
      <c r="X18" s="1265"/>
      <c r="Y18" s="338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0"/>
      <c r="Q20" s="1263"/>
      <c r="R20" s="667"/>
      <c r="S20" s="668"/>
      <c r="T20" s="667"/>
      <c r="U20" s="668"/>
      <c r="V20" s="667"/>
      <c r="W20" s="668"/>
      <c r="X20" s="1265"/>
      <c r="Y20" s="338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0"/>
      <c r="Q22" s="1263"/>
      <c r="R22" s="667"/>
      <c r="S22" s="668"/>
      <c r="T22" s="667"/>
      <c r="U22" s="668"/>
      <c r="V22" s="667"/>
      <c r="W22" s="668"/>
      <c r="X22" s="1265"/>
      <c r="Y22" s="338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850.8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81" t="s">
        <v>1772</v>
      </c>
      <c r="AC4" s="3392" t="s">
        <v>1773</v>
      </c>
    </row>
    <row r="5" spans="1:29" ht="15">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81"/>
      <c r="AC5" s="3393"/>
    </row>
    <row r="6" spans="1:29" ht="15.7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81"/>
      <c r="AC6" s="3394"/>
    </row>
    <row r="7" spans="1:29" s="102" customFormat="1" ht="15.7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9"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0"/>
      <c r="Q22" s="1263"/>
      <c r="R22" s="667"/>
      <c r="S22" s="668"/>
      <c r="T22" s="667"/>
      <c r="U22" s="668"/>
      <c r="V22" s="667"/>
      <c r="W22" s="668"/>
      <c r="X22" s="1265"/>
      <c r="Y22" s="338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850.8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428" t="s">
        <v>1775</v>
      </c>
      <c r="Q4" s="3429"/>
      <c r="R4" s="3432" t="s">
        <v>1771</v>
      </c>
      <c r="S4" s="3433"/>
      <c r="T4" s="3432" t="s">
        <v>1772</v>
      </c>
      <c r="U4" s="3433"/>
      <c r="V4" s="3434" t="s">
        <v>1773</v>
      </c>
      <c r="W4" s="3434"/>
      <c r="X4" s="1809"/>
      <c r="Y4" s="3432" t="s">
        <v>1775</v>
      </c>
      <c r="Z4" s="3433"/>
      <c r="AA4" s="3436" t="s">
        <v>1771</v>
      </c>
      <c r="AB4" s="3436" t="s">
        <v>1772</v>
      </c>
      <c r="AC4" s="3425" t="s">
        <v>1773</v>
      </c>
    </row>
    <row r="5" spans="1:29" ht="15">
      <c r="A5" s="348"/>
      <c r="B5" s="349"/>
      <c r="C5" s="3413" t="s">
        <v>1673</v>
      </c>
      <c r="D5" s="3414"/>
      <c r="E5" s="3420" t="s">
        <v>1674</v>
      </c>
      <c r="F5" s="3421"/>
      <c r="G5" s="3413" t="s">
        <v>1675</v>
      </c>
      <c r="H5" s="3414"/>
      <c r="I5" s="3413" t="s">
        <v>1676</v>
      </c>
      <c r="J5" s="3414"/>
      <c r="K5" s="537"/>
      <c r="L5" s="2486"/>
      <c r="M5" s="2487"/>
      <c r="N5" s="2487"/>
      <c r="O5" s="2487"/>
      <c r="P5" s="3430"/>
      <c r="Q5" s="3402"/>
      <c r="R5" s="3407"/>
      <c r="S5" s="3408"/>
      <c r="T5" s="3407"/>
      <c r="U5" s="3408"/>
      <c r="V5" s="3381"/>
      <c r="W5" s="3381"/>
      <c r="X5" s="1265"/>
      <c r="Y5" s="3407"/>
      <c r="Z5" s="3408"/>
      <c r="AA5" s="3393"/>
      <c r="AB5" s="3393"/>
      <c r="AC5" s="3426"/>
    </row>
    <row r="6" spans="1:29" ht="15.75" thickBot="1">
      <c r="A6" s="350"/>
      <c r="B6" s="351"/>
      <c r="C6" s="3411" t="s">
        <v>1677</v>
      </c>
      <c r="D6" s="3412"/>
      <c r="E6" s="3418" t="s">
        <v>1677</v>
      </c>
      <c r="F6" s="3419"/>
      <c r="G6" s="3411" t="s">
        <v>1677</v>
      </c>
      <c r="H6" s="3412"/>
      <c r="I6" s="3411" t="s">
        <v>1677</v>
      </c>
      <c r="J6" s="3412"/>
      <c r="K6" s="537" t="s">
        <v>1678</v>
      </c>
      <c r="L6" s="2486"/>
      <c r="M6" s="2487"/>
      <c r="N6" s="2487"/>
      <c r="O6" s="2487"/>
      <c r="P6" s="3431"/>
      <c r="Q6" s="3404"/>
      <c r="R6" s="3407"/>
      <c r="S6" s="3408"/>
      <c r="T6" s="3409"/>
      <c r="U6" s="3410"/>
      <c r="V6" s="3381"/>
      <c r="W6" s="3381"/>
      <c r="X6" s="1265"/>
      <c r="Y6" s="3409"/>
      <c r="Z6" s="3410"/>
      <c r="AA6" s="3394"/>
      <c r="AB6" s="3394"/>
      <c r="AC6" s="3427"/>
    </row>
    <row r="7" spans="1:29" s="102" customFormat="1" ht="15.75" thickBot="1">
      <c r="A7" s="352" t="s">
        <v>1679</v>
      </c>
      <c r="B7" s="353"/>
      <c r="C7" s="354">
        <f>'数据-取费表'!B2</f>
        <v>45805</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9"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0"/>
      <c r="Q22" s="1263"/>
      <c r="R22" s="667"/>
      <c r="S22" s="668"/>
      <c r="T22" s="667"/>
      <c r="U22" s="668"/>
      <c r="V22" s="667"/>
      <c r="W22" s="668"/>
      <c r="X22" s="1265"/>
      <c r="Y22" s="338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0"/>
      <c r="Q26" s="1263"/>
      <c r="R26" s="667"/>
      <c r="S26" s="668"/>
      <c r="T26" s="667"/>
      <c r="U26" s="668"/>
      <c r="V26" s="667"/>
      <c r="W26" s="668"/>
      <c r="X26" s="1265"/>
      <c r="Y26" s="33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850.8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受贵公司委托，我公司对北京市顺义区富林路50号院1号楼2层204房地产抵押价值进行了预评估。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估价对象为北京市顺义区富林路50号院1号楼2层204房地产，为所有。根据《国有土地使用证》[]，估价对象（分摊）出让国有建设用地使用权面积为0平方米，建筑面积为850.8平方米。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富林路50号院1号楼2层204房地产,属开发建设的商业项目，该项目尚在开发建设中。根据《国有土地使用证》[]，估价对象（分摊）出让国有建设用地使用权面积为0平方米，规划建筑面积为850.8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3"/>
      <c r="Q15" s="1263"/>
      <c r="R15" s="667"/>
      <c r="S15" s="668"/>
      <c r="T15" s="667"/>
      <c r="U15" s="668"/>
      <c r="V15" s="667"/>
      <c r="W15" s="668"/>
      <c r="X15" s="1265"/>
      <c r="Y15" s="338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3"/>
      <c r="Q17" s="1263"/>
      <c r="R17" s="667"/>
      <c r="S17" s="668"/>
      <c r="T17" s="667"/>
      <c r="U17" s="668"/>
      <c r="V17" s="667"/>
      <c r="W17" s="668"/>
      <c r="X17" s="1265"/>
      <c r="Y17" s="338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3"/>
      <c r="Q19" s="1263"/>
      <c r="R19" s="667"/>
      <c r="S19" s="668"/>
      <c r="T19" s="667"/>
      <c r="U19" s="668"/>
      <c r="V19" s="667"/>
      <c r="W19" s="668"/>
      <c r="X19" s="1265"/>
      <c r="Y19" s="338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4"/>
      <c r="M37" s="2487"/>
      <c r="N37" s="2487"/>
      <c r="O37" s="2487"/>
      <c r="P37" s="3380" t="str">
        <f>A37</f>
        <v>成交单价</v>
      </c>
      <c r="Q37" s="3380"/>
      <c r="R37" s="3381">
        <f>E37</f>
        <v>0</v>
      </c>
      <c r="S37" s="3381"/>
      <c r="T37" s="3381">
        <f>G37</f>
        <v>0</v>
      </c>
      <c r="U37" s="3381"/>
      <c r="V37" s="3381">
        <f>I37</f>
        <v>0</v>
      </c>
      <c r="W37" s="338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3"/>
      <c r="Q15" s="1263"/>
      <c r="R15" s="667"/>
      <c r="S15" s="668"/>
      <c r="T15" s="667"/>
      <c r="U15" s="668"/>
      <c r="V15" s="667"/>
      <c r="W15" s="668"/>
      <c r="X15" s="1265"/>
      <c r="Y15" s="338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3"/>
      <c r="Q17" s="1263"/>
      <c r="R17" s="667"/>
      <c r="S17" s="668"/>
      <c r="T17" s="667"/>
      <c r="U17" s="668"/>
      <c r="V17" s="667"/>
      <c r="W17" s="668"/>
      <c r="X17" s="1265"/>
      <c r="Y17" s="338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3"/>
      <c r="Q19" s="1263"/>
      <c r="R19" s="667"/>
      <c r="S19" s="668"/>
      <c r="T19" s="667"/>
      <c r="U19" s="668"/>
      <c r="V19" s="667"/>
      <c r="W19" s="668"/>
      <c r="X19" s="1265"/>
      <c r="Y19" s="338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9"/>
      <c r="M10" s="2490"/>
      <c r="N10" s="2490"/>
      <c r="O10" s="2541"/>
      <c r="P10" s="3380"/>
      <c r="Q10" s="530" t="str">
        <f t="shared" si="6"/>
        <v>土地使用年限（年）</v>
      </c>
      <c r="R10" s="664" t="s">
        <v>14</v>
      </c>
      <c r="S10" s="665">
        <f t="shared" si="0"/>
        <v>104</v>
      </c>
      <c r="T10" s="664" t="s">
        <v>14</v>
      </c>
      <c r="U10" s="665">
        <f t="shared" si="1"/>
        <v>104</v>
      </c>
      <c r="V10" s="664" t="s">
        <v>14</v>
      </c>
      <c r="W10" s="665">
        <f t="shared" si="2"/>
        <v>104</v>
      </c>
      <c r="X10" s="666"/>
      <c r="Y10" s="3255"/>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3"/>
      <c r="Q20" s="1263"/>
      <c r="R20" s="667"/>
      <c r="S20" s="668"/>
      <c r="T20" s="667"/>
      <c r="U20" s="668"/>
      <c r="V20" s="667"/>
      <c r="W20" s="668"/>
      <c r="X20" s="1265"/>
      <c r="Y20" s="338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3"/>
      <c r="Q24" s="1263"/>
      <c r="R24" s="667"/>
      <c r="S24" s="668"/>
      <c r="T24" s="667"/>
      <c r="U24" s="668"/>
      <c r="V24" s="667"/>
      <c r="W24" s="668"/>
      <c r="X24" s="1265"/>
      <c r="Y24" s="338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3"/>
      <c r="Q26" s="1263"/>
      <c r="R26" s="667"/>
      <c r="S26" s="668"/>
      <c r="T26" s="667"/>
      <c r="U26" s="668"/>
      <c r="V26" s="667"/>
      <c r="W26" s="668"/>
      <c r="X26" s="1265"/>
      <c r="Y26" s="338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3"/>
      <c r="Q28" s="530"/>
      <c r="R28" s="664"/>
      <c r="S28" s="665"/>
      <c r="T28" s="664"/>
      <c r="U28" s="665"/>
      <c r="V28" s="664"/>
      <c r="W28" s="665"/>
      <c r="X28" s="666"/>
      <c r="Y28" s="338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7"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80" t="str">
        <f>A46</f>
        <v>成交单价</v>
      </c>
      <c r="Q46" s="3380"/>
      <c r="R46" s="3381">
        <f>E46</f>
        <v>0</v>
      </c>
      <c r="S46" s="3381"/>
      <c r="T46" s="3381">
        <f>G46</f>
        <v>0</v>
      </c>
      <c r="U46" s="3381"/>
      <c r="V46" s="3381">
        <f>I46</f>
        <v>0</v>
      </c>
      <c r="W46" s="338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850.8</v>
      </c>
      <c r="F56" s="833" t="e">
        <f t="shared" ref="F56:F64" si="15">ROUND(B56*E56/10000,0)</f>
        <v>#DIV/0!</v>
      </c>
      <c r="G56" s="3391"/>
      <c r="H56" s="338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七级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七级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七级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850.8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75" thickBot="1">
      <c r="A6" s="350"/>
      <c r="B6" s="351"/>
      <c r="C6" s="3442" t="s">
        <v>1919</v>
      </c>
      <c r="D6" s="3443"/>
      <c r="E6" s="3444" t="s">
        <v>1919</v>
      </c>
      <c r="F6" s="3445"/>
      <c r="G6" s="3442" t="s">
        <v>1919</v>
      </c>
      <c r="H6" s="3443"/>
      <c r="I6" s="3442" t="s">
        <v>1919</v>
      </c>
      <c r="J6" s="3443"/>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75" thickBot="1">
      <c r="A7" s="352" t="s">
        <v>1679</v>
      </c>
      <c r="B7" s="353"/>
      <c r="C7" s="354">
        <f>'数据-取费表'!B2</f>
        <v>45805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9"/>
      <c r="M10" s="2490"/>
      <c r="N10" s="2490"/>
      <c r="O10" s="2541"/>
      <c r="P10" s="3380"/>
      <c r="Q10" s="530" t="str">
        <f t="shared" si="6"/>
        <v>土地使用年限（年）</v>
      </c>
      <c r="R10" s="664" t="s">
        <v>14</v>
      </c>
      <c r="S10" s="665">
        <f t="shared" si="0"/>
        <v>104</v>
      </c>
      <c r="T10" s="664" t="s">
        <v>14</v>
      </c>
      <c r="U10" s="665">
        <f t="shared" si="1"/>
        <v>104</v>
      </c>
      <c r="V10" s="664" t="s">
        <v>14</v>
      </c>
      <c r="W10" s="665">
        <f t="shared" si="2"/>
        <v>104</v>
      </c>
      <c r="X10" s="666"/>
      <c r="Y10" s="3255"/>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3"/>
      <c r="Q20" s="1263"/>
      <c r="R20" s="667"/>
      <c r="S20" s="668"/>
      <c r="T20" s="667"/>
      <c r="U20" s="668"/>
      <c r="V20" s="667"/>
      <c r="W20" s="668"/>
      <c r="X20" s="1265"/>
      <c r="Y20" s="338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3"/>
      <c r="Q24" s="530"/>
      <c r="R24" s="664"/>
      <c r="S24" s="665"/>
      <c r="T24" s="664"/>
      <c r="U24" s="665"/>
      <c r="V24" s="664"/>
      <c r="W24" s="665"/>
      <c r="X24" s="666"/>
      <c r="Y24" s="338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7"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80" t="str">
        <f>A41</f>
        <v>成交单价</v>
      </c>
      <c r="Q41" s="3380"/>
      <c r="R41" s="3381">
        <f>E41</f>
        <v>0</v>
      </c>
      <c r="S41" s="3381"/>
      <c r="T41" s="3381">
        <f>G41</f>
        <v>0</v>
      </c>
      <c r="U41" s="3381"/>
      <c r="V41" s="3381">
        <f>I41</f>
        <v>0</v>
      </c>
      <c r="W41" s="338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850.8</v>
      </c>
      <c r="F51" s="611" t="e">
        <f t="shared" ref="F51:F60" si="15">ROUND(B51*E51/10000,0)</f>
        <v>#DIV/0!</v>
      </c>
      <c r="G51" s="3391"/>
      <c r="H51" s="338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七级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七级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七级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955</v>
      </c>
      <c r="C2" s="1984" t="s">
        <v>2074</v>
      </c>
      <c r="D2" s="1984" t="s">
        <v>2075</v>
      </c>
      <c r="E2" s="2398">
        <f ca="1">SUMIF(E6:E13,"&lt;&gt;#ref!",E6:E13)</f>
        <v>850.8</v>
      </c>
      <c r="F2" s="2544"/>
      <c r="G2" s="2544"/>
      <c r="H2" s="2544"/>
      <c r="I2" s="2544"/>
      <c r="J2" s="2544"/>
      <c r="K2" s="2544"/>
      <c r="L2" s="2544"/>
      <c r="M2" s="2544"/>
      <c r="N2" s="2544"/>
      <c r="O2" s="2544"/>
      <c r="P2" s="2544"/>
    </row>
    <row r="3" spans="1:16" ht="15.75">
      <c r="A3" s="1984" t="s">
        <v>2076</v>
      </c>
      <c r="B3" s="2388">
        <f ca="1">ROUND(B2*10000/E2,0)</f>
        <v>11225</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955</v>
      </c>
      <c r="C6" s="1984" t="s">
        <v>2074</v>
      </c>
      <c r="D6" s="2544"/>
      <c r="E6" s="2398">
        <f ca="1">SUMIF(INDIRECT("'"&amp;A6&amp;"'"&amp;"!C:C"),"建筑面积",INDIRECT("'"&amp;A6&amp;"'"&amp;"!D:D"))</f>
        <v>850.8</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R32" sqref="R3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850.8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955</v>
      </c>
      <c r="C2" s="1846" t="s">
        <v>1935</v>
      </c>
      <c r="D2" s="162" t="s">
        <v>1936</v>
      </c>
      <c r="E2" s="3120"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14243</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11225</v>
      </c>
      <c r="C3" s="1846" t="s">
        <v>1941</v>
      </c>
      <c r="D3" s="162" t="s">
        <v>1942</v>
      </c>
      <c r="E3" s="3118" t="s">
        <v>2439</v>
      </c>
      <c r="F3" s="1848" t="s">
        <v>3428</v>
      </c>
      <c r="G3" s="708">
        <f>IF(F3="宗地容积率",'数据-汇总表'!I4,IF(F3="估价对象容积率",'数据-汇总表'!I6,'数据-汇总表'!I7))</f>
        <v>2.5</v>
      </c>
      <c r="H3" s="162" t="s">
        <v>1943</v>
      </c>
      <c r="I3" s="729">
        <v>2</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11226</v>
      </c>
      <c r="U3" s="1130">
        <f>D33</f>
        <v>850.8</v>
      </c>
      <c r="V3" s="3063">
        <f t="shared" ref="V3:V16" si="1">ROUND(T3*U3/10000,0)</f>
        <v>955</v>
      </c>
      <c r="W3" s="1133"/>
      <c r="X3" s="1133"/>
      <c r="Y3" s="1133"/>
      <c r="Z3" s="1133"/>
      <c r="AA3" s="1133"/>
      <c r="AB3" s="1133"/>
      <c r="AC3" s="1134"/>
      <c r="AD3" s="1135"/>
      <c r="AE3" s="1135"/>
      <c r="AF3" s="1135"/>
      <c r="AG3" s="1135"/>
      <c r="AH3" s="1135"/>
      <c r="AI3" s="1135"/>
      <c r="AJ3" s="1136"/>
    </row>
    <row r="4" spans="1:36" ht="15.75">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9488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9454</v>
      </c>
      <c r="D5" s="1252">
        <f>ROUND(C6*C17+C20,0)</f>
        <v>9454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8368</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9470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8042</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9470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5">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8"/>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63" t="s">
        <v>3254</v>
      </c>
      <c r="B20" s="159" t="s">
        <v>1994</v>
      </c>
      <c r="C20" s="3031">
        <f>ROUND(IF(F21="与级别开发程度一致",0,(G21-E21)/C21),0)</f>
        <v>-16</v>
      </c>
      <c r="D20" s="3046" t="s">
        <v>1998</v>
      </c>
      <c r="E20" s="3047"/>
      <c r="F20" s="3469" t="s">
        <v>1995</v>
      </c>
      <c r="G20" s="3470"/>
      <c r="H20" s="3032" t="s">
        <v>3431</v>
      </c>
      <c r="I20" s="3032" t="s">
        <v>3432</v>
      </c>
      <c r="J20" s="3033" t="s">
        <v>3433</v>
      </c>
      <c r="K20" s="1889" t="s">
        <v>3434</v>
      </c>
      <c r="L20" s="1889" t="s">
        <v>3435</v>
      </c>
      <c r="M20" s="1889" t="s">
        <v>3436</v>
      </c>
      <c r="N20" s="1889" t="s">
        <v>3437</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45805</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0.96209999999999996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35.32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3459</v>
      </c>
      <c r="C25" s="461">
        <f>IF(B25="容积率修正",IF(G3&lt;10,D26,J26),C27)</f>
        <v>1.1838</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1.1838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1.0084</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955</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11226</v>
      </c>
      <c r="D33" s="1940">
        <f>'数据-汇总表'!E19</f>
        <v>850.8</v>
      </c>
      <c r="E33" s="727">
        <f>ROUND(C33*D33/10000,0)</f>
        <v>955</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7"/>
      <c r="B37" s="1955" t="s">
        <v>2036</v>
      </c>
      <c r="C37" s="167">
        <f>ROUND(D5*C22*C23*C24*C28*F37,0)</f>
        <v>5690</v>
      </c>
      <c r="D37" s="1940"/>
      <c r="E37" s="163">
        <f>ROUND(C37*D37/10000,0)</f>
        <v>0</v>
      </c>
      <c r="F37" s="163">
        <f>SUMIF(修正!A57:A68,G2,修正!B57:B68)</f>
        <v>0.6</v>
      </c>
      <c r="G37" s="163">
        <f>ROUND(IF(E2="工业",C37*$M$42,C37*$M$41),0)</f>
        <v>1423</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f>ROUND(D5*C22*C23*C24*C28*F38,0)</f>
        <v>2845</v>
      </c>
      <c r="D38" s="1940"/>
      <c r="E38" s="163">
        <f t="shared" ref="E38:E42" si="4">ROUND(C38*D38/10000,0)</f>
        <v>0</v>
      </c>
      <c r="F38" s="163">
        <f>SUMIF(修正!A57:A68,G2,修正!C57:C68)</f>
        <v>0.3</v>
      </c>
      <c r="G38" s="163">
        <f>ROUND(IF(E2="工业",C38*$M$42,C38*$M$41),0)</f>
        <v>711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8"/>
      <c r="B39" s="1884" t="s">
        <v>3259</v>
      </c>
      <c r="C39" s="167">
        <f>ROUND(D5*C22*C23*C24*C28*F39,0)</f>
        <v>2371</v>
      </c>
      <c r="D39" s="1940"/>
      <c r="E39" s="163">
        <f t="shared" si="4"/>
        <v>0</v>
      </c>
      <c r="F39" s="163">
        <f>SUMIF(修正!A57:A68,G2,修正!D57:D68)</f>
        <v>0.25</v>
      </c>
      <c r="G39" s="163">
        <f>ROUND(IF(E2="工业",C39*$M$42,C39*$M$41),0)</f>
        <v>593</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2371</v>
      </c>
      <c r="D40" s="1940"/>
      <c r="E40" s="163">
        <f t="shared" si="4"/>
        <v>0</v>
      </c>
      <c r="F40" s="167">
        <f>SUMIF(修正!A57:A68,G2,修正!E57:E68)</f>
        <v>0.25</v>
      </c>
      <c r="G40" s="163">
        <f>ROUND(IF(E2="工业",C40*$M$42,C40*$M$41),0)</f>
        <v>593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1.0084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3438</v>
      </c>
      <c r="D50" s="1002">
        <f t="shared" ref="D50:D58" si="7">SUMIF($J$49:$N$49,C50,J50:N50)</f>
        <v>0</v>
      </c>
      <c r="E50" s="702">
        <f>ROUND(SUM(D50:D58),4)</f>
        <v>8.3999999999999995E-3</v>
      </c>
      <c r="F50" s="1675">
        <f>IF(E2="商业",SUMIF(L1:L12,G2,N1:N12),"——")</f>
        <v>0.13</v>
      </c>
      <c r="G50" s="1000">
        <v>1.95E-2</v>
      </c>
      <c r="H50" s="1003">
        <f t="shared" ref="H50:H58" si="8">IFERROR(ROUNDDOWN($F$50*I50/2,4),"——")</f>
        <v>1.95E-2</v>
      </c>
      <c r="I50" s="3068">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1.43E-2</v>
      </c>
      <c r="H51" s="1003">
        <f t="shared" si="8"/>
        <v>1.43E-2</v>
      </c>
      <c r="I51" s="3068">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t="s">
        <v>3438</v>
      </c>
      <c r="D52" s="1002">
        <f t="shared" si="7"/>
        <v>0</v>
      </c>
      <c r="E52" s="703"/>
      <c r="F52" s="1675"/>
      <c r="G52" s="1000">
        <v>7.7999999999999996E-3</v>
      </c>
      <c r="H52" s="1003">
        <f t="shared" si="8"/>
        <v>7.7999999999999996E-3</v>
      </c>
      <c r="I52" s="3068">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3438</v>
      </c>
      <c r="D53" s="1002">
        <f t="shared" si="7"/>
        <v>0</v>
      </c>
      <c r="E53" s="703"/>
      <c r="F53" s="1675"/>
      <c r="G53" s="1000">
        <v>3.2000000000000002E-3</v>
      </c>
      <c r="H53" s="1003">
        <f t="shared" si="8"/>
        <v>3.2000000000000002E-3</v>
      </c>
      <c r="I53" s="3068">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-5.1999999999999998E-3</v>
      </c>
      <c r="E54" s="703"/>
      <c r="F54" s="1675"/>
      <c r="G54" s="1000">
        <v>5.1999999999999998E-3</v>
      </c>
      <c r="H54" s="1003">
        <f t="shared" si="8"/>
        <v>5.1999999999999998E-3</v>
      </c>
      <c r="I54" s="3068">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7"/>
        <v>3.2000000000000002E-3</v>
      </c>
      <c r="E55" s="703"/>
      <c r="F55" s="1675"/>
      <c r="G55" s="1000">
        <v>3.2000000000000002E-3</v>
      </c>
      <c r="H55" s="1003">
        <f t="shared" si="8"/>
        <v>3.2000000000000002E-3</v>
      </c>
      <c r="I55" s="3068">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3438</v>
      </c>
      <c r="D56" s="1002">
        <f t="shared" si="7"/>
        <v>0</v>
      </c>
      <c r="E56" s="703"/>
      <c r="F56" s="1675"/>
      <c r="G56" s="1000">
        <v>3.2000000000000002E-3</v>
      </c>
      <c r="H56" s="1003">
        <f t="shared" si="8"/>
        <v>3.2000000000000002E-3</v>
      </c>
      <c r="I56" s="3068">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3441</v>
      </c>
      <c r="D57" s="1002">
        <f t="shared" si="7"/>
        <v>1.04E-2</v>
      </c>
      <c r="E57" s="703"/>
      <c r="F57" s="1675"/>
      <c r="G57" s="1000">
        <v>5.1999999999999998E-3</v>
      </c>
      <c r="H57" s="1003">
        <f t="shared" si="8"/>
        <v>5.1999999999999998E-3</v>
      </c>
      <c r="I57" s="3068">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3438</v>
      </c>
      <c r="D58" s="1002">
        <f t="shared" si="7"/>
        <v>0</v>
      </c>
      <c r="E58" s="704"/>
      <c r="F58" s="1675"/>
      <c r="G58" s="1000">
        <v>3.2000000000000002E-3</v>
      </c>
      <c r="H58" s="1003">
        <f t="shared" si="8"/>
        <v>3.2000000000000002E-3</v>
      </c>
      <c r="I58" s="3069">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90" t="s">
        <v>3297</v>
      </c>
      <c r="D104" s="3091"/>
      <c r="E104" s="3091"/>
      <c r="F104" s="3091"/>
      <c r="G104" s="3091"/>
      <c r="H104" s="3091"/>
      <c r="I104" s="3091"/>
      <c r="J104" s="3092"/>
      <c r="K104" s="3093"/>
      <c r="L104" s="3093"/>
      <c r="M104" s="3093"/>
      <c r="N104" s="3093"/>
    </row>
    <row r="105" spans="1:14">
      <c r="A105" s="3466"/>
      <c r="B105" s="3466"/>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2"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3"/>
      <c r="B111" s="3094" t="s">
        <v>3268</v>
      </c>
      <c r="C111" s="3095">
        <f>$I$3</f>
        <v>2</v>
      </c>
      <c r="D111" s="3095">
        <f t="shared" ref="D111:M111" si="32">$I$3</f>
        <v>2</v>
      </c>
      <c r="E111" s="3095">
        <f t="shared" si="32"/>
        <v>2</v>
      </c>
      <c r="F111" s="3095">
        <f t="shared" si="32"/>
        <v>2</v>
      </c>
      <c r="G111" s="3095">
        <f t="shared" si="32"/>
        <v>2</v>
      </c>
      <c r="H111" s="3095">
        <f t="shared" si="32"/>
        <v>2</v>
      </c>
      <c r="I111" s="3095">
        <f t="shared" si="32"/>
        <v>2</v>
      </c>
      <c r="J111" s="3095">
        <f t="shared" si="32"/>
        <v>2</v>
      </c>
      <c r="K111" s="3095">
        <f t="shared" si="32"/>
        <v>2</v>
      </c>
      <c r="L111" s="3095">
        <f t="shared" si="32"/>
        <v>2</v>
      </c>
      <c r="M111" s="3095">
        <f t="shared" si="32"/>
        <v>2</v>
      </c>
      <c r="N111" s="3095">
        <f>$I$3</f>
        <v>2</v>
      </c>
    </row>
    <row r="112" spans="1:14">
      <c r="A112" s="3454"/>
      <c r="B112" s="3094">
        <v>6</v>
      </c>
      <c r="C112" s="3089">
        <f>(-0.5556*(C111^2)-0.2719*C111+8944)*(10^(-4))</f>
        <v>0.89412338000000002</v>
      </c>
      <c r="D112" s="3089">
        <f>(-0.5556*(D111^2)-0.2719*D111+8944)*(10^(-4))</f>
        <v>0.89412338000000002</v>
      </c>
      <c r="E112" s="3089">
        <f>(-0.7912*(E111^2)-11.3794*E111+8482)*(10^(-4))</f>
        <v>0.84560763999999999</v>
      </c>
      <c r="F112" s="3089">
        <f t="shared" ref="F112:I112" si="33">(-0.7912*(F111^2)-11.3794*F111+8482)*(10^(-4))</f>
        <v>0.84560763999999999</v>
      </c>
      <c r="G112" s="3089">
        <f t="shared" si="33"/>
        <v>0.84560763999999999</v>
      </c>
      <c r="H112" s="3089">
        <f t="shared" si="33"/>
        <v>0.84560763999999999</v>
      </c>
      <c r="I112" s="3089">
        <f t="shared" si="33"/>
        <v>0.84560763999999999</v>
      </c>
      <c r="J112" s="3089">
        <f>(-0.989*(J111^2)-63.78*J111+7771)*(10^(-4))</f>
        <v>0.76394840000000008</v>
      </c>
      <c r="K112" s="3089">
        <f t="shared" ref="K112:N112" si="34">(-0.989*(K111^2)-63.78*K111+7771)*(10^(-4))</f>
        <v>0.76394840000000008</v>
      </c>
      <c r="L112" s="3089">
        <f t="shared" si="34"/>
        <v>0.76394840000000008</v>
      </c>
      <c r="M112" s="3089">
        <f t="shared" si="34"/>
        <v>0.76394840000000008</v>
      </c>
      <c r="N112" s="3089">
        <f t="shared" si="34"/>
        <v>0.76394840000000008</v>
      </c>
    </row>
    <row r="113" spans="1:14">
      <c r="A113" s="3455" t="s">
        <v>3311</v>
      </c>
      <c r="B113" s="3455"/>
      <c r="C113" s="3455"/>
      <c r="D113" s="3455"/>
      <c r="E113" s="3455"/>
      <c r="F113" s="3455"/>
      <c r="G113" s="3455"/>
      <c r="H113" s="3455"/>
      <c r="I113" s="3455"/>
      <c r="J113" s="34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2.5</v>
      </c>
      <c r="C116" s="3099" t="s">
        <v>3313</v>
      </c>
      <c r="D116" s="3100">
        <f>SUMPRODUCT((A118:A122=F116)*(B117:M117=H116)*B118:M122)</f>
        <v>0.91400000000000003</v>
      </c>
      <c r="E116" s="162" t="s">
        <v>3314</v>
      </c>
      <c r="F116" s="3101" t="str">
        <f>E2</f>
        <v>商业</v>
      </c>
      <c r="G116" s="162" t="s">
        <v>3315</v>
      </c>
      <c r="H116" s="3101" t="str">
        <f>G2</f>
        <v>七级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3329</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3330</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3331</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2612</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5" t="s">
        <v>2628</v>
      </c>
      <c r="C20" s="2842" t="s">
        <v>2439</v>
      </c>
      <c r="D20" s="2843"/>
      <c r="E20" s="2844">
        <v>1</v>
      </c>
      <c r="F20" s="2845" t="s">
        <v>2440</v>
      </c>
      <c r="G20" s="2845"/>
    </row>
    <row r="21" spans="1:13" ht="19.5" customHeight="1">
      <c r="A21" s="3481"/>
      <c r="B21" s="3474"/>
      <c r="C21" s="2846" t="s">
        <v>2441</v>
      </c>
      <c r="D21" s="2847"/>
      <c r="E21" s="2848">
        <v>1</v>
      </c>
      <c r="F21" s="2845" t="s">
        <v>2442</v>
      </c>
      <c r="G21" s="2845"/>
    </row>
    <row r="22" spans="1:13" ht="19.5" customHeight="1">
      <c r="A22" s="3481"/>
      <c r="B22" s="3474"/>
      <c r="C22" s="2846" t="s">
        <v>2443</v>
      </c>
      <c r="D22" s="2847"/>
      <c r="E22" s="2848">
        <v>0.9</v>
      </c>
      <c r="F22" s="2845" t="s">
        <v>2444</v>
      </c>
      <c r="G22" s="2845"/>
    </row>
    <row r="23" spans="1:13" ht="19.5" customHeight="1">
      <c r="A23" s="3481"/>
      <c r="B23" s="3474"/>
      <c r="C23" s="2846" t="s">
        <v>2445</v>
      </c>
      <c r="D23" s="2847"/>
      <c r="E23" s="2848">
        <v>0.9</v>
      </c>
      <c r="F23" s="2845" t="s">
        <v>2446</v>
      </c>
      <c r="G23" s="2845"/>
    </row>
    <row r="24" spans="1:13" ht="19.5" customHeight="1">
      <c r="A24" s="3481"/>
      <c r="B24" s="3474"/>
      <c r="C24" s="2846" t="s">
        <v>2447</v>
      </c>
      <c r="D24" s="2847"/>
      <c r="E24" s="2848">
        <v>0.8</v>
      </c>
      <c r="F24" s="2845" t="s">
        <v>2448</v>
      </c>
      <c r="G24" s="2845"/>
    </row>
    <row r="25" spans="1:13" ht="19.5" customHeight="1" thickBot="1">
      <c r="A25" s="3482"/>
      <c r="B25" s="3476"/>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7" t="s">
        <v>2631</v>
      </c>
      <c r="B27" s="3475" t="s">
        <v>2612</v>
      </c>
      <c r="C27" s="2842" t="s">
        <v>2452</v>
      </c>
      <c r="D27" s="2843"/>
      <c r="E27" s="2844">
        <v>1</v>
      </c>
      <c r="F27" s="2845" t="s">
        <v>2453</v>
      </c>
      <c r="G27" s="2845"/>
    </row>
    <row r="28" spans="1:13" ht="19.5" customHeight="1">
      <c r="A28" s="3478"/>
      <c r="B28" s="3474"/>
      <c r="C28" s="2846" t="s">
        <v>2454</v>
      </c>
      <c r="D28" s="2847"/>
      <c r="E28" s="2848">
        <v>1</v>
      </c>
      <c r="F28" s="2845" t="s">
        <v>2455</v>
      </c>
      <c r="G28" s="2845"/>
    </row>
    <row r="29" spans="1:13" ht="19.5" customHeight="1">
      <c r="A29" s="3478"/>
      <c r="B29" s="3474"/>
      <c r="C29" s="2846" t="s">
        <v>2456</v>
      </c>
      <c r="D29" s="2847"/>
      <c r="E29" s="2848">
        <v>0.8</v>
      </c>
      <c r="F29" s="2845" t="s">
        <v>2457</v>
      </c>
      <c r="G29" s="2845"/>
    </row>
    <row r="30" spans="1:13" ht="19.5" customHeight="1">
      <c r="A30" s="3478"/>
      <c r="B30" s="3474"/>
      <c r="C30" s="2846" t="s">
        <v>2458</v>
      </c>
      <c r="D30" s="2847"/>
      <c r="E30" s="2848">
        <v>0.8</v>
      </c>
      <c r="F30" s="2845" t="s">
        <v>2459</v>
      </c>
      <c r="G30" s="2845"/>
    </row>
    <row r="31" spans="1:13" ht="19.5" customHeight="1">
      <c r="A31" s="3478"/>
      <c r="B31" s="3474"/>
      <c r="C31" s="2846" t="s">
        <v>2460</v>
      </c>
      <c r="D31" s="2847"/>
      <c r="E31" s="2848">
        <v>0.8</v>
      </c>
      <c r="F31" s="2845" t="s">
        <v>2461</v>
      </c>
      <c r="G31" s="2845"/>
    </row>
    <row r="32" spans="1:13" ht="19.5" customHeight="1">
      <c r="A32" s="3478"/>
      <c r="B32" s="3474"/>
      <c r="C32" s="2846" t="s">
        <v>2462</v>
      </c>
      <c r="D32" s="2847"/>
      <c r="E32" s="2848">
        <v>0.7</v>
      </c>
      <c r="F32" s="2845" t="s">
        <v>2463</v>
      </c>
      <c r="G32" s="2845"/>
    </row>
    <row r="33" spans="1:7" ht="19.5" customHeight="1">
      <c r="A33" s="3478"/>
      <c r="B33" s="3474"/>
      <c r="C33" s="2846" t="s">
        <v>2464</v>
      </c>
      <c r="D33" s="2847"/>
      <c r="E33" s="2848">
        <v>0.8</v>
      </c>
      <c r="F33" s="2845" t="s">
        <v>2465</v>
      </c>
      <c r="G33" s="2845"/>
    </row>
    <row r="34" spans="1:7" ht="19.5" customHeight="1">
      <c r="A34" s="3478"/>
      <c r="B34" s="3474"/>
      <c r="C34" s="2846" t="s">
        <v>2466</v>
      </c>
      <c r="D34" s="2847"/>
      <c r="E34" s="2848">
        <v>0.6</v>
      </c>
      <c r="F34" s="2845" t="s">
        <v>2467</v>
      </c>
      <c r="G34" s="2845"/>
    </row>
    <row r="35" spans="1:7" ht="19.5" customHeight="1">
      <c r="A35" s="3478"/>
      <c r="B35" s="3474"/>
      <c r="C35" s="2846" t="s">
        <v>2468</v>
      </c>
      <c r="D35" s="2847"/>
      <c r="E35" s="2848">
        <v>0.2</v>
      </c>
      <c r="F35" s="2845" t="s">
        <v>2469</v>
      </c>
      <c r="G35" s="2845"/>
    </row>
    <row r="36" spans="1:7" ht="19.5" customHeight="1">
      <c r="A36" s="3478"/>
      <c r="B36" s="3474"/>
      <c r="C36" s="2846" t="s">
        <v>2470</v>
      </c>
      <c r="D36" s="2847"/>
      <c r="E36" s="2848">
        <v>0.2</v>
      </c>
      <c r="F36" s="2845" t="s">
        <v>2471</v>
      </c>
      <c r="G36" s="2845"/>
    </row>
    <row r="37" spans="1:7" ht="19.5" customHeight="1">
      <c r="A37" s="3478"/>
      <c r="B37" s="3472" t="s">
        <v>2632</v>
      </c>
      <c r="C37" s="2846" t="s">
        <v>2472</v>
      </c>
      <c r="D37" s="2847"/>
      <c r="E37" s="2848">
        <v>0.6</v>
      </c>
      <c r="F37" s="2845" t="s">
        <v>2473</v>
      </c>
      <c r="G37" s="2845"/>
    </row>
    <row r="38" spans="1:7" ht="19.5" customHeight="1">
      <c r="A38" s="3478"/>
      <c r="B38" s="3474"/>
      <c r="C38" s="2846" t="s">
        <v>2474</v>
      </c>
      <c r="D38" s="2847"/>
      <c r="E38" s="2848">
        <v>0.6</v>
      </c>
      <c r="F38" s="2845" t="s">
        <v>2475</v>
      </c>
      <c r="G38" s="2845"/>
    </row>
    <row r="39" spans="1:7" ht="19.5" customHeight="1" thickBot="1">
      <c r="A39" s="3479"/>
      <c r="B39" s="3476"/>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0" t="s">
        <v>2610</v>
      </c>
      <c r="B41" s="3475" t="s">
        <v>2634</v>
      </c>
      <c r="C41" s="2842" t="s">
        <v>2479</v>
      </c>
      <c r="D41" s="2843"/>
      <c r="E41" s="2844">
        <v>1</v>
      </c>
      <c r="F41" s="2845" t="s">
        <v>2480</v>
      </c>
      <c r="G41" s="2845"/>
    </row>
    <row r="42" spans="1:7" ht="19.5" customHeight="1">
      <c r="A42" s="3481"/>
      <c r="B42" s="3474"/>
      <c r="C42" s="2846" t="s">
        <v>2481</v>
      </c>
      <c r="D42" s="2847"/>
      <c r="E42" s="2848">
        <v>1</v>
      </c>
      <c r="F42" s="2845" t="s">
        <v>2482</v>
      </c>
      <c r="G42" s="2845"/>
    </row>
    <row r="43" spans="1:7" ht="19.5" customHeight="1">
      <c r="A43" s="3481"/>
      <c r="B43" s="3473"/>
      <c r="C43" s="2846" t="s">
        <v>2483</v>
      </c>
      <c r="D43" s="2847"/>
      <c r="E43" s="2848">
        <v>1.5</v>
      </c>
      <c r="F43" s="2845" t="s">
        <v>2484</v>
      </c>
      <c r="G43" s="2845"/>
    </row>
    <row r="44" spans="1:7" ht="19.5" customHeight="1">
      <c r="A44" s="3481"/>
      <c r="B44" s="2857" t="s">
        <v>2635</v>
      </c>
      <c r="C44" s="2846" t="s">
        <v>2636</v>
      </c>
      <c r="D44" s="2847"/>
      <c r="E44" s="2848">
        <v>2</v>
      </c>
      <c r="F44" s="2845" t="s">
        <v>2485</v>
      </c>
      <c r="G44" s="2845"/>
    </row>
    <row r="45" spans="1:7" ht="19.5" customHeight="1">
      <c r="A45" s="3481"/>
      <c r="B45" s="3472" t="s">
        <v>2637</v>
      </c>
      <c r="C45" s="2846" t="s">
        <v>2486</v>
      </c>
      <c r="D45" s="2847"/>
      <c r="E45" s="2848">
        <v>1</v>
      </c>
      <c r="F45" s="2845" t="s">
        <v>2487</v>
      </c>
      <c r="G45" s="2845"/>
    </row>
    <row r="46" spans="1:7" ht="19.5" customHeight="1">
      <c r="A46" s="3481"/>
      <c r="B46" s="3474"/>
      <c r="C46" s="2846" t="s">
        <v>2488</v>
      </c>
      <c r="D46" s="2847"/>
      <c r="E46" s="2848">
        <v>1</v>
      </c>
      <c r="F46" s="2845" t="s">
        <v>2489</v>
      </c>
      <c r="G46" s="2845"/>
    </row>
    <row r="47" spans="1:7" ht="19.5" customHeight="1">
      <c r="A47" s="3481"/>
      <c r="B47" s="3474"/>
      <c r="C47" s="2846" t="s">
        <v>2490</v>
      </c>
      <c r="D47" s="2847"/>
      <c r="E47" s="2848">
        <v>1</v>
      </c>
      <c r="F47" s="2845" t="s">
        <v>2491</v>
      </c>
      <c r="G47" s="2845"/>
    </row>
    <row r="48" spans="1:7" ht="19.5" customHeight="1">
      <c r="A48" s="3481"/>
      <c r="B48" s="3474"/>
      <c r="C48" s="2846" t="s">
        <v>2492</v>
      </c>
      <c r="D48" s="2847"/>
      <c r="E48" s="2848">
        <v>1</v>
      </c>
      <c r="F48" s="2845" t="s">
        <v>2493</v>
      </c>
      <c r="G48" s="2845"/>
    </row>
    <row r="49" spans="1:7" ht="19.5" customHeight="1">
      <c r="A49" s="3481"/>
      <c r="B49" s="3474"/>
      <c r="C49" s="2846" t="s">
        <v>2494</v>
      </c>
      <c r="D49" s="2847"/>
      <c r="E49" s="2848">
        <v>1</v>
      </c>
      <c r="F49" s="2845" t="s">
        <v>2495</v>
      </c>
      <c r="G49" s="2845"/>
    </row>
    <row r="50" spans="1:7" ht="19.5" customHeight="1">
      <c r="A50" s="3481"/>
      <c r="B50" s="3474"/>
      <c r="C50" s="2846" t="s">
        <v>2496</v>
      </c>
      <c r="D50" s="2847"/>
      <c r="E50" s="2848">
        <v>1</v>
      </c>
      <c r="F50" s="2845" t="s">
        <v>2497</v>
      </c>
      <c r="G50" s="2845"/>
    </row>
    <row r="51" spans="1:7" ht="19.5" customHeight="1" thickBot="1">
      <c r="A51" s="3482"/>
      <c r="B51" s="3476"/>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472" t="s">
        <v>2651</v>
      </c>
      <c r="C73" s="2831" t="s">
        <v>2652</v>
      </c>
      <c r="D73" s="2831" t="s">
        <v>2653</v>
      </c>
      <c r="E73" s="2857">
        <v>0.2</v>
      </c>
      <c r="F73" s="2857">
        <v>25</v>
      </c>
    </row>
    <row r="74" spans="1:7" ht="24">
      <c r="A74" s="2857">
        <v>2</v>
      </c>
      <c r="B74" s="3474"/>
      <c r="C74" s="2831" t="s">
        <v>2654</v>
      </c>
      <c r="D74" s="2831" t="s">
        <v>2655</v>
      </c>
      <c r="E74" s="2857">
        <v>0.2</v>
      </c>
      <c r="F74" s="2857">
        <v>25</v>
      </c>
    </row>
    <row r="75" spans="1:7" ht="24">
      <c r="A75" s="2857">
        <v>3</v>
      </c>
      <c r="B75" s="3474"/>
      <c r="C75" s="2831" t="s">
        <v>2656</v>
      </c>
      <c r="D75" s="2831" t="s">
        <v>2657</v>
      </c>
      <c r="E75" s="2857">
        <v>0.2</v>
      </c>
      <c r="F75" s="2857">
        <v>25</v>
      </c>
    </row>
    <row r="76" spans="1:7" ht="13.5">
      <c r="A76" s="2857">
        <v>4</v>
      </c>
      <c r="B76" s="3474"/>
      <c r="C76" s="2831" t="s">
        <v>2658</v>
      </c>
      <c r="D76" s="2831" t="s">
        <v>2659</v>
      </c>
      <c r="E76" s="2857">
        <v>0.15</v>
      </c>
      <c r="F76" s="2857">
        <v>20</v>
      </c>
    </row>
    <row r="77" spans="1:7" ht="24">
      <c r="A77" s="2857">
        <v>5</v>
      </c>
      <c r="B77" s="3474"/>
      <c r="C77" s="2831" t="s">
        <v>2660</v>
      </c>
      <c r="D77" s="2831" t="s">
        <v>2661</v>
      </c>
      <c r="E77" s="2857">
        <v>0.15</v>
      </c>
      <c r="F77" s="2857">
        <v>20</v>
      </c>
    </row>
    <row r="78" spans="1:7" ht="24">
      <c r="A78" s="2857">
        <v>6</v>
      </c>
      <c r="B78" s="3474"/>
      <c r="C78" s="2831" t="s">
        <v>2662</v>
      </c>
      <c r="D78" s="2831" t="s">
        <v>2663</v>
      </c>
      <c r="E78" s="2857">
        <v>0.15</v>
      </c>
      <c r="F78" s="2857">
        <v>20</v>
      </c>
    </row>
    <row r="79" spans="1:7" ht="24">
      <c r="A79" s="2857">
        <v>7</v>
      </c>
      <c r="B79" s="3474"/>
      <c r="C79" s="2831" t="s">
        <v>2664</v>
      </c>
      <c r="D79" s="2831" t="s">
        <v>2665</v>
      </c>
      <c r="E79" s="2857">
        <v>0.15</v>
      </c>
      <c r="F79" s="2857">
        <v>20</v>
      </c>
    </row>
    <row r="80" spans="1:7" ht="24">
      <c r="A80" s="2857">
        <v>8</v>
      </c>
      <c r="B80" s="3474"/>
      <c r="C80" s="2831" t="s">
        <v>2666</v>
      </c>
      <c r="D80" s="2831" t="s">
        <v>2667</v>
      </c>
      <c r="E80" s="2857">
        <v>0.1</v>
      </c>
      <c r="F80" s="2857">
        <v>15</v>
      </c>
    </row>
    <row r="81" spans="1:6" ht="24">
      <c r="A81" s="2857">
        <v>9</v>
      </c>
      <c r="B81" s="3474"/>
      <c r="C81" s="2831" t="s">
        <v>2668</v>
      </c>
      <c r="D81" s="2831" t="s">
        <v>2669</v>
      </c>
      <c r="E81" s="2857">
        <v>0.1</v>
      </c>
      <c r="F81" s="2857">
        <v>15</v>
      </c>
    </row>
    <row r="82" spans="1:6" ht="24">
      <c r="A82" s="2857">
        <v>10</v>
      </c>
      <c r="B82" s="3474"/>
      <c r="C82" s="2831" t="s">
        <v>2670</v>
      </c>
      <c r="D82" s="2831" t="s">
        <v>2671</v>
      </c>
      <c r="E82" s="2857">
        <v>0.1</v>
      </c>
      <c r="F82" s="2857">
        <v>15</v>
      </c>
    </row>
    <row r="83" spans="1:6" ht="24">
      <c r="A83" s="2857">
        <v>11</v>
      </c>
      <c r="B83" s="3474"/>
      <c r="C83" s="2831" t="s">
        <v>2672</v>
      </c>
      <c r="D83" s="2831" t="s">
        <v>2673</v>
      </c>
      <c r="E83" s="2857">
        <v>0.1</v>
      </c>
      <c r="F83" s="2857">
        <v>15</v>
      </c>
    </row>
    <row r="84" spans="1:6" ht="24">
      <c r="A84" s="2857">
        <v>12</v>
      </c>
      <c r="B84" s="3474"/>
      <c r="C84" s="2831" t="s">
        <v>2674</v>
      </c>
      <c r="D84" s="2831" t="s">
        <v>2675</v>
      </c>
      <c r="E84" s="2857">
        <v>0.1</v>
      </c>
      <c r="F84" s="2857">
        <v>15</v>
      </c>
    </row>
    <row r="85" spans="1:6" ht="13.5">
      <c r="A85" s="2857">
        <v>13</v>
      </c>
      <c r="B85" s="3474"/>
      <c r="C85" s="2831" t="s">
        <v>2676</v>
      </c>
      <c r="D85" s="2831" t="s">
        <v>2677</v>
      </c>
      <c r="E85" s="2857">
        <v>0.1</v>
      </c>
      <c r="F85" s="2857">
        <v>15</v>
      </c>
    </row>
    <row r="86" spans="1:6" ht="13.5">
      <c r="A86" s="2857">
        <v>14</v>
      </c>
      <c r="B86" s="3474"/>
      <c r="C86" s="2831" t="s">
        <v>2678</v>
      </c>
      <c r="D86" s="2831" t="s">
        <v>2679</v>
      </c>
      <c r="E86" s="2857">
        <v>0.1</v>
      </c>
      <c r="F86" s="2857">
        <v>15</v>
      </c>
    </row>
    <row r="87" spans="1:6" ht="13.5">
      <c r="A87" s="2857">
        <v>15</v>
      </c>
      <c r="B87" s="3474"/>
      <c r="C87" s="2831" t="s">
        <v>2680</v>
      </c>
      <c r="D87" s="2831" t="s">
        <v>2681</v>
      </c>
      <c r="E87" s="2857">
        <v>0.1</v>
      </c>
      <c r="F87" s="2857">
        <v>15</v>
      </c>
    </row>
    <row r="88" spans="1:6" ht="24">
      <c r="A88" s="2857">
        <v>16</v>
      </c>
      <c r="B88" s="3474"/>
      <c r="C88" s="2831" t="s">
        <v>2682</v>
      </c>
      <c r="D88" s="2831" t="s">
        <v>2683</v>
      </c>
      <c r="E88" s="2857">
        <v>0.1</v>
      </c>
      <c r="F88" s="2857">
        <v>15</v>
      </c>
    </row>
    <row r="89" spans="1:6" ht="24">
      <c r="A89" s="2857">
        <v>17</v>
      </c>
      <c r="B89" s="3473"/>
      <c r="C89" s="2831" t="s">
        <v>2684</v>
      </c>
      <c r="D89" s="2831" t="s">
        <v>2685</v>
      </c>
      <c r="E89" s="2857">
        <v>0.1</v>
      </c>
      <c r="F89" s="2857">
        <v>15</v>
      </c>
    </row>
    <row r="90" spans="1:6" ht="13.5">
      <c r="A90" s="2857">
        <v>18</v>
      </c>
      <c r="B90" s="3472" t="s">
        <v>2686</v>
      </c>
      <c r="C90" s="2831" t="s">
        <v>2687</v>
      </c>
      <c r="D90" s="2831" t="s">
        <v>2688</v>
      </c>
      <c r="E90" s="2857">
        <v>0.2</v>
      </c>
      <c r="F90" s="2857">
        <v>25</v>
      </c>
    </row>
    <row r="91" spans="1:6" ht="24">
      <c r="A91" s="2857">
        <v>19</v>
      </c>
      <c r="B91" s="3474"/>
      <c r="C91" s="2831" t="s">
        <v>2689</v>
      </c>
      <c r="D91" s="2831" t="s">
        <v>2690</v>
      </c>
      <c r="E91" s="2857">
        <v>0.2</v>
      </c>
      <c r="F91" s="2857">
        <v>25</v>
      </c>
    </row>
    <row r="92" spans="1:6" ht="13.5">
      <c r="A92" s="2857">
        <v>20</v>
      </c>
      <c r="B92" s="3474"/>
      <c r="C92" s="2831" t="s">
        <v>2691</v>
      </c>
      <c r="D92" s="2831" t="s">
        <v>2692</v>
      </c>
      <c r="E92" s="2857">
        <v>0.15</v>
      </c>
      <c r="F92" s="2857">
        <v>20</v>
      </c>
    </row>
    <row r="93" spans="1:6" ht="13.5">
      <c r="A93" s="2857">
        <v>21</v>
      </c>
      <c r="B93" s="3474"/>
      <c r="C93" s="2831" t="s">
        <v>2693</v>
      </c>
      <c r="D93" s="2831" t="s">
        <v>2694</v>
      </c>
      <c r="E93" s="2857">
        <v>0.15</v>
      </c>
      <c r="F93" s="2857">
        <v>20</v>
      </c>
    </row>
    <row r="94" spans="1:6" ht="13.5">
      <c r="A94" s="2857">
        <v>22</v>
      </c>
      <c r="B94" s="3474"/>
      <c r="C94" s="2831" t="s">
        <v>2695</v>
      </c>
      <c r="D94" s="2831" t="s">
        <v>2696</v>
      </c>
      <c r="E94" s="2857">
        <v>0.15</v>
      </c>
      <c r="F94" s="2857">
        <v>20</v>
      </c>
    </row>
    <row r="95" spans="1:6" ht="36">
      <c r="A95" s="2857">
        <v>23</v>
      </c>
      <c r="B95" s="3474"/>
      <c r="C95" s="2831" t="s">
        <v>2697</v>
      </c>
      <c r="D95" s="2831" t="s">
        <v>2698</v>
      </c>
      <c r="E95" s="2857">
        <v>0.15</v>
      </c>
      <c r="F95" s="2857">
        <v>20</v>
      </c>
    </row>
    <row r="96" spans="1:6" ht="13.5">
      <c r="A96" s="2857">
        <v>24</v>
      </c>
      <c r="B96" s="3474"/>
      <c r="C96" s="2831" t="s">
        <v>2699</v>
      </c>
      <c r="D96" s="2831" t="s">
        <v>2700</v>
      </c>
      <c r="E96" s="2857">
        <v>0.1</v>
      </c>
      <c r="F96" s="2857">
        <v>15</v>
      </c>
    </row>
    <row r="97" spans="1:6" ht="13.5">
      <c r="A97" s="2857">
        <v>25</v>
      </c>
      <c r="B97" s="3474"/>
      <c r="C97" s="2831" t="s">
        <v>2701</v>
      </c>
      <c r="D97" s="2831" t="s">
        <v>2702</v>
      </c>
      <c r="E97" s="2857">
        <v>0.1</v>
      </c>
      <c r="F97" s="2857">
        <v>15</v>
      </c>
    </row>
    <row r="98" spans="1:6" ht="24">
      <c r="A98" s="2857">
        <v>26</v>
      </c>
      <c r="B98" s="3474"/>
      <c r="C98" s="2831" t="s">
        <v>2703</v>
      </c>
      <c r="D98" s="2831" t="s">
        <v>2704</v>
      </c>
      <c r="E98" s="2857">
        <v>0.1</v>
      </c>
      <c r="F98" s="2857">
        <v>15</v>
      </c>
    </row>
    <row r="99" spans="1:6" ht="24">
      <c r="A99" s="2857">
        <v>27</v>
      </c>
      <c r="B99" s="3474"/>
      <c r="C99" s="2831" t="s">
        <v>2705</v>
      </c>
      <c r="D99" s="2831" t="s">
        <v>2706</v>
      </c>
      <c r="E99" s="2857">
        <v>0.1</v>
      </c>
      <c r="F99" s="2857">
        <v>15</v>
      </c>
    </row>
    <row r="100" spans="1:6" ht="13.5">
      <c r="A100" s="2857">
        <v>28</v>
      </c>
      <c r="B100" s="3474"/>
      <c r="C100" s="2831" t="s">
        <v>2707</v>
      </c>
      <c r="D100" s="2831" t="s">
        <v>2708</v>
      </c>
      <c r="E100" s="2857">
        <v>0.1</v>
      </c>
      <c r="F100" s="2857">
        <v>15</v>
      </c>
    </row>
    <row r="101" spans="1:6" ht="13.5">
      <c r="A101" s="2857">
        <v>29</v>
      </c>
      <c r="B101" s="3474"/>
      <c r="C101" s="2831" t="s">
        <v>2709</v>
      </c>
      <c r="D101" s="2831" t="s">
        <v>2710</v>
      </c>
      <c r="E101" s="2857">
        <v>0.1</v>
      </c>
      <c r="F101" s="2857">
        <v>15</v>
      </c>
    </row>
    <row r="102" spans="1:6" ht="13.5">
      <c r="A102" s="2857">
        <v>30</v>
      </c>
      <c r="B102" s="3474"/>
      <c r="C102" s="2831" t="s">
        <v>2711</v>
      </c>
      <c r="D102" s="2831" t="s">
        <v>2712</v>
      </c>
      <c r="E102" s="2857">
        <v>0.1</v>
      </c>
      <c r="F102" s="2857">
        <v>15</v>
      </c>
    </row>
    <row r="103" spans="1:6" ht="24">
      <c r="A103" s="2857">
        <v>31</v>
      </c>
      <c r="B103" s="3474"/>
      <c r="C103" s="2831" t="s">
        <v>2713</v>
      </c>
      <c r="D103" s="2831" t="s">
        <v>2714</v>
      </c>
      <c r="E103" s="2857">
        <v>0.1</v>
      </c>
      <c r="F103" s="2857">
        <v>15</v>
      </c>
    </row>
    <row r="104" spans="1:6" ht="24">
      <c r="A104" s="2857">
        <v>32</v>
      </c>
      <c r="B104" s="3474"/>
      <c r="C104" s="2831" t="s">
        <v>2715</v>
      </c>
      <c r="D104" s="2831" t="s">
        <v>2716</v>
      </c>
      <c r="E104" s="2857">
        <v>0.1</v>
      </c>
      <c r="F104" s="2857">
        <v>15</v>
      </c>
    </row>
    <row r="105" spans="1:6" ht="24">
      <c r="A105" s="2857">
        <v>33</v>
      </c>
      <c r="B105" s="3474"/>
      <c r="C105" s="2831" t="s">
        <v>2717</v>
      </c>
      <c r="D105" s="2831" t="s">
        <v>2718</v>
      </c>
      <c r="E105" s="2857">
        <v>0.1</v>
      </c>
      <c r="F105" s="2857">
        <v>15</v>
      </c>
    </row>
    <row r="106" spans="1:6" ht="24">
      <c r="A106" s="2857">
        <v>34</v>
      </c>
      <c r="B106" s="3473"/>
      <c r="C106" s="2831" t="s">
        <v>2719</v>
      </c>
      <c r="D106" s="2831" t="s">
        <v>2720</v>
      </c>
      <c r="E106" s="2857">
        <v>0.1</v>
      </c>
      <c r="F106" s="2857">
        <v>15</v>
      </c>
    </row>
    <row r="107" spans="1:6" ht="24">
      <c r="A107" s="2857">
        <v>35</v>
      </c>
      <c r="B107" s="3472" t="s">
        <v>2721</v>
      </c>
      <c r="C107" s="2857" t="s">
        <v>2722</v>
      </c>
      <c r="D107" s="2831" t="s">
        <v>2723</v>
      </c>
      <c r="E107" s="2857">
        <v>0.15</v>
      </c>
      <c r="F107" s="2857">
        <v>20</v>
      </c>
    </row>
    <row r="108" spans="1:6" ht="13.5">
      <c r="A108" s="2857">
        <v>36</v>
      </c>
      <c r="B108" s="3474"/>
      <c r="C108" s="2857" t="s">
        <v>2724</v>
      </c>
      <c r="D108" s="2831" t="s">
        <v>2725</v>
      </c>
      <c r="E108" s="2857">
        <v>0.15</v>
      </c>
      <c r="F108" s="2857">
        <v>20</v>
      </c>
    </row>
    <row r="109" spans="1:6" ht="13.5">
      <c r="A109" s="2857">
        <v>37</v>
      </c>
      <c r="B109" s="3474"/>
      <c r="C109" s="2857" t="s">
        <v>2726</v>
      </c>
      <c r="D109" s="2831" t="s">
        <v>2727</v>
      </c>
      <c r="E109" s="2857">
        <v>0.15</v>
      </c>
      <c r="F109" s="2857">
        <v>20</v>
      </c>
    </row>
    <row r="110" spans="1:6" ht="13.5">
      <c r="A110" s="2857">
        <v>38</v>
      </c>
      <c r="B110" s="3474"/>
      <c r="C110" s="2857" t="s">
        <v>2728</v>
      </c>
      <c r="D110" s="2831" t="s">
        <v>2729</v>
      </c>
      <c r="E110" s="2857">
        <v>0.1</v>
      </c>
      <c r="F110" s="2857">
        <v>15</v>
      </c>
    </row>
    <row r="111" spans="1:6" ht="24">
      <c r="A111" s="2857">
        <v>39</v>
      </c>
      <c r="B111" s="3474"/>
      <c r="C111" s="2857" t="s">
        <v>2730</v>
      </c>
      <c r="D111" s="2831" t="s">
        <v>2731</v>
      </c>
      <c r="E111" s="2857">
        <v>0.1</v>
      </c>
      <c r="F111" s="2857">
        <v>15</v>
      </c>
    </row>
    <row r="112" spans="1:6" ht="24">
      <c r="A112" s="2857">
        <v>40</v>
      </c>
      <c r="B112" s="3473"/>
      <c r="C112" s="2857" t="s">
        <v>2732</v>
      </c>
      <c r="D112" s="2831" t="s">
        <v>2733</v>
      </c>
      <c r="E112" s="2857">
        <v>0.1</v>
      </c>
      <c r="F112" s="2857">
        <v>15</v>
      </c>
    </row>
    <row r="113" spans="1:6" ht="13.5">
      <c r="A113" s="2857">
        <v>41</v>
      </c>
      <c r="B113" s="3471" t="s">
        <v>2734</v>
      </c>
      <c r="C113" s="2857" t="s">
        <v>2735</v>
      </c>
      <c r="D113" s="2831" t="s">
        <v>2736</v>
      </c>
      <c r="E113" s="2857">
        <v>0.1</v>
      </c>
      <c r="F113" s="2857">
        <v>15</v>
      </c>
    </row>
    <row r="114" spans="1:6" ht="13.5">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13.5">
      <c r="A116" s="2857">
        <v>44</v>
      </c>
      <c r="B116" s="3472" t="s">
        <v>2741</v>
      </c>
      <c r="C116" s="2857" t="s">
        <v>2742</v>
      </c>
      <c r="D116" s="2831" t="s">
        <v>2743</v>
      </c>
      <c r="E116" s="2857">
        <v>0.1</v>
      </c>
      <c r="F116" s="2857">
        <v>15</v>
      </c>
    </row>
    <row r="117" spans="1:6" ht="24">
      <c r="A117" s="2857">
        <v>45</v>
      </c>
      <c r="B117" s="3473"/>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3"/>
      <c r="C119" s="2857" t="s">
        <v>2749</v>
      </c>
      <c r="D119" s="2831" t="s">
        <v>2750</v>
      </c>
      <c r="E119" s="2857">
        <v>0.1</v>
      </c>
      <c r="F119" s="2857">
        <v>15</v>
      </c>
    </row>
    <row r="120" spans="1:6" ht="13.5">
      <c r="A120" s="2857">
        <v>48</v>
      </c>
      <c r="B120" s="3472" t="s">
        <v>2751</v>
      </c>
      <c r="C120" s="2857" t="s">
        <v>2752</v>
      </c>
      <c r="D120" s="2831" t="s">
        <v>2753</v>
      </c>
      <c r="E120" s="2857">
        <v>0.1</v>
      </c>
      <c r="F120" s="2857">
        <v>15</v>
      </c>
    </row>
    <row r="121" spans="1:6" ht="13.5">
      <c r="A121" s="2857">
        <v>49</v>
      </c>
      <c r="B121" s="3473"/>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71" t="s">
        <v>2769</v>
      </c>
      <c r="C127" s="2857" t="s">
        <v>2770</v>
      </c>
      <c r="D127" s="2831" t="s">
        <v>2771</v>
      </c>
      <c r="E127" s="2857">
        <v>0.1</v>
      </c>
      <c r="F127" s="2857">
        <v>15</v>
      </c>
    </row>
    <row r="128" spans="1:6" ht="13.5">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13.5">
      <c r="A131" s="2857">
        <v>59</v>
      </c>
      <c r="B131" s="3471"/>
      <c r="C131" s="2857" t="s">
        <v>2779</v>
      </c>
      <c r="D131" s="2831" t="s">
        <v>2780</v>
      </c>
      <c r="E131" s="2857">
        <v>0.1</v>
      </c>
      <c r="F131" s="2857">
        <v>15</v>
      </c>
    </row>
    <row r="132" spans="1:6" ht="13.5">
      <c r="A132" s="2857">
        <v>60</v>
      </c>
      <c r="B132" s="3472" t="s">
        <v>2781</v>
      </c>
      <c r="C132" s="2857" t="s">
        <v>2782</v>
      </c>
      <c r="D132" s="2831" t="s">
        <v>2783</v>
      </c>
      <c r="E132" s="2857">
        <v>0.1</v>
      </c>
      <c r="F132" s="2857">
        <v>15</v>
      </c>
    </row>
    <row r="133" spans="1:6" ht="13.5">
      <c r="A133" s="2857">
        <v>61</v>
      </c>
      <c r="B133" s="3473"/>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71" t="s">
        <v>2789</v>
      </c>
      <c r="C135" s="2857" t="s">
        <v>2790</v>
      </c>
      <c r="D135" s="2831" t="s">
        <v>2791</v>
      </c>
      <c r="E135" s="2857">
        <v>0.1</v>
      </c>
      <c r="F135" s="2857">
        <v>15</v>
      </c>
    </row>
    <row r="136" spans="1:6" ht="13.5">
      <c r="A136" s="2857">
        <v>64</v>
      </c>
      <c r="B136" s="3471"/>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0.95120000000000005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28326</v>
      </c>
      <c r="C2" s="2" t="s">
        <v>106</v>
      </c>
      <c r="D2" s="191"/>
      <c r="E2" s="191"/>
      <c r="F2" s="191"/>
      <c r="G2" s="191"/>
    </row>
    <row r="3" spans="1:7" s="192" customFormat="1" ht="18" customHeight="1" thickBot="1">
      <c r="A3" s="195" t="s">
        <v>58</v>
      </c>
      <c r="B3" s="196">
        <f ca="1">ROUND(B2*10000/'数据-汇总表'!E3,0)</f>
        <v>332934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v>
      </c>
      <c r="D10" s="795">
        <f>'数据-汇总表'!E6</f>
        <v>850.8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v>
      </c>
      <c r="D19" s="204">
        <f>'数据-汇总表'!E3</f>
        <v>850.8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27558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553</v>
      </c>
      <c r="D34" s="209"/>
      <c r="E34" s="212"/>
      <c r="F34" s="249">
        <f>IF('数据-取费表'!B24=0,1,'数据-取费表'!N16)</f>
        <v>1</v>
      </c>
      <c r="G34" s="211" t="s">
        <v>89</v>
      </c>
    </row>
    <row r="35" spans="1:7" ht="13.5" customHeight="1">
      <c r="A35" s="734" t="s">
        <v>351</v>
      </c>
      <c r="B35" s="207" t="s">
        <v>33</v>
      </c>
      <c r="C35" s="212">
        <f>ROUND(C34*F35,0)</f>
        <v>28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v>
      </c>
      <c r="D37" s="209">
        <f>'数据-汇总表'!E3</f>
        <v>850.8</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18</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31" t="s">
        <v>341</v>
      </c>
      <c r="B45" s="236" t="s">
        <v>85</v>
      </c>
      <c r="C45" s="237">
        <f>C46</f>
        <v>93</v>
      </c>
      <c r="D45" s="227">
        <f>C47</f>
        <v>3.0000000000000001E-3</v>
      </c>
      <c r="E45" s="228" t="s">
        <v>102</v>
      </c>
      <c r="F45" s="238"/>
      <c r="G45" s="239" t="s">
        <v>434</v>
      </c>
    </row>
    <row r="46" spans="1:7" s="206" customFormat="1" ht="13.5" customHeight="1">
      <c r="A46" s="734" t="s">
        <v>349</v>
      </c>
      <c r="B46" s="240" t="s">
        <v>427</v>
      </c>
      <c r="C46" s="241">
        <f>ROUND((C33+C39)*F27,0)</f>
        <v>93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792</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768</v>
      </c>
      <c r="D51" s="224"/>
      <c r="E51" s="224"/>
      <c r="F51" s="256"/>
      <c r="G51" s="226" t="s">
        <v>37</v>
      </c>
    </row>
    <row r="52" spans="1:7" s="200" customFormat="1" ht="16.5" thickBot="1">
      <c r="A52" s="257" t="s">
        <v>38</v>
      </c>
      <c r="B52" s="258"/>
      <c r="C52" s="259">
        <f ca="1">C31+C51</f>
        <v>28326</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1325</v>
      </c>
    </row>
    <row r="6" spans="1:5" ht="15.75">
      <c r="B6" s="3168"/>
      <c r="C6" s="1392" t="s">
        <v>911</v>
      </c>
      <c r="D6" s="797" t="str">
        <f ca="1">NUMBERSTRING(INT(D5*10000),2)&amp;"元整"</f>
        <v>壹仟叁佰贰拾伍万元整</v>
      </c>
    </row>
    <row r="7" spans="1:5" ht="15.75">
      <c r="B7" s="3173"/>
      <c r="C7" s="1393" t="s">
        <v>912</v>
      </c>
      <c r="D7" s="798">
        <f ca="1">结果表!H102</f>
        <v>15574</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1325</v>
      </c>
    </row>
    <row r="14" spans="1:5" ht="15.75">
      <c r="B14" s="3168"/>
      <c r="C14" s="1392" t="s">
        <v>911</v>
      </c>
      <c r="D14" s="797" t="str">
        <f ca="1">NUMBERSTRING(INT(D13*10000),2)&amp;"元整"</f>
        <v>壹仟叁佰贰拾伍万元整</v>
      </c>
    </row>
    <row r="15" spans="1:5" ht="15">
      <c r="B15" s="3173"/>
      <c r="C15" s="1393" t="s">
        <v>921</v>
      </c>
      <c r="D15" s="806">
        <f ca="1">结果表!H108</f>
        <v>15574</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3" t="s">
        <v>3181</v>
      </c>
      <c r="B1" s="3483"/>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45805</v>
      </c>
      <c r="B1" s="2929" t="s">
        <v>3377</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3403</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3402</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3370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3380</v>
      </c>
    </row>
    <row r="27" spans="1:44">
      <c r="I27" s="1405" t="s">
        <v>2825</v>
      </c>
    </row>
    <row r="29" spans="1:44" s="2009" customFormat="1" ht="12.75">
      <c r="B29" s="2929" t="s">
        <v>3378</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3403</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3402</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3371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30">
      <c r="A4" s="1403" t="str">
        <f>项目基本情况!S2</f>
        <v>北京市顺义区富林路50号院1号楼2层204房地产</v>
      </c>
      <c r="B4" s="801">
        <f>项目基本情况!C17</f>
        <v>850.8</v>
      </c>
      <c r="C4" s="801">
        <f>项目基本情况!C18</f>
        <v>0</v>
      </c>
      <c r="D4" s="801">
        <f ca="1">结果表!D118</f>
        <v>841</v>
      </c>
      <c r="E4" s="801">
        <f ca="1">结果表!E118</f>
        <v>9885</v>
      </c>
      <c r="F4" s="801">
        <f ca="1">结果表!F118</f>
        <v>484</v>
      </c>
      <c r="G4" s="801">
        <f ca="1">结果表!G118</f>
        <v>5689</v>
      </c>
      <c r="H4" s="801">
        <f ca="1">结果表!H118</f>
        <v>1325</v>
      </c>
      <c r="I4" s="801">
        <f ca="1">结果表!I118</f>
        <v>15574</v>
      </c>
    </row>
    <row r="5" spans="1:9" ht="30" customHeight="1">
      <c r="A5" s="3180" t="s">
        <v>927</v>
      </c>
      <c r="B5" s="3180"/>
      <c r="C5" s="3180"/>
      <c r="D5" s="3180" t="str">
        <f ca="1">结果表!D119</f>
        <v>捌佰肆拾壹万元整</v>
      </c>
      <c r="E5" s="3180"/>
      <c r="F5" s="3180" t="str">
        <f ca="1">结果表!F119</f>
        <v>肆佰捌拾肆万元整</v>
      </c>
      <c r="G5" s="3180"/>
      <c r="H5" s="3180" t="str">
        <f ca="1">结果表!H119</f>
        <v>壹仟叁佰贰拾伍万元整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1325</v>
      </c>
      <c r="E8" s="3179"/>
      <c r="F8" s="3179"/>
      <c r="G8" s="3179"/>
      <c r="H8" s="3179"/>
      <c r="I8" s="3179"/>
    </row>
    <row r="9" spans="1:9" ht="15">
      <c r="A9" s="3180" t="s">
        <v>927</v>
      </c>
      <c r="B9" s="3180"/>
      <c r="C9" s="3180"/>
      <c r="D9" s="3180" t="str">
        <f ca="1">结果表!D123</f>
        <v>壹仟叁佰贰拾伍万元整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基准地价</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2025-05-28T07:05:43Z</dcterms:modified>
</cp:coreProperties>
</file>