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085" yWindow="180" windowWidth="11835" windowHeight="942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r:id="rId32"/>
    <sheet name="收益法" sheetId="15"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0" sheetId="81" r:id="rId46"/>
    <sheet name="Sheet1" sheetId="80" r:id="rId47"/>
  </sheets>
  <externalReferences>
    <externalReference r:id="rId48"/>
    <externalReference r:id="rId49"/>
    <externalReference r:id="rId50"/>
    <externalReference r:id="rId51"/>
    <externalReference r:id="rId52"/>
    <externalReference r:id="rId53"/>
    <externalReference r:id="rId54"/>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32">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I14" i="74"/>
  <c r="D15" i="74" l="1"/>
  <c r="G15" i="74" s="1"/>
  <c r="O35" i="9" l="1"/>
  <c r="C11" i="40" l="1"/>
  <c r="I7" i="6"/>
  <c r="C14" i="74" l="1"/>
  <c r="C15" i="74"/>
  <c r="B14" i="74"/>
  <c r="AL14" i="3" l="1"/>
  <c r="B15" i="74" l="1"/>
  <c r="B25" i="31" l="1"/>
  <c r="C19" i="6"/>
  <c r="AN14" i="3"/>
  <c r="E34" i="40" l="1"/>
  <c r="E41" i="40"/>
  <c r="B24" i="31" l="1"/>
  <c r="I41" i="40" l="1"/>
  <c r="G41" i="40"/>
  <c r="I34" i="40"/>
  <c r="G34" i="40"/>
  <c r="C34" i="40"/>
  <c r="D66" i="40"/>
  <c r="E66" i="40" s="1"/>
  <c r="F66" i="40" s="1"/>
  <c r="G66" i="40" s="1"/>
  <c r="H66" i="40" s="1"/>
  <c r="I66" i="40" s="1"/>
  <c r="J66" i="40" s="1"/>
  <c r="K66" i="40" s="1"/>
  <c r="L66" i="40" s="1"/>
  <c r="M66" i="40" s="1"/>
  <c r="I7" i="40"/>
  <c r="G7" i="40"/>
  <c r="E7" i="40"/>
  <c r="I5" i="40"/>
  <c r="G5" i="40"/>
  <c r="E5" i="40"/>
  <c r="Y6" i="1" l="1"/>
  <c r="F19" i="6"/>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J39" i="40"/>
  <c r="AC39" i="40" s="1"/>
  <c r="B116" i="40"/>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W8" i="40"/>
  <c r="AB39" i="40"/>
  <c r="AA9" i="40"/>
  <c r="U9" i="40"/>
  <c r="U38" i="40"/>
  <c r="W31" i="40"/>
  <c r="S38"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H36" i="40"/>
  <c r="AB36" i="40" s="1"/>
  <c r="F35" i="40"/>
  <c r="AA35" i="40" s="1"/>
  <c r="AB8" i="39"/>
  <c r="AB12" i="33"/>
  <c r="AC12" i="34"/>
  <c r="AA12" i="34"/>
  <c r="AB12" i="35"/>
  <c r="AB12" i="36"/>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s="1"/>
  <c r="F36" i="40"/>
  <c r="AA36" i="40" s="1"/>
  <c r="H28" i="40"/>
  <c r="U28"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H5" i="3"/>
  <c r="AA25" i="21"/>
  <c r="H19" i="40"/>
  <c r="U19" i="40" s="1"/>
  <c r="F19" i="40"/>
  <c r="S19" i="40" s="1"/>
  <c r="S14" i="40"/>
  <c r="AC1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AZ17" i="3" s="1"/>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AA39" i="40" s="1"/>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AC36" i="40"/>
  <c r="W38" i="40"/>
  <c r="AB27"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U32" i="40"/>
  <c r="S37" i="40"/>
  <c r="AB28" i="40"/>
  <c r="W28" i="40"/>
  <c r="W34" i="40"/>
  <c r="W19" i="40"/>
  <c r="AC14" i="40"/>
  <c r="S13" i="40"/>
  <c r="S33"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9" i="67"/>
  <c r="M8" i="67"/>
  <c r="D4" i="73"/>
  <c r="F7" i="73"/>
  <c r="L48" i="15"/>
  <c r="F7" i="67"/>
  <c r="F36" i="67"/>
  <c r="C76" i="15"/>
  <c r="AO13" i="1"/>
  <c r="J15" i="15"/>
  <c r="M9" i="15"/>
  <c r="F40" i="67"/>
  <c r="F16" i="67"/>
  <c r="E8" i="76"/>
  <c r="J15" i="67"/>
  <c r="E11" i="76"/>
  <c r="B10" i="76"/>
  <c r="F42" i="15"/>
  <c r="F5" i="73"/>
  <c r="M23" i="67"/>
  <c r="E9" i="76"/>
  <c r="F38" i="67"/>
  <c r="M9" i="67"/>
  <c r="L48" i="67"/>
  <c r="D6" i="73"/>
  <c r="M8" i="15"/>
  <c r="M29" i="15"/>
  <c r="F3" i="73"/>
  <c r="F37" i="67"/>
  <c r="M6" i="67"/>
  <c r="F9" i="15"/>
  <c r="F36" i="15"/>
  <c r="D5" i="73"/>
  <c r="B7" i="76"/>
  <c r="F8" i="15"/>
  <c r="E2" i="69"/>
  <c r="E13" i="76"/>
  <c r="L47" i="15"/>
  <c r="F20" i="31"/>
  <c r="F16" i="15"/>
  <c r="F40" i="15"/>
  <c r="M6" i="15"/>
  <c r="F6" i="67"/>
  <c r="B9" i="76"/>
  <c r="E2" i="68"/>
  <c r="M23" i="15"/>
  <c r="F7" i="15"/>
  <c r="M26" i="67"/>
  <c r="D7" i="73"/>
  <c r="F6" i="73"/>
  <c r="B12" i="76"/>
  <c r="M24" i="67"/>
  <c r="L47" i="67"/>
  <c r="M28" i="67"/>
  <c r="F13" i="15"/>
  <c r="B8" i="76"/>
  <c r="M29" i="67"/>
  <c r="M28" i="15"/>
  <c r="F43" i="15"/>
  <c r="F4" i="73"/>
  <c r="M22" i="67"/>
  <c r="B13" i="76"/>
  <c r="F38" i="15"/>
  <c r="B11" i="76"/>
  <c r="M26" i="15"/>
  <c r="F26" i="15"/>
  <c r="E10" i="76"/>
  <c r="F8" i="67"/>
  <c r="M22" i="15"/>
  <c r="F26" i="67"/>
  <c r="F43" i="67"/>
  <c r="D3" i="73"/>
  <c r="C76" i="67"/>
  <c r="F6" i="15"/>
  <c r="E12" i="76"/>
  <c r="F37" i="15"/>
  <c r="F13" i="67"/>
  <c r="F42" i="67"/>
  <c r="E7" i="76"/>
  <c r="M24" i="15"/>
  <c r="S34" i="40" l="1"/>
  <c r="U34" i="40"/>
  <c r="AZ14" i="3"/>
  <c r="G14" i="3"/>
  <c r="J51" i="15"/>
  <c r="W25" i="40"/>
  <c r="H23" i="40"/>
  <c r="F92" i="40"/>
  <c r="G92" i="40" s="1"/>
  <c r="J23" i="40"/>
  <c r="F23" i="40"/>
  <c r="J21" i="40"/>
  <c r="W21" i="40" s="1"/>
  <c r="H21" i="40"/>
  <c r="F90" i="40"/>
  <c r="G90" i="40" s="1"/>
  <c r="F21" i="40"/>
  <c r="AA21" i="40" s="1"/>
  <c r="H17" i="40"/>
  <c r="F17" i="40"/>
  <c r="J17" i="40"/>
  <c r="W17" i="40" s="1"/>
  <c r="F86" i="40"/>
  <c r="G86" i="40" s="1"/>
  <c r="J15" i="40"/>
  <c r="H15" i="40"/>
  <c r="F84" i="40"/>
  <c r="G84" i="40" s="1"/>
  <c r="F15" i="40"/>
  <c r="S15" i="40" s="1"/>
  <c r="W37" i="40"/>
  <c r="S36" i="40"/>
  <c r="U35" i="40"/>
  <c r="S25" i="40"/>
  <c r="AC21" i="40"/>
  <c r="S21" i="40"/>
  <c r="AA19" i="40"/>
  <c r="W40" i="40"/>
  <c r="AC40" i="40"/>
  <c r="F40" i="40"/>
  <c r="H40" i="40"/>
  <c r="W32" i="40"/>
  <c r="AC32" i="40"/>
  <c r="W30" i="40"/>
  <c r="S31" i="40"/>
  <c r="W27" i="40"/>
  <c r="AB31" i="40"/>
  <c r="S30" i="40"/>
  <c r="AA32" i="40"/>
  <c r="AB33" i="40"/>
  <c r="AC9" i="40"/>
  <c r="F54" i="9"/>
  <c r="F28" i="15"/>
  <c r="F32" i="15"/>
  <c r="F60" i="15" s="1"/>
  <c r="F32" i="67"/>
  <c r="F60" i="67" s="1"/>
  <c r="F52" i="9"/>
  <c r="F28" i="67"/>
  <c r="C28" i="67" s="1"/>
  <c r="F30" i="68"/>
  <c r="F48" i="68" s="1"/>
  <c r="BL5" i="3"/>
  <c r="AZ15" i="3"/>
  <c r="G28" i="6"/>
  <c r="F29" i="6"/>
  <c r="G5" i="3"/>
  <c r="B3" i="3" s="1"/>
  <c r="E510" i="3" s="1"/>
  <c r="BA5" i="3"/>
  <c r="D19" i="53"/>
  <c r="B38" i="72" s="1"/>
  <c r="D21" i="53"/>
  <c r="B39" i="72" s="1"/>
  <c r="D16" i="53"/>
  <c r="B34"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53" i="3"/>
  <c r="E343" i="3"/>
  <c r="E426" i="3"/>
  <c r="N6" i="3"/>
  <c r="E239" i="3"/>
  <c r="E579" i="3"/>
  <c r="E574" i="3"/>
  <c r="E569" i="3"/>
  <c r="E359" i="3"/>
  <c r="E201" i="3"/>
  <c r="E97" i="3"/>
  <c r="E533" i="3"/>
  <c r="E514" i="3"/>
  <c r="E523" i="3"/>
  <c r="V6" i="3"/>
  <c r="E538" i="3"/>
  <c r="AB6" i="3"/>
  <c r="E387" i="3"/>
  <c r="E294" i="3"/>
  <c r="E231" i="3"/>
  <c r="E215" i="3"/>
  <c r="E130" i="3"/>
  <c r="E114" i="3"/>
  <c r="E261" i="3"/>
  <c r="E565" i="3"/>
  <c r="E395" i="3"/>
  <c r="E213" i="3"/>
  <c r="E260" i="3"/>
  <c r="E535" i="3"/>
  <c r="E302" i="3"/>
  <c r="E117" i="3"/>
  <c r="E161" i="3"/>
  <c r="E290" i="3"/>
  <c r="E135" i="3"/>
  <c r="E61" i="3"/>
  <c r="E191" i="3"/>
  <c r="E301" i="3"/>
  <c r="E263" i="3"/>
  <c r="E303" i="3"/>
  <c r="E382" i="3"/>
  <c r="E350" i="3"/>
  <c r="E423" i="3"/>
  <c r="E402" i="3"/>
  <c r="E578" i="3"/>
  <c r="AI6"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G1" i="73"/>
  <c r="C16" i="15"/>
  <c r="E586" i="3" l="1"/>
  <c r="E91" i="3"/>
  <c r="E237" i="3"/>
  <c r="E151" i="3"/>
  <c r="E501" i="3"/>
  <c r="N94" i="46"/>
  <c r="E570" i="3"/>
  <c r="E328" i="3"/>
  <c r="E321" i="3"/>
  <c r="E247" i="3"/>
  <c r="E366" i="3"/>
  <c r="E109" i="3"/>
  <c r="E563" i="3"/>
  <c r="E320" i="3"/>
  <c r="E358" i="3"/>
  <c r="E509" i="3"/>
  <c r="E319" i="3"/>
  <c r="E316" i="3"/>
  <c r="E221" i="3"/>
  <c r="E278" i="3"/>
  <c r="E338" i="3"/>
  <c r="E390" i="3"/>
  <c r="E388" i="3"/>
  <c r="E217" i="3"/>
  <c r="E272" i="3"/>
  <c r="E403" i="3"/>
  <c r="E93" i="3"/>
  <c r="E518" i="3"/>
  <c r="E245" i="3"/>
  <c r="E445" i="3"/>
  <c r="E169" i="3"/>
  <c r="E506" i="3"/>
  <c r="E337" i="3"/>
  <c r="E322" i="3"/>
  <c r="AN6" i="3"/>
  <c r="E159" i="3"/>
  <c r="E361" i="3"/>
  <c r="E189" i="3"/>
  <c r="E551" i="3"/>
  <c r="E396" i="3"/>
  <c r="E268" i="3"/>
  <c r="E44" i="3"/>
  <c r="E186" i="3"/>
  <c r="E515" i="3"/>
  <c r="E433" i="3"/>
  <c r="AM6" i="3"/>
  <c r="E162" i="3"/>
  <c r="U6" i="3"/>
  <c r="E562" i="3"/>
  <c r="E572" i="3"/>
  <c r="E121" i="3"/>
  <c r="E107" i="3"/>
  <c r="E458" i="3"/>
  <c r="E172" i="3"/>
  <c r="E69" i="3"/>
  <c r="E335" i="3"/>
  <c r="M6" i="3"/>
  <c r="E311" i="3"/>
  <c r="E431" i="3"/>
  <c r="AJ6" i="3"/>
  <c r="E526" i="3"/>
  <c r="E384" i="3"/>
  <c r="E92" i="3"/>
  <c r="E271" i="3"/>
  <c r="E193" i="3"/>
  <c r="E180" i="3"/>
  <c r="E183" i="3"/>
  <c r="E185" i="3"/>
  <c r="E380" i="3"/>
  <c r="E561" i="3"/>
  <c r="E270" i="3"/>
  <c r="E410" i="3"/>
  <c r="E508" i="3"/>
  <c r="E530" i="3"/>
  <c r="E334" i="3"/>
  <c r="E71" i="3"/>
  <c r="E207" i="3"/>
  <c r="E511" i="3"/>
  <c r="E317" i="3"/>
  <c r="E447" i="3"/>
  <c r="E549" i="3"/>
  <c r="E331" i="3"/>
  <c r="E476" i="3"/>
  <c r="E567" i="3"/>
  <c r="E329" i="3"/>
  <c r="J26" i="43"/>
  <c r="E134" i="3"/>
  <c r="E503" i="3"/>
  <c r="E528" i="3"/>
  <c r="E216" i="3"/>
  <c r="E439" i="3"/>
  <c r="AR6" i="3"/>
  <c r="E143" i="3"/>
  <c r="E555" i="3"/>
  <c r="E305" i="3"/>
  <c r="E175" i="3"/>
  <c r="E441" i="3"/>
  <c r="E291" i="3"/>
  <c r="E505" i="3"/>
  <c r="E318" i="3"/>
  <c r="E550" i="3"/>
  <c r="E415" i="3"/>
  <c r="E230" i="3"/>
  <c r="E407" i="3"/>
  <c r="E559" i="3"/>
  <c r="E229" i="3"/>
  <c r="E516" i="3"/>
  <c r="E282" i="3"/>
  <c r="E125" i="3"/>
  <c r="E480" i="3"/>
  <c r="E273" i="3"/>
  <c r="E477" i="3"/>
  <c r="E351" i="3"/>
  <c r="E254" i="3"/>
  <c r="E17" i="3"/>
  <c r="E304" i="3"/>
  <c r="E298" i="3"/>
  <c r="E418" i="3"/>
  <c r="S6" i="3"/>
  <c r="E285" i="3"/>
  <c r="O6" i="3"/>
  <c r="E153" i="3"/>
  <c r="E53" i="3"/>
  <c r="E29" i="3"/>
  <c r="E210" i="3"/>
  <c r="E432" i="3"/>
  <c r="E150" i="3"/>
  <c r="E478" i="3"/>
  <c r="E111" i="3"/>
  <c r="E444" i="3"/>
  <c r="E443" i="3"/>
  <c r="AG6" i="3"/>
  <c r="E252" i="3"/>
  <c r="E32" i="3"/>
  <c r="E274" i="3"/>
  <c r="E73" i="3"/>
  <c r="E429" i="3"/>
  <c r="E424" i="3"/>
  <c r="Q6" i="3"/>
  <c r="E120" i="3"/>
  <c r="E136" i="3"/>
  <c r="E525" i="3"/>
  <c r="E257" i="3"/>
  <c r="E54" i="3"/>
  <c r="E537" i="3"/>
  <c r="E438" i="3"/>
  <c r="E532" i="3"/>
  <c r="E157" i="3"/>
  <c r="E181" i="3"/>
  <c r="E405" i="3"/>
  <c r="E70" i="3"/>
  <c r="E531" i="3"/>
  <c r="E400" i="3"/>
  <c r="Z6" i="3"/>
  <c r="E89" i="3"/>
  <c r="E74" i="3"/>
  <c r="E214" i="3"/>
  <c r="E106" i="3"/>
  <c r="E577" i="3"/>
  <c r="E406" i="3"/>
  <c r="K6" i="3"/>
  <c r="E228" i="3"/>
  <c r="E85" i="3"/>
  <c r="E440" i="3"/>
  <c r="E27" i="3"/>
  <c r="AS6" i="3"/>
  <c r="E414" i="3"/>
  <c r="E585" i="3"/>
  <c r="E269" i="3"/>
  <c r="E31" i="3"/>
  <c r="E279" i="3"/>
  <c r="E72" i="3"/>
  <c r="E571" i="3"/>
  <c r="E527" i="3"/>
  <c r="E519" i="3"/>
  <c r="E99" i="3"/>
  <c r="E238" i="3"/>
  <c r="E419" i="3"/>
  <c r="E30" i="3"/>
  <c r="E295" i="3"/>
  <c r="E88" i="3"/>
  <c r="E581" i="3"/>
  <c r="P6" i="3"/>
  <c r="E576" i="3"/>
  <c r="E236" i="3"/>
  <c r="E580" i="3"/>
  <c r="E256" i="3"/>
  <c r="E55" i="3"/>
  <c r="AE6" i="3"/>
  <c r="E481" i="3"/>
  <c r="E330" i="3"/>
  <c r="E262" i="3"/>
  <c r="E453" i="3"/>
  <c r="E108" i="3"/>
  <c r="E547" i="3"/>
  <c r="E548" i="3"/>
  <c r="E379" i="3"/>
  <c r="E196" i="3"/>
  <c r="E14" i="3"/>
  <c r="E208" i="3"/>
  <c r="E475" i="3"/>
  <c r="W6" i="3"/>
  <c r="E474" i="3"/>
  <c r="E313" i="3"/>
  <c r="E306" i="3"/>
  <c r="E156" i="3"/>
  <c r="E42" i="3"/>
  <c r="E211" i="3"/>
  <c r="E28" i="3"/>
  <c r="E557" i="3"/>
  <c r="E485" i="3"/>
  <c r="E327" i="3"/>
  <c r="E368" i="3"/>
  <c r="E362" i="3"/>
  <c r="E171" i="3"/>
  <c r="E454" i="3"/>
  <c r="E587" i="3"/>
  <c r="E472" i="3"/>
  <c r="E133" i="3"/>
  <c r="AK6" i="3"/>
  <c r="E98" i="3"/>
  <c r="E166" i="3"/>
  <c r="E404" i="3"/>
  <c r="E558" i="3"/>
  <c r="E448" i="3"/>
  <c r="E164" i="3"/>
  <c r="I6" i="3"/>
  <c r="E394" i="3"/>
  <c r="E203" i="3"/>
  <c r="E496" i="3"/>
  <c r="E344" i="3"/>
  <c r="E437" i="3"/>
  <c r="E177" i="3"/>
  <c r="E128" i="3"/>
  <c r="E205" i="3"/>
  <c r="E126" i="3"/>
  <c r="E546" i="3"/>
  <c r="E367" i="3"/>
  <c r="E411" i="3"/>
  <c r="E145" i="3"/>
  <c r="E397" i="3"/>
  <c r="E357" i="3"/>
  <c r="E168" i="3"/>
  <c r="E471" i="3"/>
  <c r="E288" i="3"/>
  <c r="E529" i="3"/>
  <c r="E224" i="3"/>
  <c r="E352" i="3"/>
  <c r="E16" i="3"/>
  <c r="E26" i="43"/>
  <c r="E377" i="3"/>
  <c r="E182" i="3"/>
  <c r="E489" i="3"/>
  <c r="E345" i="3"/>
  <c r="AO6" i="3"/>
  <c r="E204" i="3"/>
  <c r="E227" i="3"/>
  <c r="E315" i="3"/>
  <c r="E146" i="3"/>
  <c r="E468" i="3"/>
  <c r="E465" i="3"/>
  <c r="E560" i="3"/>
  <c r="E277" i="3"/>
  <c r="E545" i="3"/>
  <c r="E197" i="3"/>
  <c r="E450" i="3"/>
  <c r="E457" i="3"/>
  <c r="E573" i="3"/>
  <c r="E45" i="3"/>
  <c r="E434" i="3"/>
  <c r="E393" i="3"/>
  <c r="E369" i="3"/>
  <c r="E507" i="3"/>
  <c r="E40" i="3"/>
  <c r="E127" i="3"/>
  <c r="E258" i="3"/>
  <c r="E422" i="3"/>
  <c r="E25" i="3"/>
  <c r="E48" i="3"/>
  <c r="E95" i="3"/>
  <c r="E66" i="3"/>
  <c r="E417" i="3"/>
  <c r="E493" i="3"/>
  <c r="E490" i="3"/>
  <c r="E178" i="3"/>
  <c r="E354" i="3"/>
  <c r="E554" i="3"/>
  <c r="E296" i="3"/>
  <c r="E534" i="3"/>
  <c r="E376" i="3"/>
  <c r="E139" i="3"/>
  <c r="E307" i="3"/>
  <c r="E449" i="3"/>
  <c r="E461" i="3"/>
  <c r="E188" i="3"/>
  <c r="E564" i="3"/>
  <c r="AH6" i="3"/>
  <c r="E281" i="3"/>
  <c r="E209" i="3"/>
  <c r="E442" i="3"/>
  <c r="E568" i="3"/>
  <c r="E140" i="3"/>
  <c r="T6" i="3"/>
  <c r="J6" i="3"/>
  <c r="E332" i="3"/>
  <c r="E163" i="3"/>
  <c r="E575" i="3"/>
  <c r="E223" i="3"/>
  <c r="E543" i="3"/>
  <c r="E498" i="3"/>
  <c r="E356" i="3"/>
  <c r="E138" i="3"/>
  <c r="E148" i="3"/>
  <c r="E122" i="3"/>
  <c r="E116" i="3"/>
  <c r="E427" i="3"/>
  <c r="E483" i="3"/>
  <c r="E75" i="3"/>
  <c r="E446" i="3"/>
  <c r="E77" i="3"/>
  <c r="E173" i="3"/>
  <c r="E456" i="3"/>
  <c r="E401" i="3"/>
  <c r="E482" i="3"/>
  <c r="E59" i="3"/>
  <c r="H26" i="43"/>
  <c r="E314" i="3"/>
  <c r="E253" i="3"/>
  <c r="E105" i="3"/>
  <c r="E486" i="3"/>
  <c r="E463" i="3"/>
  <c r="E284" i="3"/>
  <c r="E349" i="3"/>
  <c r="E59" i="40"/>
  <c r="E469" i="3"/>
  <c r="E512" i="3"/>
  <c r="E408" i="3"/>
  <c r="E451" i="3"/>
  <c r="E360" i="3"/>
  <c r="E556" i="3"/>
  <c r="E497" i="3"/>
  <c r="E13" i="3"/>
  <c r="E494" i="3"/>
  <c r="E452" i="3"/>
  <c r="E470" i="3"/>
  <c r="E420" i="3"/>
  <c r="E26" i="3"/>
  <c r="E104" i="3"/>
  <c r="E41" i="3"/>
  <c r="E115" i="3"/>
  <c r="E198" i="3"/>
  <c r="E225" i="3"/>
  <c r="E243" i="3"/>
  <c r="E391" i="3"/>
  <c r="AL6" i="3"/>
  <c r="E94" i="3"/>
  <c r="E428" i="3"/>
  <c r="E341" i="3"/>
  <c r="E250" i="3"/>
  <c r="E87" i="3"/>
  <c r="E24" i="3"/>
  <c r="E584" i="3"/>
  <c r="E386" i="3"/>
  <c r="E266" i="3"/>
  <c r="E248" i="3"/>
  <c r="E195" i="3"/>
  <c r="E65" i="3"/>
  <c r="E47" i="3"/>
  <c r="E484" i="3"/>
  <c r="E544" i="3"/>
  <c r="E292" i="3"/>
  <c r="E132" i="3"/>
  <c r="E56" i="3"/>
  <c r="E435" i="3"/>
  <c r="I3" i="6"/>
  <c r="E541" i="3"/>
  <c r="R6" i="3"/>
  <c r="E199" i="3"/>
  <c r="E539" i="3"/>
  <c r="AA23" i="40"/>
  <c r="S23" i="40"/>
  <c r="AC23" i="40"/>
  <c r="W23" i="40"/>
  <c r="AB23" i="40"/>
  <c r="U23" i="40"/>
  <c r="AB21" i="40"/>
  <c r="U21" i="40"/>
  <c r="AC17" i="40"/>
  <c r="S17" i="40"/>
  <c r="AA17" i="40"/>
  <c r="U17" i="40"/>
  <c r="AB17" i="40"/>
  <c r="AB15" i="40"/>
  <c r="U15" i="40"/>
  <c r="AA15" i="40"/>
  <c r="W15" i="40"/>
  <c r="AC15" i="40"/>
  <c r="AB40" i="40"/>
  <c r="U40" i="40"/>
  <c r="AA40" i="40"/>
  <c r="S40" i="40"/>
  <c r="K16" i="1"/>
  <c r="N370" i="46"/>
  <c r="G26" i="43"/>
  <c r="E119" i="3"/>
  <c r="E202" i="3"/>
  <c r="E242" i="3"/>
  <c r="E226" i="3"/>
  <c r="E276" i="3"/>
  <c r="E346" i="3"/>
  <c r="E333" i="3"/>
  <c r="E372" i="3"/>
  <c r="L6" i="3"/>
  <c r="E60" i="3"/>
  <c r="E43" i="3"/>
  <c r="E540" i="3"/>
  <c r="E473" i="3"/>
  <c r="E15" i="3"/>
  <c r="E355" i="3"/>
  <c r="E233" i="3"/>
  <c r="E184" i="3"/>
  <c r="E144" i="3"/>
  <c r="E33" i="3"/>
  <c r="E67" i="3"/>
  <c r="E84" i="3"/>
  <c r="E23" i="3"/>
  <c r="E492" i="3"/>
  <c r="E310" i="3"/>
  <c r="E371" i="3"/>
  <c r="E300" i="3"/>
  <c r="E249" i="3"/>
  <c r="E267" i="3"/>
  <c r="E200" i="3"/>
  <c r="E142" i="3"/>
  <c r="E160" i="3"/>
  <c r="E103" i="3"/>
  <c r="E46" i="3"/>
  <c r="E64" i="3"/>
  <c r="E467" i="3"/>
  <c r="E425" i="3"/>
  <c r="E409" i="3"/>
  <c r="E76" i="3"/>
  <c r="E389" i="3"/>
  <c r="E363" i="3"/>
  <c r="E241" i="3"/>
  <c r="E192" i="3"/>
  <c r="E152" i="3"/>
  <c r="E37" i="3"/>
  <c r="E479" i="3"/>
  <c r="E491" i="3"/>
  <c r="E517" i="3"/>
  <c r="AP6" i="3"/>
  <c r="E255" i="3"/>
  <c r="E430" i="3"/>
  <c r="E466" i="3"/>
  <c r="E502" i="3"/>
  <c r="E499" i="3"/>
  <c r="E286" i="3"/>
  <c r="E212" i="3"/>
  <c r="E536" i="3"/>
  <c r="E165" i="3"/>
  <c r="E149" i="3"/>
  <c r="E141" i="3"/>
  <c r="AD6" i="3"/>
  <c r="E552" i="3"/>
  <c r="E464" i="3"/>
  <c r="E398" i="3"/>
  <c r="E459" i="3"/>
  <c r="E566" i="3"/>
  <c r="E582" i="3"/>
  <c r="E460" i="3"/>
  <c r="E436" i="3"/>
  <c r="E90" i="3"/>
  <c r="E131" i="3"/>
  <c r="E155" i="3"/>
  <c r="E297" i="3"/>
  <c r="E348" i="3"/>
  <c r="E375" i="3"/>
  <c r="E58" i="3"/>
  <c r="E488" i="3"/>
  <c r="E521" i="3"/>
  <c r="E455" i="3"/>
  <c r="E79" i="3"/>
  <c r="E38" i="3"/>
  <c r="E100" i="3"/>
  <c r="E170" i="3"/>
  <c r="E137" i="3"/>
  <c r="E194" i="3"/>
  <c r="E234" i="3"/>
  <c r="E219" i="3"/>
  <c r="E299" i="3"/>
  <c r="E339" i="3"/>
  <c r="E325" i="3"/>
  <c r="E392" i="3"/>
  <c r="AQ6" i="3"/>
  <c r="E52" i="3"/>
  <c r="E36" i="3"/>
  <c r="E112" i="3"/>
  <c r="E123" i="3"/>
  <c r="E147" i="3"/>
  <c r="E289" i="3"/>
  <c r="E340" i="3"/>
  <c r="E364" i="3"/>
  <c r="AF6" i="3"/>
  <c r="E50" i="3"/>
  <c r="E102" i="3"/>
  <c r="E20" i="3"/>
  <c r="E80" i="3"/>
  <c r="E62" i="3"/>
  <c r="E113" i="3"/>
  <c r="E176" i="3"/>
  <c r="E158" i="3"/>
  <c r="E218" i="3"/>
  <c r="E287" i="3"/>
  <c r="E265" i="3"/>
  <c r="E308" i="3"/>
  <c r="E365" i="3"/>
  <c r="E326" i="3"/>
  <c r="E524" i="3"/>
  <c r="E22" i="3"/>
  <c r="E101" i="3"/>
  <c r="E83" i="3"/>
  <c r="E244" i="3"/>
  <c r="E167" i="3"/>
  <c r="E312" i="3"/>
  <c r="E542" i="3"/>
  <c r="E421" i="3"/>
  <c r="E487" i="3"/>
  <c r="E416" i="3"/>
  <c r="E374" i="3"/>
  <c r="E500" i="3"/>
  <c r="E413" i="3"/>
  <c r="E520" i="3"/>
  <c r="E39" i="3"/>
  <c r="E57" i="3"/>
  <c r="E187" i="3"/>
  <c r="E240" i="3"/>
  <c r="E259" i="3"/>
  <c r="E378" i="3"/>
  <c r="E504" i="3"/>
  <c r="E462" i="3"/>
  <c r="E412" i="3"/>
  <c r="E18" i="3"/>
  <c r="E96" i="3"/>
  <c r="E78" i="3"/>
  <c r="E190" i="3"/>
  <c r="E220" i="3"/>
  <c r="E235" i="3"/>
  <c r="E383" i="3"/>
  <c r="E86" i="3"/>
  <c r="E232" i="3"/>
  <c r="Y6" i="3"/>
  <c r="E19" i="3"/>
  <c r="E179" i="3"/>
  <c r="E323" i="3"/>
  <c r="E82" i="3"/>
  <c r="E110" i="3"/>
  <c r="E129" i="3"/>
  <c r="E174" i="3"/>
  <c r="E275" i="3"/>
  <c r="E324" i="3"/>
  <c r="E342" i="3"/>
  <c r="E35" i="3"/>
  <c r="E34" i="3"/>
  <c r="E206" i="3"/>
  <c r="E251" i="3"/>
  <c r="E381" i="3"/>
  <c r="E68" i="3"/>
  <c r="E63" i="3"/>
  <c r="E81" i="3"/>
  <c r="E118" i="3"/>
  <c r="E264" i="3"/>
  <c r="E283" i="3"/>
  <c r="E309" i="3"/>
  <c r="E513" i="3"/>
  <c r="E21" i="3"/>
  <c r="E522" i="3"/>
  <c r="E49" i="3"/>
  <c r="E370" i="3"/>
  <c r="E51" i="3"/>
  <c r="E154" i="3"/>
  <c r="E222" i="3"/>
  <c r="E373"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D26" i="43" l="1"/>
  <c r="C25" i="43" s="1"/>
  <c r="H6" i="3"/>
  <c r="AC6" i="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C25" i="11" l="1"/>
  <c r="C22" i="11" s="1"/>
  <c r="C31" i="11" s="1"/>
  <c r="D30" i="6"/>
  <c r="H24" i="6"/>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B29" i="1" l="1"/>
  <c r="C8" i="68" s="1"/>
  <c r="E2" i="70"/>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18" i="12" l="1"/>
  <c r="C21" i="12" s="1"/>
  <c r="C22" i="12" s="1"/>
  <c r="H11" i="40"/>
  <c r="F11" i="40"/>
  <c r="J11" i="40"/>
  <c r="F7" i="21"/>
  <c r="S7" i="21"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AA11" i="40" l="1"/>
  <c r="S11" i="40"/>
  <c r="W11" i="40"/>
  <c r="AC11" i="40"/>
  <c r="AB11" i="40"/>
  <c r="U11" i="40"/>
  <c r="C27" i="12"/>
  <c r="C25" i="12" s="1"/>
  <c r="C30" i="12"/>
  <c r="C28"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M21" i="15"/>
  <c r="F35" i="15"/>
  <c r="M21"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D2" i="34"/>
  <c r="L51" i="15"/>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2" i="1"/>
  <c r="AO11" i="1"/>
  <c r="AO10" i="1"/>
  <c r="AO9" i="1"/>
  <c r="D19" i="9"/>
  <c r="AO8" i="1"/>
  <c r="AO7" i="1"/>
  <c r="D102" i="9" l="1"/>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B3" i="40" s="1"/>
  <c r="C6" i="68" l="1"/>
  <c r="C7" i="68" s="1"/>
  <c r="C5" i="68" s="1"/>
  <c r="C23" i="68" l="1"/>
  <c r="C20" i="68"/>
  <c r="C28" i="68" l="1"/>
  <c r="C27" i="68" s="1"/>
  <c r="C25" i="68"/>
  <c r="C22" i="68" s="1"/>
  <c r="C31" i="68" l="1"/>
  <c r="C52" i="68" l="1"/>
  <c r="B2" i="68" s="1"/>
  <c r="B3" i="68" s="1"/>
  <c r="C20" i="9"/>
  <c r="C19" i="9"/>
  <c r="C57" i="68" l="1"/>
  <c r="C102" i="9"/>
  <c r="D22" i="9"/>
  <c r="C21" i="9"/>
  <c r="G19" i="9"/>
  <c r="O33" i="9" s="1"/>
  <c r="C103" i="9"/>
  <c r="G20" i="9"/>
  <c r="D35" i="9"/>
  <c r="P38" i="9" l="1"/>
  <c r="O38" i="9" s="1"/>
  <c r="P39" i="9"/>
  <c r="O39" i="9" s="1"/>
  <c r="C32" i="9"/>
  <c r="C56" i="68"/>
  <c r="G21" i="9"/>
  <c r="R24" i="31"/>
  <c r="S24" i="31" s="1"/>
  <c r="D29" i="74" s="1"/>
  <c r="D34" i="9"/>
  <c r="C35" i="9" l="1"/>
  <c r="R25" i="31"/>
  <c r="S25" i="31" s="1"/>
  <c r="H34" i="9" l="1"/>
  <c r="I34" i="9" s="1"/>
  <c r="I35" i="9" s="1"/>
  <c r="D30" i="74"/>
  <c r="C34" i="9"/>
  <c r="S22" i="31"/>
  <c r="B20" i="31" s="1"/>
  <c r="D14" i="74" s="1"/>
  <c r="G14" i="74" s="1"/>
  <c r="B6" i="74" s="1"/>
  <c r="D6" i="74" s="1"/>
  <c r="H35" i="9"/>
  <c r="R22" i="31" l="1"/>
  <c r="B21" i="31"/>
  <c r="G118" i="9" l="1"/>
  <c r="N33" i="9" s="1"/>
  <c r="E14" i="74"/>
  <c r="F14" i="74"/>
  <c r="N34" i="9" l="1"/>
  <c r="M34" i="9" s="1"/>
  <c r="G4" i="52"/>
  <c r="B52" i="72" s="1"/>
  <c r="F118" i="9"/>
  <c r="M33" i="9" s="1"/>
  <c r="F4" i="52" l="1"/>
  <c r="B51" i="72" s="1"/>
  <c r="F119" i="9"/>
  <c r="F5" i="52" s="1"/>
  <c r="B53" i="72" s="1"/>
  <c r="I118" i="9"/>
  <c r="P33" i="9" s="1"/>
  <c r="P34" i="9" s="1"/>
  <c r="O34" i="9" s="1"/>
  <c r="H102" i="9" l="1"/>
  <c r="D7" i="53" s="1"/>
  <c r="B21" i="72" s="1"/>
  <c r="H118" i="9"/>
  <c r="E118" i="9"/>
  <c r="L33" i="9" s="1"/>
  <c r="C105" i="9"/>
  <c r="I4" i="52"/>
  <c r="L38" i="9" l="1"/>
  <c r="L34" i="9"/>
  <c r="K34" i="9" s="1"/>
  <c r="E4" i="52"/>
  <c r="B48" i="72" s="1"/>
  <c r="D118" i="9"/>
  <c r="K33" i="9" s="1"/>
  <c r="H101" i="9"/>
  <c r="H4" i="52"/>
  <c r="C104" i="9"/>
  <c r="H119" i="9"/>
  <c r="H5" i="52" s="1"/>
  <c r="K38" i="9" l="1"/>
  <c r="L39" i="9"/>
  <c r="N38" i="9"/>
  <c r="M38" i="9" s="1"/>
  <c r="D119" i="9"/>
  <c r="D5" i="52" s="1"/>
  <c r="B49" i="72" s="1"/>
  <c r="D4" i="52"/>
  <c r="B47" i="72" s="1"/>
  <c r="H107" i="9"/>
  <c r="M48" i="9"/>
  <c r="D45" i="9"/>
  <c r="D5" i="53"/>
  <c r="K39" i="9" l="1"/>
  <c r="N39" i="9"/>
  <c r="M39" i="9" s="1"/>
  <c r="D6" i="53"/>
  <c r="B22" i="72" s="1"/>
  <c r="B20" i="72"/>
  <c r="D122" i="9"/>
  <c r="D13" i="53"/>
  <c r="M49" i="9"/>
  <c r="H108" i="9"/>
  <c r="D55" i="9"/>
  <c r="M53" i="9" s="1"/>
  <c r="D53" i="9"/>
  <c r="D52" i="9"/>
  <c r="C85" i="9"/>
  <c r="C72" i="9"/>
  <c r="C93" i="9"/>
  <c r="C86" i="9" s="1"/>
  <c r="C64" i="9"/>
  <c r="C63" i="9" s="1"/>
  <c r="C67" i="9" s="1"/>
  <c r="C78" i="9"/>
  <c r="C73" i="9" s="1"/>
  <c r="C79" i="9" l="1"/>
  <c r="C80" i="9" s="1"/>
  <c r="E80" i="9" s="1"/>
  <c r="E81" i="9" s="1"/>
  <c r="D15" i="53"/>
  <c r="B31" i="72" s="1"/>
  <c r="C6" i="74"/>
  <c r="B30" i="72"/>
  <c r="D14" i="53"/>
  <c r="B32" i="72" s="1"/>
  <c r="L67" i="9"/>
  <c r="M67" i="9" s="1"/>
  <c r="L68" i="9"/>
  <c r="M68" i="9" s="1"/>
  <c r="L65" i="9"/>
  <c r="M65" i="9" s="1"/>
  <c r="L64" i="9"/>
  <c r="M64" i="9" s="1"/>
  <c r="L63" i="9"/>
  <c r="M63" i="9" s="1"/>
  <c r="L66" i="9"/>
  <c r="M66" i="9" s="1"/>
  <c r="D8" i="52"/>
  <c r="D123" i="9"/>
  <c r="D9" i="52" s="1"/>
  <c r="D59" i="9"/>
  <c r="M55" i="9" s="1"/>
  <c r="C68" i="9"/>
  <c r="D54" i="9" s="1"/>
  <c r="C95" i="9"/>
  <c r="C81" i="9" l="1"/>
  <c r="M69" i="9"/>
  <c r="N69" i="9" s="1"/>
  <c r="C96" i="9"/>
  <c r="E96" i="9" s="1"/>
  <c r="E97" i="9" s="1"/>
  <c r="C97" i="9" l="1"/>
  <c r="D58" i="9" s="1"/>
  <c r="D56" i="9" s="1"/>
  <c r="M54" i="9" s="1"/>
  <c r="N57" i="9" s="1"/>
  <c r="P57" i="9" s="1"/>
  <c r="B1" i="74"/>
  <c r="N59" i="9" l="1"/>
  <c r="N60" i="9" s="1"/>
  <c r="N58" i="9"/>
  <c r="N61" i="9" l="1"/>
  <c r="O36" i="9" l="1"/>
  <c r="B5" i="74" l="1"/>
  <c r="E15" i="74"/>
  <c r="F15" i="74"/>
  <c r="D5" i="74" l="1"/>
  <c r="C5" i="74"/>
  <c r="P35" i="9" l="1"/>
  <c r="P40" i="9" s="1"/>
  <c r="N35" i="9"/>
  <c r="O40" i="9" l="1"/>
  <c r="L35" i="9"/>
  <c r="L40" i="9" s="1"/>
  <c r="K40" i="9" s="1"/>
  <c r="M35" i="9"/>
  <c r="M36" i="9" s="1"/>
  <c r="N40" i="9" l="1"/>
  <c r="M40" i="9" s="1"/>
  <c r="K35" i="9"/>
  <c r="K36"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<sst xmlns="http://schemas.openxmlformats.org/spreadsheetml/2006/main" count="8218" uniqueCount="3527">
  <si>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</si>
  <si>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</si>
  <si>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</si>
  <si>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</si>
  <si>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</si>
  <si>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</si>
  <si>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</si>
  <si>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</si>
  <si>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</si>
  <si>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</si>
  <si>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</si>
  <si>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</si>
  <si>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</si>
  <si>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</si>
  <si>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</si>
  <si>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</si>
  <si>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</si>
  <si>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</si>
  <si>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</si>
  <si>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</si>
  <si>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</si>
  <si>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</si>
  <si>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</si>
  <si>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</si>
  <si>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</si>
  <si>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</si>
  <si>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</si>
  <si>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</si>
  <si>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</si>
  <si>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</si>
  <si>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</si>
  <si>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</si>
  <si>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</si>
  <si>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</si>
  <si>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</si>
  <si>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</si>
  <si>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</si>
  <si>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</si>
  <si>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</si>
  <si>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</si>
  <si>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</si>
  <si>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</si>
  <si>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</si>
  <si>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</si>
  <si>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</si>
  <si>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</si>
  <si>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</si>
  <si>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</si>
  <si>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</si>
  <si>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</si>
  <si>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</si>
  <si>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</si>
  <si>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</si>
  <si>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</si>
  <si>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</si>
  <si>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</si>
  <si>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</si>
  <si>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</si>
  <si>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</si>
  <si>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</si>
  <si>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</si>
  <si>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</si>
  <si>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</si>
  <si>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</si>
  <si>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</si>
  <si>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</si>
  <si>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</si>
  <si>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</si>
  <si>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</si>
  <si>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</si>
  <si>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</si>
  <si>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</si>
  <si>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</si>
  <si>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</si>
  <si>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</si>
  <si>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</si>
  <si>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</si>
  <si>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</si>
  <si>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</si>
  <si>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</si>
  <si>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</si>
  <si>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</si>
  <si>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</si>
  <si>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</si>
  <si>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</si>
  <si>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</si>
  <si>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</si>
  <si>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</si>
  <si>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</si>
  <si>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</si>
  <si>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</si>
  <si>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</si>
  <si>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</si>
  <si>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</si>
  <si>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</si>
  <si>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</si>
  <si>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</si>
  <si>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</si>
  <si>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</si>
  <si>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</si>
  <si>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</si>
  <si>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</si>
  <si>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</si>
  <si>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</si>
  <si>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</si>
  <si>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</si>
  <si>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</si>
  <si>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</si>
  <si>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</si>
  <si>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</si>
  <si>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</si>
  <si>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</si>
  <si>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</si>
  <si>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</si>
  <si>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</si>
  <si>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</si>
  <si>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</si>
  <si>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</si>
  <si>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</si>
  <si>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</si>
  <si>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</si>
  <si>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</si>
  <si>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</si>
  <si>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</si>
  <si>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</si>
  <si>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</si>
  <si>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</si>
  <si>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</si>
  <si>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</si>
  <si>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</si>
  <si>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</si>
  <si>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</si>
  <si>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</si>
  <si>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</si>
  <si>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</si>
  <si>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</si>
  <si>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</si>
  <si>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</si>
  <si>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</si>
  <si>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</si>
  <si>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</si>
  <si>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</si>
  <si>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</si>
  <si>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</si>
  <si>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</si>
  <si>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</si>
  <si>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</si>
  <si>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</si>
  <si>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</si>
  <si>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</si>
  <si>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</si>
  <si>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</si>
  <si>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</si>
  <si>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</si>
  <si>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</si>
  <si>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</si>
  <si>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</si>
  <si>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</si>
  <si>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</si>
  <si>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</si>
  <si>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</si>
  <si>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</si>
  <si>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</si>
  <si>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</si>
  <si>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</si>
  <si>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</si>
  <si>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</si>
  <si>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</si>
  <si>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</si>
  <si>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</si>
  <si>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</si>
  <si>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</si>
  <si>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</si>
  <si>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</si>
  <si>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</si>
  <si>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</si>
  <si>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</si>
  <si>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</si>
  <si>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</si>
  <si>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</si>
  <si>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</si>
  <si>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</si>
  <si>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</si>
  <si>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</si>
  <si>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</si>
  <si>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</si>
  <si>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</si>
  <si>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</si>
  <si>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</si>
  <si>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</si>
  <si>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</si>
  <si>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</si>
  <si>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</si>
  <si>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</si>
  <si>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</si>
  <si>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</si>
  <si>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</si>
  <si>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</si>
  <si>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</si>
  <si>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</si>
  <si>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</si>
  <si>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</si>
  <si>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</si>
  <si>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</si>
  <si>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</si>
  <si>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</si>
  <si>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</si>
  <si>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</si>
  <si>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</si>
  <si>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</si>
  <si>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</si>
  <si>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</si>
  <si>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</si>
  <si>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</si>
  <si>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</si>
  <si>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</si>
  <si>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</si>
  <si>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</si>
  <si>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</si>
  <si>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</si>
  <si>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</si>
  <si>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</si>
  <si>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</si>
  <si>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</si>
  <si>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</si>
  <si>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</si>
  <si>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</si>
  <si>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</si>
  <si>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</si>
  <si>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</si>
  <si>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</si>
  <si>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</si>
  <si>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</si>
  <si>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</si>
  <si>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</si>
  <si>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</si>
  <si>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</si>
  <si>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</si>
  <si>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</si>
  <si>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</si>
  <si>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</si>
  <si>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</si>
  <si>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</si>
  <si>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</si>
  <si>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</si>
  <si>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</si>
  <si>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</si>
  <si>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</si>
  <si>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</si>
  <si>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</si>
  <si>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</si>
  <si>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</si>
  <si>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</si>
  <si>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</si>
  <si>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</si>
  <si>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</si>
  <si>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</si>
  <si>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</si>
  <si>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</si>
  <si>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</si>
  <si>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</si>
  <si>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</si>
  <si>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</si>
  <si>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</si>
  <si>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</si>
  <si>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</si>
  <si>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</si>
  <si>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</si>
  <si>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</si>
  <si>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</si>
  <si>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</si>
  <si>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</si>
  <si>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</si>
  <si>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</si>
  <si>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</si>
  <si>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</si>
  <si>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</si>
  <si>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</si>
  <si>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</si>
  <si>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</si>
  <si>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</si>
  <si>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</si>
  <si>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</si>
  <si>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</si>
  <si>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</si>
  <si>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</si>
  <si>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</si>
  <si>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</si>
  <si>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</si>
  <si>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</si>
  <si>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</si>
  <si>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</si>
  <si>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</si>
  <si>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</si>
  <si>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</si>
  <si>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</si>
  <si>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</si>
  <si>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</si>
  <si>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</si>
  <si>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</si>
  <si>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</si>
  <si>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</si>
  <si>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</si>
  <si>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</si>
  <si>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</si>
  <si>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</si>
  <si>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</si>
  <si>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</si>
  <si>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</si>
  <si>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</si>
  <si>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</si>
  <si>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</si>
  <si>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</si>
  <si>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</si>
  <si>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</si>
  <si>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</si>
  <si>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</si>
  <si>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</si>
  <si>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</si>
  <si>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</si>
  <si>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</si>
  <si>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</si>
  <si>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</si>
  <si>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</si>
  <si>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</si>
  <si>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</si>
  <si>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</si>
  <si>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</si>
  <si>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</si>
  <si>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</si>
  <si>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</si>
  <si>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</si>
  <si>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</si>
  <si>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</si>
  <si>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</si>
  <si>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</si>
  <si>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</si>
  <si>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</si>
  <si>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</si>
  <si>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</si>
  <si>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</si>
  <si>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</si>
  <si>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</si>
  <si>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</si>
  <si>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</si>
  <si>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</si>
  <si>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</si>
  <si>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</si>
  <si>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</si>
  <si>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</si>
  <si>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</si>
  <si>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</si>
  <si>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</si>
  <si>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</si>
  <si>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</si>
  <si>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</si>
  <si>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</si>
  <si>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</si>
  <si>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</si>
  <si>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</si>
  <si>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</si>
  <si>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</si>
  <si>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</si>
  <si>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</si>
  <si>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</si>
  <si>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</si>
  <si>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</si>
  <si>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</si>
  <si>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</si>
  <si>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</si>
  <si>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</si>
  <si>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</si>
  <si>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</si>
  <si>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</si>
  <si>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</si>
  <si>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</si>
  <si>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</si>
  <si>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</si>
  <si>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</si>
  <si>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</si>
  <si>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</si>
  <si>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</si>
  <si>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</si>
  <si>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</si>
  <si>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</si>
  <si>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</si>
  <si>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</si>
  <si>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</si>
  <si>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</si>
  <si>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</si>
  <si>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</si>
  <si>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</si>
  <si>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</si>
  <si>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</si>
  <si>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</si>
  <si>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</si>
  <si>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</si>
  <si>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</si>
  <si>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</si>
  <si>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</si>
  <si>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</si>
  <si>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</si>
  <si>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</si>
  <si>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</si>
  <si>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</si>
  <si>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</si>
  <si>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</si>
  <si>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</si>
  <si>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</si>
  <si>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</si>
  <si>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</si>
  <si>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</si>
  <si>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</si>
  <si>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</si>
  <si>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</si>
  <si>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</si>
  <si>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</si>
  <si>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</si>
  <si>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</si>
  <si>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</si>
  <si>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</si>
  <si>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</si>
  <si>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</si>
  <si>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</si>
  <si>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</si>
  <si>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</si>
  <si>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</si>
  <si>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</si>
  <si>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</si>
  <si>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</si>
  <si>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</si>
  <si>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</si>
  <si>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</si>
  <si>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</si>
  <si>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</si>
  <si>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</si>
  <si>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</si>
  <si>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</si>
  <si>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</si>
  <si>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</si>
  <si>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</si>
  <si>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</si>
  <si>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</si>
  <si>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</si>
  <si>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</si>
  <si>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</si>
  <si>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</si>
  <si>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</si>
  <si>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</si>
  <si>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</si>
  <si>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</si>
  <si>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</si>
  <si>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</si>
  <si>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</si>
  <si>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</si>
  <si>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</si>
  <si>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</si>
  <si>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</si>
  <si>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</si>
  <si>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</si>
  <si>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</si>
  <si>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</si>
  <si>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</si>
  <si>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</si>
  <si>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</si>
  <si>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</si>
  <si>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</si>
  <si>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</si>
  <si>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</si>
  <si>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</si>
  <si>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</si>
  <si>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</si>
  <si>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</si>
  <si>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</si>
  <si>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</si>
  <si>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</si>
  <si>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</si>
  <si>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</si>
  <si>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</si>
  <si>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</si>
  <si>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</si>
  <si>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</si>
  <si>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</si>
  <si>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</si>
  <si>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</si>
  <si>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</si>
  <si>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</si>
  <si>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</si>
  <si>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</si>
  <si>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</si>
  <si>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</si>
  <si>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</si>
  <si>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</si>
  <si>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</si>
  <si>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</si>
  <si>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</si>
  <si>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</si>
  <si>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</si>
  <si>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</si>
  <si>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</si>
  <si>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</si>
  <si>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</si>
  <si>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</si>
  <si>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</si>
  <si>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</si>
  <si>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</si>
  <si>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</si>
  <si>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</si>
  <si>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</si>
  <si>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</si>
  <si>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</si>
  <si>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</si>
  <si>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</si>
  <si>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</si>
  <si>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</si>
  <si>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</si>
  <si>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</si>
  <si>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</si>
  <si>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</si>
  <si>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</si>
  <si>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</si>
  <si>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</si>
  <si>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</si>
  <si>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</si>
  <si>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</si>
  <si>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</si>
  <si>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</si>
  <si>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</si>
  <si>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</si>
  <si>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</si>
  <si>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</si>
  <si>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</si>
  <si>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</si>
  <si>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</si>
  <si>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</si>
  <si>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</si>
  <si>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</si>
  <si>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</si>
  <si>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</si>
  <si>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</si>
  <si>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</si>
  <si>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</si>
  <si>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</si>
  <si>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</si>
  <si>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</si>
  <si>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</si>
  <si>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</si>
  <si>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</si>
  <si>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</si>
  <si>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</si>
  <si>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</si>
  <si>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</si>
  <si>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</si>
  <si>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</si>
  <si>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</si>
  <si>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</si>
  <si>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</si>
  <si>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</si>
  <si>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</si>
  <si>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</si>
  <si>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</si>
  <si>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</si>
  <si>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</si>
  <si>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</si>
  <si>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</si>
  <si>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</si>
  <si>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</si>
  <si>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</si>
  <si>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</si>
  <si>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</si>
  <si>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</si>
  <si>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</si>
  <si>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</si>
  <si>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</si>
  <si>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</si>
  <si>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</si>
  <si>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</si>
  <si>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</si>
  <si>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</si>
  <si>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</si>
  <si>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</si>
  <si>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</si>
  <si>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</si>
  <si>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</si>
  <si>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</si>
  <si>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</si>
  <si>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</si>
  <si>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</si>
  <si>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</si>
  <si>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</si>
  <si>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</si>
  <si>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</si>
  <si>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</si>
  <si>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</si>
  <si>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</si>
  <si>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</si>
  <si>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</si>
  <si>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</si>
  <si>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</si>
  <si>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</si>
  <si>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</si>
  <si>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</si>
  <si>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</si>
  <si>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</si>
  <si>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</si>
  <si>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</si>
  <si>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</si>
  <si>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</si>
  <si>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</si>
  <si>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</si>
  <si>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</si>
  <si>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</si>
  <si>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</si>
  <si>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</si>
  <si>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</si>
  <si>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</si>
  <si>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</si>
  <si>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</si>
  <si>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</si>
  <si>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</si>
  <si>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</si>
  <si>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</si>
  <si>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</si>
  <si>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</si>
  <si>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</si>
  <si>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</si>
  <si>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</si>
  <si>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</si>
  <si>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</si>
  <si>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</si>
  <si>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</si>
  <si>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</si>
  <si>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</si>
  <si>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</si>
  <si>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</si>
  <si>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</si>
  <si>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</si>
  <si>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</si>
  <si>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</si>
  <si>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</si>
  <si>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</si>
  <si>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</si>
  <si>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</si>
  <si>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</si>
  <si>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</si>
  <si>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</si>
  <si>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</si>
  <si>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</si>
  <si>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</si>
  <si>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</si>
  <si>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</si>
  <si>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</si>
  <si>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</si>
  <si>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</si>
  <si>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</si>
  <si>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</si>
  <si>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</si>
  <si>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</si>
  <si>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</si>
  <si>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</si>
  <si>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</si>
  <si>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</si>
  <si>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</si>
  <si>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</si>
  <si>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</si>
  <si>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</si>
  <si>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</si>
  <si>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</si>
  <si>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</si>
  <si>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</si>
  <si>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</si>
  <si>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</si>
  <si>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</si>
  <si>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</si>
  <si>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</si>
  <si>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</si>
  <si>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</si>
  <si>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</si>
  <si>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</si>
  <si>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</si>
  <si>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</si>
  <si>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</si>
  <si>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</si>
  <si>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</si>
  <si>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</si>
  <si>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</si>
  <si>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</si>
  <si>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</si>
  <si>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</si>
  <si>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</si>
  <si>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</si>
  <si>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</si>
  <si>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</si>
  <si>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</si>
  <si>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</si>
  <si>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</si>
  <si>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</si>
  <si>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</si>
  <si>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</si>
  <si>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</si>
  <si>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</si>
  <si>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</si>
  <si>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</si>
  <si>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</si>
  <si>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</si>
  <si>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</si>
  <si>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</si>
  <si>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</si>
  <si>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</si>
  <si>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</si>
  <si>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</si>
  <si>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</si>
  <si>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</si>
  <si>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</si>
  <si>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</si>
  <si>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</si>
  <si>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</si>
  <si>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</si>
  <si>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</si>
  <si>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</si>
  <si>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</si>
  <si>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</si>
  <si>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</si>
  <si>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</si>
  <si>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</si>
  <si>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</si>
  <si>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</si>
  <si>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</si>
  <si>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</si>
  <si>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</si>
  <si>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</si>
  <si>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</si>
  <si>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</si>
  <si>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</si>
  <si>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</si>
  <si>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</si>
  <si>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</si>
  <si>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</si>
  <si>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</si>
  <si>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</si>
  <si>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</si>
  <si>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</si>
  <si>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</si>
  <si>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</si>
  <si>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</si>
  <si>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</si>
  <si>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</si>
  <si>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</si>
  <si>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</si>
  <si>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</si>
  <si>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</si>
  <si>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</si>
  <si>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</si>
  <si>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</si>
  <si>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</si>
  <si>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</si>
  <si>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</si>
  <si>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</si>
  <si>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</si>
  <si>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</si>
  <si>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</si>
  <si>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</si>
  <si>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</si>
  <si>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</si>
  <si>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</si>
  <si>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</si>
  <si>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</si>
  <si>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</si>
  <si>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</si>
  <si>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</si>
  <si>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</si>
  <si>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</si>
  <si>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</si>
  <si>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</si>
  <si>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</si>
  <si>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</si>
  <si>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</si>
  <si>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</si>
  <si>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</si>
  <si>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</si>
  <si>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</si>
  <si>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</si>
  <si>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</si>
  <si>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</si>
  <si>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</si>
  <si>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</si>
  <si>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</si>
  <si>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</si>
  <si>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</si>
  <si>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</si>
  <si>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</si>
  <si>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</si>
  <si>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</si>
  <si>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</si>
  <si>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</si>
  <si>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</si>
  <si>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</si>
  <si>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</si>
  <si>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</si>
  <si>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</si>
  <si>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</si>
  <si>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</si>
  <si>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</si>
  <si>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</si>
  <si>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</si>
  <si>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</si>
  <si>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</si>
  <si>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</si>
  <si>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</si>
  <si>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</si>
  <si>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</si>
  <si>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</si>
  <si>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</si>
  <si>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</si>
  <si>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</si>
  <si>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</si>
  <si>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</si>
  <si>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</si>
  <si>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</si>
  <si>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</si>
  <si>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</si>
  <si>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</si>
  <si>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</si>
  <si>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</si>
  <si>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</si>
  <si>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</si>
  <si>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</si>
  <si>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</si>
  <si>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</si>
  <si>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</si>
  <si>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</si>
  <si>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</si>
  <si>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</si>
  <si>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</si>
  <si>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</si>
  <si>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</si>
  <si>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</si>
  <si>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</si>
  <si>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</si>
  <si>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</si>
  <si>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</si>
  <si>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</si>
  <si>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</si>
  <si>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</si>
  <si>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</si>
  <si>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</si>
  <si>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</si>
  <si>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</si>
  <si>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</si>
  <si>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</si>
  <si>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</si>
  <si>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</si>
  <si>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</si>
  <si>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</si>
  <si>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</si>
  <si>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</si>
  <si>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</si>
  <si>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</si>
  <si>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</si>
  <si>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</si>
  <si>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</si>
  <si>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</si>
  <si>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</si>
  <si>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</si>
  <si>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</si>
  <si>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</si>
  <si>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</si>
  <si>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</si>
  <si>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</si>
  <si>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</si>
  <si>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</si>
  <si>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</si>
  <si>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</si>
  <si>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</si>
  <si>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</si>
  <si>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</si>
  <si>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</si>
  <si>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</si>
  <si>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</si>
  <si>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</si>
  <si>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</si>
  <si>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</si>
  <si>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</si>
  <si>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</si>
  <si>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</si>
  <si>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</si>
  <si>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</si>
  <si>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</si>
  <si>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</si>
  <si>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</si>
  <si>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</si>
  <si>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</si>
  <si>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</si>
  <si>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</si>
  <si>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</si>
  <si>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</si>
  <si>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</si>
  <si>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</si>
  <si>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</si>
  <si>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</si>
  <si>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</si>
  <si>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</si>
  <si>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</si>
  <si>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</si>
  <si>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</si>
  <si>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</si>
  <si>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</si>
  <si>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</si>
  <si>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</si>
  <si>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</si>
  <si>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</si>
  <si>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</si>
  <si>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</si>
  <si>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</si>
  <si>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</si>
  <si>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</si>
  <si>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</si>
  <si>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</si>
  <si>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</si>
  <si>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</si>
  <si>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</si>
  <si>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</si>
  <si>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</si>
  <si>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</si>
  <si>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</si>
  <si>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</si>
  <si>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</si>
  <si>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</si>
  <si>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</si>
  <si>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</si>
  <si>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</si>
  <si>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</si>
  <si>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</si>
  <si>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</si>
  <si>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</si>
  <si>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</si>
  <si>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</si>
  <si>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</si>
  <si>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</si>
  <si>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</si>
  <si>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</si>
  <si>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</si>
  <si>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</si>
  <si>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</si>
  <si>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</si>
  <si>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</si>
  <si>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</si>
  <si>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</si>
  <si>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</si>
  <si>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</si>
  <si>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</si>
  <si>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</si>
  <si>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</si>
  <si>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</si>
  <si>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</si>
  <si>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</si>
  <si>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</si>
  <si>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</si>
  <si>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</si>
  <si>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</si>
  <si>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</si>
  <si>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</si>
  <si>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</si>
  <si>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</si>
  <si>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</si>
  <si>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</si>
  <si>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</si>
  <si>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</si>
  <si>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</si>
  <si>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</si>
  <si>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</si>
  <si>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</si>
  <si>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</si>
  <si>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</si>
  <si>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</si>
  <si>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</si>
  <si>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</si>
  <si>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</si>
  <si>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</si>
  <si>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</si>
  <si>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</si>
  <si>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</si>
  <si>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</si>
  <si>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</si>
  <si>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</si>
  <si>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</si>
  <si>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</si>
  <si>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</si>
  <si>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</si>
  <si>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</si>
  <si>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</si>
  <si>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</si>
  <si>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</si>
  <si>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</si>
  <si>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</si>
  <si>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</si>
  <si>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</si>
  <si>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</si>
  <si>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</si>
  <si>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</si>
  <si>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</si>
  <si>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</si>
  <si>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</si>
  <si>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</si>
  <si>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</si>
  <si>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</si>
  <si>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</si>
  <si>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</si>
  <si>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</si>
  <si>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</si>
  <si>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</si>
  <si>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</si>
  <si>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</si>
  <si>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</si>
  <si>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</si>
  <si>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</si>
  <si>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</si>
  <si>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</si>
  <si>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</si>
  <si>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</si>
  <si>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</si>
  <si>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</si>
  <si>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</si>
  <si>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</si>
  <si>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</si>
  <si>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</si>
  <si>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</si>
  <si>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</si>
  <si>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</si>
  <si>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</si>
  <si>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</si>
  <si>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</si>
  <si>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</si>
  <si>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</si>
  <si>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</si>
  <si>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</si>
  <si>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</si>
  <si>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</si>
  <si>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</si>
  <si>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</si>
  <si>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</si>
  <si>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</si>
  <si>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</si>
  <si>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</si>
  <si>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</si>
  <si>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</si>
  <si>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</si>
  <si>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</si>
  <si>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</si>
  <si>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</si>
  <si>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</si>
  <si>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</si>
  <si>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</si>
  <si>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</si>
  <si>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</si>
  <si>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</si>
  <si>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</si>
  <si>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</si>
  <si>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</si>
  <si>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</si>
  <si>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</si>
  <si>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</si>
  <si>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</si>
  <si>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</si>
  <si>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</si>
  <si>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</si>
  <si>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</si>
  <si>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</si>
  <si>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</si>
  <si>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</si>
  <si>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</si>
  <si>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</si>
  <si>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</si>
  <si>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</si>
  <si>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</si>
  <si>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</si>
  <si>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</si>
  <si>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</si>
  <si>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</si>
  <si>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</si>
  <si>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</si>
  <si>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</si>
  <si>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</si>
  <si>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</si>
  <si>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</si>
  <si>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</si>
  <si>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</si>
  <si>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</si>
  <si>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</si>
  <si>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</si>
  <si>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</si>
  <si>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</si>
  <si>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</si>
  <si>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</si>
  <si>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</si>
  <si>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</si>
  <si>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</si>
  <si>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</si>
  <si>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</si>
  <si>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</si>
  <si>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</si>
  <si>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</si>
  <si>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</si>
  <si>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</si>
  <si>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</si>
  <si>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</si>
  <si>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</si>
  <si>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</si>
  <si>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</si>
  <si>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</si>
  <si>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</si>
  <si>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</si>
  <si>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</si>
  <si>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</si>
  <si>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</si>
  <si>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</si>
  <si>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</si>
  <si>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</si>
  <si>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</si>
  <si>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</si>
  <si>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</si>
  <si>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</si>
  <si>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</si>
  <si>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</si>
  <si>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</si>
  <si>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</si>
  <si>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</si>
  <si>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</si>
  <si>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</si>
  <si>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</si>
  <si>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</si>
  <si>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</si>
  <si>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</si>
  <si>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</si>
  <si>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</si>
  <si>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</si>
  <si>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</si>
  <si>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</si>
  <si>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</si>
  <si>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</si>
  <si>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</si>
  <si>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</si>
  <si>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</si>
  <si>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</si>
  <si>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</si>
  <si>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</si>
  <si>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</si>
  <si>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</si>
  <si>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</si>
  <si>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</si>
  <si>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</si>
  <si>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</si>
  <si>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</si>
  <si>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</si>
  <si>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</si>
  <si>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</si>
  <si>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</si>
  <si>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</si>
  <si>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</si>
  <si>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</si>
  <si>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</si>
  <si>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</si>
  <si>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</si>
  <si>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</si>
  <si>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</si>
  <si>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</si>
  <si>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</si>
  <si>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</si>
  <si>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</si>
  <si>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</si>
  <si>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</si>
  <si>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</si>
  <si>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</si>
  <si>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</si>
  <si>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</si>
  <si>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</si>
  <si>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</si>
  <si>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</si>
  <si>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</si>
  <si>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</si>
  <si>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</si>
  <si>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</si>
  <si>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</si>
  <si>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</si>
  <si>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</si>
  <si>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</si>
  <si>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</si>
  <si>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</si>
  <si>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</si>
  <si>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</si>
  <si>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</si>
  <si>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</si>
  <si>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</si>
  <si>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</si>
  <si>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</si>
  <si>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</si>
  <si>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</si>
  <si>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</si>
  <si>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</si>
  <si>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</si>
  <si>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</si>
  <si>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</si>
  <si>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</si>
  <si>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</si>
  <si>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</si>
  <si>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</si>
  <si>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</si>
  <si>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</si>
  <si>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</si>
  <si>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</si>
  <si>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</si>
  <si>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</si>
  <si>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</si>
  <si>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</si>
  <si>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</si>
  <si>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</si>
  <si>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</si>
  <si>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</si>
  <si>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</si>
  <si>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</si>
  <si>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</si>
  <si>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</si>
  <si>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</si>
  <si>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</si>
  <si>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</si>
  <si>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</si>
  <si>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</si>
  <si>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</si>
  <si>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</si>
  <si>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</si>
  <si>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</si>
  <si>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</si>
  <si>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</si>
  <si>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</si>
  <si>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</si>
  <si>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</si>
  <si>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</si>
  <si>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</si>
  <si>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</si>
  <si>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</si>
  <si>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</si>
  <si>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</si>
  <si>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</si>
  <si>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</si>
  <si>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</si>
  <si>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</si>
  <si>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</si>
  <si>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</si>
  <si>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</si>
  <si>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</si>
  <si>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</si>
  <si>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</si>
  <si>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</si>
  <si>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</si>
  <si>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</si>
  <si>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</si>
  <si>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</si>
  <si>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</si>
  <si>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</si>
  <si>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</si>
  <si>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</si>
  <si>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</si>
  <si>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</si>
  <si>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</si>
  <si>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</si>
  <si>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</si>
  <si>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</si>
  <si>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</si>
  <si>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</si>
  <si>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</si>
  <si>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</si>
  <si>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</si>
  <si>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</si>
  <si>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</si>
  <si>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</si>
  <si>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</si>
  <si>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</si>
  <si>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</si>
  <si>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</si>
  <si>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</si>
  <si>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</si>
  <si>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</si>
  <si>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</si>
  <si>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</si>
  <si>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</si>
  <si>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</si>
  <si>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</si>
  <si>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</si>
  <si>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</si>
  <si>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</si>
  <si>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</si>
  <si>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</si>
  <si>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</si>
  <si>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</si>
  <si>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</si>
  <si>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</si>
  <si>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</si>
  <si>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</si>
  <si>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</si>
  <si>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</si>
  <si>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</si>
  <si>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</si>
  <si>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</si>
  <si>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</si>
  <si>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</si>
  <si>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</si>
  <si>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</si>
  <si>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</si>
  <si>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</si>
  <si>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</si>
  <si>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</si>
  <si>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</si>
  <si>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</si>
  <si>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</si>
  <si>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</si>
  <si>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</si>
  <si>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</si>
  <si>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</si>
  <si>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</si>
  <si>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</si>
  <si>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</si>
  <si>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</si>
  <si>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</si>
  <si>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</si>
  <si>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</si>
  <si>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</si>
  <si>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</si>
  <si>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</si>
  <si>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</si>
  <si>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</si>
  <si>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</si>
  <si>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</si>
  <si>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</si>
  <si>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</si>
  <si>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</si>
  <si>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</si>
  <si>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</si>
  <si>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</si>
  <si>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</si>
  <si>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</si>
  <si>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</si>
  <si>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</si>
  <si>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</si>
  <si>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</si>
  <si>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</si>
  <si>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</si>
  <si>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</si>
  <si>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</si>
  <si>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</si>
  <si>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</si>
  <si>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</si>
  <si>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</si>
  <si>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</si>
  <si>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</si>
  <si>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</si>
  <si>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</si>
  <si>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</si>
  <si>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</si>
  <si>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</si>
  <si>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</si>
  <si>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</si>
  <si>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</si>
  <si>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</si>
  <si>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</si>
  <si>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</si>
  <si>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</si>
  <si>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</si>
  <si>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</si>
  <si>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</si>
  <si>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</si>
  <si>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</si>
  <si>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</si>
  <si>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</si>
  <si>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</si>
  <si>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</si>
  <si>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</si>
  <si>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</si>
  <si>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</si>
  <si>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</si>
  <si>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</si>
  <si>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</si>
  <si>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</si>
  <si>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</si>
  <si>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</si>
  <si>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</si>
  <si>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</si>
  <si>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</si>
  <si>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</si>
  <si>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</si>
  <si>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</si>
  <si>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</si>
  <si>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</si>
  <si>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</si>
  <si>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</si>
  <si>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</si>
  <si>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</si>
  <si>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</si>
  <si>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</si>
  <si>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</si>
  <si>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</si>
  <si>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</si>
  <si>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</si>
  <si>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</si>
  <si>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</si>
  <si>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</si>
  <si>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</si>
  <si>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</si>
  <si>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</si>
  <si>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</si>
  <si>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</si>
  <si>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</si>
  <si>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</si>
  <si>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</si>
  <si>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</si>
  <si>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</si>
  <si>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</si>
  <si>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</si>
  <si>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</si>
  <si>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</si>
  <si>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</si>
  <si>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</si>
  <si>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</si>
  <si>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</si>
  <si>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</si>
  <si>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</si>
  <si>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</si>
  <si>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</si>
  <si>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</si>
  <si>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</si>
  <si>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</si>
  <si>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</si>
  <si>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</si>
  <si>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</si>
  <si>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</si>
  <si>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</si>
  <si>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</si>
  <si>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</si>
  <si>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</si>
  <si>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</si>
  <si>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</si>
  <si>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</si>
  <si>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</si>
  <si>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</si>
  <si>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</si>
  <si>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</si>
  <si>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</si>
  <si>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</si>
  <si>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</si>
  <si>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</si>
  <si>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</si>
  <si>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</si>
  <si>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</si>
  <si>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</si>
  <si>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</si>
  <si>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</si>
  <si>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</si>
  <si>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</si>
  <si>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</si>
  <si>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</si>
  <si>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</si>
  <si>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</si>
  <si>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</si>
  <si>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</si>
  <si>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</si>
  <si>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</si>
  <si>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</si>
  <si>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</si>
  <si>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</si>
  <si>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</si>
  <si>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</si>
  <si>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</si>
  <si>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</si>
  <si>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</si>
  <si>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</si>
  <si>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</si>
  <si>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</si>
  <si>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</si>
  <si>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</si>
  <si>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</si>
  <si>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</si>
  <si>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</si>
  <si>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</si>
  <si>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</si>
  <si>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</si>
  <si>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</si>
  <si>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</si>
  <si>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</si>
  <si>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</si>
  <si>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</si>
  <si>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</si>
  <si>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</si>
  <si>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</si>
  <si>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</si>
  <si>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</si>
  <si>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</si>
  <si>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</si>
  <si>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</si>
  <si>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</si>
  <si>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</si>
  <si>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</si>
  <si>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</si>
  <si>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</si>
  <si>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</si>
  <si>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</si>
  <si>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</si>
  <si>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</si>
  <si>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</si>
  <si>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</si>
  <si>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</si>
  <si>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</si>
  <si>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</si>
  <si>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</si>
  <si>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</si>
  <si>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</si>
  <si>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</si>
  <si>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</si>
  <si>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</si>
  <si>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</si>
  <si>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</si>
  <si>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</si>
  <si>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</si>
  <si>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</si>
  <si>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</si>
  <si>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</si>
  <si>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</si>
  <si>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</si>
  <si>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</si>
  <si>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</si>
  <si>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</si>
  <si>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</si>
  <si>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</si>
  <si>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</si>
  <si>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</si>
  <si>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</si>
  <si>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</si>
  <si>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</si>
  <si>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</si>
  <si>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</si>
  <si>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</si>
  <si>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</si>
  <si>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</si>
  <si>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</si>
  <si>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</si>
  <si>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</si>
  <si>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</si>
  <si>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</si>
  <si>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</si>
  <si>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</si>
  <si>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</si>
  <si>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</si>
  <si>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</si>
  <si>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</si>
  <si>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</si>
  <si>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</si>
  <si>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</si>
  <si>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</si>
  <si>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</si>
  <si>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</si>
  <si>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</si>
  <si>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</si>
  <si>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</si>
  <si>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</si>
  <si>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</si>
  <si>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</si>
  <si>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</si>
  <si>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</si>
  <si>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</si>
  <si>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</si>
  <si>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</si>
  <si>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</si>
  <si>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</si>
  <si>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</si>
  <si>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</si>
  <si>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</si>
  <si>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</si>
  <si>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</si>
  <si>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</si>
  <si>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</si>
  <si>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</si>
  <si>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</si>
  <si>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</si>
  <si>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</si>
  <si>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</si>
  <si>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</si>
  <si>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</si>
  <si>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</si>
  <si>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</si>
  <si>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</si>
  <si>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</si>
  <si>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</si>
  <si>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</si>
  <si>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</si>
  <si>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</si>
  <si>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</si>
  <si>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</si>
  <si>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</si>
  <si>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</si>
  <si>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</si>
  <si>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</si>
  <si>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</si>
  <si>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</si>
  <si>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</si>
  <si>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</si>
  <si>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</si>
  <si>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</si>
  <si>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</si>
  <si>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</si>
  <si>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</si>
  <si>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</si>
  <si>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</si>
  <si>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</si>
  <si>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</si>
  <si>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</si>
  <si>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</si>
  <si>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</si>
  <si>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</si>
  <si>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</si>
  <si>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</si>
  <si>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</si>
  <si>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</si>
  <si>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</si>
  <si>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</si>
  <si>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</si>
  <si>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</si>
  <si>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</si>
  <si>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</si>
  <si>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</si>
  <si>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</si>
  <si>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</si>
  <si>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</si>
  <si>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</si>
  <si>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</si>
  <si>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</si>
  <si>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</si>
  <si>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</si>
  <si>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</si>
  <si>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</si>
  <si>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</si>
  <si>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</si>
  <si>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</si>
  <si>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</si>
  <si>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</si>
  <si>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</si>
  <si>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</si>
  <si>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</si>
  <si>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</si>
  <si>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</si>
  <si>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</si>
  <si>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</si>
  <si>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</si>
  <si>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</si>
  <si>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</si>
  <si>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</si>
  <si>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</si>
  <si>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</si>
  <si>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</si>
  <si>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</si>
  <si>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</si>
  <si>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</si>
  <si>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</si>
  <si>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</si>
  <si>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</si>
  <si>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</si>
  <si>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</si>
  <si>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</si>
  <si>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</si>
  <si>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</si>
  <si>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</si>
  <si>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</si>
  <si>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</si>
  <si>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</si>
  <si>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</si>
  <si>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</si>
  <si>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</si>
  <si>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</si>
  <si>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</si>
  <si>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</si>
  <si>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</si>
  <si>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</si>
  <si>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</si>
  <si>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</si>
  <si>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</si>
  <si>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</si>
  <si>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</si>
  <si>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</si>
  <si>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</si>
  <si>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</si>
  <si>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</si>
  <si>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</si>
  <si>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</si>
  <si>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</si>
  <si>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</si>
  <si>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</si>
  <si>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</si>
  <si>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</si>
  <si>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</si>
  <si>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</si>
  <si>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</si>
  <si>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</si>
  <si>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</si>
  <si>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</si>
  <si>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</si>
  <si>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</si>
  <si>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</si>
  <si>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</si>
  <si>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</si>
  <si>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</si>
  <si>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</si>
  <si>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</si>
  <si>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</si>
  <si>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</si>
  <si>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</si>
  <si>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</si>
  <si>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</si>
  <si>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</si>
  <si>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</si>
  <si>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</si>
  <si>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</si>
  <si>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</si>
  <si>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</si>
  <si>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</si>
  <si>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</si>
  <si>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</si>
  <si>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</si>
  <si>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</si>
  <si>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</si>
  <si>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</si>
  <si>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</si>
  <si>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</si>
  <si>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</si>
  <si>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</si>
  <si>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</si>
  <si>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</si>
  <si>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</si>
  <si>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</si>
  <si>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</si>
  <si>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</si>
  <si>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</si>
  <si>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</si>
  <si>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</si>
  <si>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</si>
  <si>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</si>
  <si>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</si>
  <si>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</si>
  <si>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</si>
  <si>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</si>
  <si>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</si>
  <si>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</si>
  <si>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</si>
  <si>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</si>
  <si>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</si>
  <si>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</si>
  <si>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</si>
  <si>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</si>
  <si>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</si>
  <si>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</si>
  <si>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</si>
  <si>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</si>
  <si>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</si>
  <si>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</si>
  <si>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</si>
  <si>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</si>
  <si>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</si>
  <si>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</si>
  <si>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</si>
  <si>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</si>
  <si>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</si>
  <si>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</si>
  <si>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</si>
  <si>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</si>
  <si>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</si>
  <si>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</si>
  <si>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</si>
  <si>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</si>
  <si>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</si>
  <si>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</si>
  <si>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</si>
  <si>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</si>
  <si>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</si>
  <si>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</si>
  <si>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</si>
  <si>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</si>
  <si>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</si>
  <si>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</si>
  <si>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</si>
  <si>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</si>
  <si>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</si>
  <si>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</si>
  <si>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</si>
  <si>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</si>
  <si>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</si>
  <si>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</si>
  <si>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</si>
  <si>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</si>
  <si>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</si>
  <si>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</si>
  <si>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</si>
  <si>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</si>
  <si>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</si>
  <si>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</si>
  <si>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</si>
  <si>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</si>
  <si>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</si>
  <si>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</si>
  <si>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</si>
  <si>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</si>
  <si>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</si>
  <si>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</si>
  <si>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</si>
  <si>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</si>
  <si>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</si>
  <si>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</si>
  <si>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</si>
  <si>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</si>
  <si>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</si>
  <si>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</si>
  <si>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</si>
  <si>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</si>
  <si>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</si>
  <si>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</si>
  <si>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</si>
  <si>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</si>
  <si>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</si>
  <si>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</si>
  <si>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</si>
  <si>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</si>
  <si>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</si>
  <si>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</si>
  <si>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</si>
  <si>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</si>
  <si>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</si>
  <si>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</si>
  <si>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</si>
  <si>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</si>
  <si>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</si>
  <si>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</si>
  <si>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</si>
  <si>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</si>
  <si>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</si>
  <si>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</si>
  <si>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</si>
  <si>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</si>
  <si>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</si>
  <si>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</si>
  <si>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</si>
  <si>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</si>
  <si>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</si>
  <si>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</si>
  <si>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</si>
  <si>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</si>
  <si>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</si>
  <si>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</si>
  <si>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</si>
  <si>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</si>
  <si>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</si>
  <si>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</si>
  <si>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</si>
  <si>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</si>
  <si>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</si>
  <si>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</si>
  <si>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</si>
  <si>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</si>
  <si>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</si>
  <si>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</si>
  <si>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</si>
  <si>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</si>
  <si>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</si>
  <si>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</si>
  <si>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</si>
  <si>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</si>
  <si>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</si>
  <si>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</si>
  <si>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</si>
  <si>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</si>
  <si>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</si>
  <si>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</si>
  <si>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</si>
  <si>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</si>
  <si>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</si>
  <si>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</si>
  <si>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</si>
  <si>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</si>
  <si>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</si>
  <si>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</si>
  <si>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</si>
  <si>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</si>
  <si>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</si>
  <si>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</si>
  <si>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</si>
  <si>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</si>
  <si>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</si>
  <si>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</si>
  <si>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</si>
  <si>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</si>
  <si>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</si>
  <si>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</si>
  <si>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</si>
  <si>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</si>
  <si>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</si>
  <si>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</si>
  <si>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</si>
  <si>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</si>
  <si>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</si>
  <si>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</si>
  <si>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</si>
  <si>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</si>
  <si>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</si>
  <si>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</si>
  <si>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</si>
  <si>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</si>
  <si>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</si>
  <si>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</si>
  <si>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</si>
  <si>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</si>
  <si>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</si>
  <si>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</si>
  <si>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</si>
  <si>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</si>
  <si>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</si>
  <si>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</si>
  <si>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</si>
  <si>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</si>
  <si>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</si>
  <si>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</si>
  <si>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</si>
  <si>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</si>
  <si>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</si>
  <si>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</si>
  <si>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</si>
  <si>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</si>
  <si>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</si>
  <si>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</si>
  <si>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</si>
  <si>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</si>
  <si>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</si>
  <si>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</si>
  <si>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</si>
  <si>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</si>
  <si>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</si>
  <si>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</si>
  <si>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</si>
  <si>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</si>
  <si>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</si>
  <si>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</si>
  <si>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</si>
  <si>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</si>
  <si>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</si>
  <si>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</si>
  <si>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</si>
  <si>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</si>
  <si>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</si>
  <si>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</si>
  <si>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</si>
  <si>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</si>
  <si>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</si>
  <si>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</si>
  <si>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</si>
  <si>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</si>
  <si>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</si>
  <si>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</si>
  <si>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</si>
  <si>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</si>
  <si>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</si>
  <si>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</si>
  <si>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</si>
  <si>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</si>
  <si>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</si>
  <si>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</si>
  <si>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</si>
  <si>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</si>
  <si>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</si>
  <si>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</si>
  <si>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</si>
  <si>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</si>
  <si>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</si>
  <si>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</si>
  <si>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</si>
  <si>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</si>
  <si>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</si>
  <si>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</si>
  <si>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</si>
  <si>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</si>
  <si>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</si>
  <si>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</si>
  <si>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</si>
  <si>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</si>
  <si>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</si>
  <si>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</si>
  <si>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</si>
  <si>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</si>
  <si>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</si>
  <si>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</si>
  <si>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</si>
  <si>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</si>
  <si>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</si>
  <si>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</si>
  <si>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</si>
  <si>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</si>
  <si>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</si>
  <si>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</si>
  <si>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</si>
  <si>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</si>
  <si>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</si>
  <si>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</si>
  <si>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</si>
  <si>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</si>
  <si>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</si>
  <si>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</si>
  <si>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</si>
  <si>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</si>
  <si>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</si>
  <si>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</si>
  <si>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</si>
  <si>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</si>
  <si>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</si>
  <si>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</si>
  <si>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</si>
  <si>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</si>
  <si>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</si>
  <si>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</si>
  <si>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</si>
  <si>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</si>
  <si>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</si>
  <si>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</si>
  <si>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</si>
  <si>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</si>
  <si>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</si>
  <si>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</si>
  <si>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</si>
  <si>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</si>
  <si>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</si>
  <si>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</si>
  <si>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</si>
  <si>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</si>
  <si>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</si>
  <si>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</si>
  <si>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</si>
  <si>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</si>
  <si>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</si>
  <si>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</si>
  <si>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</si>
  <si>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</si>
  <si>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</si>
  <si>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</si>
  <si>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</si>
  <si>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</si>
  <si>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</si>
  <si>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</si>
  <si>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</si>
  <si>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</si>
  <si>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</si>
  <si>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</si>
  <si>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</si>
  <si>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</si>
  <si>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</si>
  <si>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</si>
  <si>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</si>
  <si>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</si>
  <si>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</si>
  <si>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</si>
  <si>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</si>
  <si>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</si>
  <si>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</si>
  <si>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</si>
  <si>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</si>
  <si>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</si>
  <si>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</si>
  <si>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</si>
  <si>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</si>
  <si>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</si>
  <si>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</si>
  <si>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</si>
  <si>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</si>
  <si>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</si>
  <si>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</si>
  <si>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</si>
  <si>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</si>
  <si>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</si>
  <si>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</si>
  <si>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</si>
  <si>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</si>
  <si>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</si>
  <si>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</si>
  <si>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</si>
  <si>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</si>
  <si>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</si>
  <si>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</si>
  <si>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</si>
  <si>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</si>
  <si>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</si>
  <si>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</si>
  <si>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</si>
  <si>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</si>
  <si>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</si>
  <si>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</si>
  <si>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</si>
  <si>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</si>
  <si>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</si>
  <si>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</si>
  <si>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</si>
  <si>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</si>
  <si>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</si>
  <si>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</si>
  <si>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</si>
  <si>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</si>
  <si>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</si>
  <si>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</si>
  <si>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</si>
  <si>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</si>
  <si>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</si>
  <si>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</si>
  <si>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</si>
  <si>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</si>
  <si>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</si>
  <si>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</si>
  <si>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</si>
  <si>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</si>
  <si>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</si>
  <si>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</si>
  <si>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</si>
  <si>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</si>
  <si>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</si>
  <si>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</si>
  <si>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</si>
  <si>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</si>
  <si>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</si>
  <si>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</si>
  <si>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</si>
  <si>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</si>
  <si>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</si>
  <si>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</si>
  <si>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</si>
  <si>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</si>
  <si>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</si>
  <si>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</si>
  <si>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</si>
  <si>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</si>
  <si>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</si>
  <si>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</si>
  <si>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</si>
  <si>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</si>
  <si>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</si>
  <si>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</si>
  <si>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</si>
  <si>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</si>
  <si>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</si>
  <si>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</si>
  <si>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</si>
  <si>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</si>
  <si>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</si>
  <si>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</si>
  <si>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</si>
  <si>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</si>
  <si>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</si>
  <si>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</si>
  <si>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</si>
  <si>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</si>
  <si>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</si>
  <si>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</si>
  <si>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</si>
  <si>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</si>
  <si>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</si>
  <si>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</si>
  <si>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</si>
  <si>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</si>
  <si>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</si>
  <si>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</si>
  <si>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</si>
  <si>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</si>
  <si>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</si>
  <si>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</si>
  <si>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</si>
  <si>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</si>
  <si>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</si>
  <si>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</si>
  <si>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</si>
  <si>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</si>
  <si>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</si>
  <si>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</si>
  <si>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</si>
  <si>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</si>
  <si>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</si>
  <si>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</si>
  <si>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</si>
  <si>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</si>
  <si>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</si>
  <si>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</si>
  <si>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</si>
  <si>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</si>
  <si>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</si>
  <si>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</si>
  <si>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</si>
  <si>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</si>
  <si>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</si>
  <si>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</si>
  <si>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</si>
  <si>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</si>
  <si>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</si>
  <si>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</si>
  <si>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</si>
  <si>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</si>
  <si>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</si>
  <si>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</si>
  <si>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</si>
  <si>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</si>
  <si>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</si>
  <si>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</si>
  <si>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</si>
  <si>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</si>
  <si>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</si>
  <si>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</si>
  <si>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</si>
  <si>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</si>
  <si>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</si>
  <si>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</si>
  <si>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</si>
  <si>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</si>
  <si>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</si>
  <si>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</si>
  <si>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</si>
  <si>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</si>
  <si>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</si>
  <si>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</si>
  <si>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</si>
  <si>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</si>
  <si>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</si>
  <si>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</si>
  <si>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</si>
  <si>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</si>
  <si>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</si>
  <si>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</si>
  <si>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</si>
  <si>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</si>
  <si>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</si>
  <si>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</si>
  <si>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</si>
  <si>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</si>
  <si>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</si>
  <si>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</si>
  <si>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</si>
  <si>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</si>
  <si>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</si>
  <si>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</si>
  <si>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</si>
  <si>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</si>
  <si>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</si>
  <si>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</si>
  <si>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</si>
  <si>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</si>
  <si>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</si>
  <si>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</si>
  <si>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</si>
  <si>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</si>
  <si>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</si>
  <si>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</si>
  <si>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</si>
  <si>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</si>
  <si>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</si>
  <si>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</si>
  <si>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</si>
  <si>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</si>
  <si>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</si>
  <si>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</si>
  <si>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</si>
  <si>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</si>
  <si>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</si>
  <si>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</si>
  <si>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</si>
  <si>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</si>
  <si>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</si>
  <si>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</si>
  <si>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</si>
  <si>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</si>
  <si>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</si>
  <si>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</si>
  <si>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</si>
  <si>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</si>
  <si>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</si>
  <si>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</si>
  <si>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</si>
  <si>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</si>
  <si>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</si>
  <si>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</si>
  <si>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</si>
  <si>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</si>
  <si>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</si>
  <si>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</si>
  <si>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</si>
  <si>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</si>
  <si>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</si>
  <si>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</si>
  <si>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</si>
  <si>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</si>
  <si>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</si>
  <si>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</si>
  <si>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</si>
  <si>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</si>
  <si>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</si>
  <si>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</si>
  <si>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</si>
  <si>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</si>
  <si>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</si>
  <si>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</si>
  <si>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</si>
  <si>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</si>
  <si>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</si>
  <si>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</si>
  <si>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</si>
  <si>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</si>
  <si>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</si>
  <si>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</si>
  <si>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</si>
  <si>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</si>
  <si>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</si>
  <si>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</si>
  <si>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</si>
  <si>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</si>
  <si>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</si>
  <si>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</si>
  <si>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</si>
  <si>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</si>
  <si>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</si>
  <si>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</si>
  <si>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</si>
  <si>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</si>
  <si>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</si>
  <si>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</si>
  <si>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</si>
  <si>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</si>
  <si>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</si>
  <si>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</si>
  <si>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</si>
  <si>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</si>
  <si>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</si>
  <si>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</si>
  <si>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</si>
  <si>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</si>
  <si>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</si>
  <si>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</si>
  <si>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</si>
  <si>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</si>
  <si>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</si>
  <si>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</si>
  <si>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</si>
  <si>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</si>
  <si>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</si>
  <si>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</si>
  <si>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</si>
  <si>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</si>
  <si>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</si>
  <si>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</si>
  <si>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</si>
  <si>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</si>
  <si>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</si>
  <si>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</si>
  <si>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</si>
  <si>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</si>
  <si>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</si>
  <si>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</si>
  <si>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</si>
  <si>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</si>
  <si>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</si>
  <si>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</si>
  <si>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</si>
  <si>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</si>
  <si>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</si>
  <si>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</si>
  <si>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</si>
  <si>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</si>
  <si>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</si>
  <si>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</si>
  <si>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</si>
  <si>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</si>
  <si>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</si>
  <si>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</si>
  <si>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</si>
  <si>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</si>
  <si>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</si>
  <si>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</si>
  <si>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</si>
  <si>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</si>
  <si>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</si>
  <si>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</si>
  <si>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</si>
  <si>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</si>
  <si>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</si>
  <si>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</si>
  <si>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</si>
  <si>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</si>
  <si>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</si>
  <si>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</si>
  <si>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</si>
  <si>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</si>
  <si>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</si>
  <si>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</si>
  <si>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</si>
  <si>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</si>
  <si>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</si>
  <si>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</si>
  <si>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</si>
  <si>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</si>
  <si>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</si>
  <si>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</si>
  <si>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</si>
  <si>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</si>
  <si>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</si>
  <si>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</si>
  <si>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</si>
  <si>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</si>
  <si>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</si>
  <si>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</si>
  <si>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</si>
  <si>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</si>
  <si>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</si>
  <si>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</si>
  <si>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</si>
  <si>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</si>
  <si>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</si>
  <si>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</si>
  <si>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</si>
  <si>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</si>
  <si>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</si>
  <si>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</si>
  <si>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</si>
  <si>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</si>
  <si>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</si>
  <si>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</si>
  <si>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</si>
  <si>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</si>
  <si>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</si>
  <si>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</si>
  <si>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</si>
  <si>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</si>
  <si>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</si>
  <si>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</si>
  <si>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</si>
  <si>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</si>
  <si>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</si>
  <si>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</si>
  <si>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</si>
  <si>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</si>
  <si>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</si>
  <si>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</si>
  <si>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</si>
  <si>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</si>
  <si>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</si>
  <si>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</si>
  <si>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</si>
  <si>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</si>
  <si>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</si>
  <si>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</si>
  <si>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</si>
  <si>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</si>
  <si>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</si>
  <si>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</si>
  <si>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</si>
  <si>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</si>
  <si>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</si>
  <si>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</si>
  <si>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</si>
  <si>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</si>
  <si>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</si>
  <si>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</si>
  <si>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</si>
  <si>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</si>
  <si>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</si>
  <si>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</si>
  <si>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</si>
  <si>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</si>
  <si>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</si>
  <si>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</si>
  <si>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</si>
  <si>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</si>
  <si>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</si>
  <si>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</si>
  <si>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</si>
  <si>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</si>
  <si>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</si>
  <si>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</si>
  <si>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</si>
  <si>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</si>
  <si>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</si>
  <si>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</si>
  <si>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</si>
  <si>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</si>
  <si>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</si>
  <si>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</si>
  <si>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</si>
  <si>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</si>
  <si>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</si>
  <si>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</si>
  <si>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</si>
  <si>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</si>
  <si>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</si>
  <si>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</si>
  <si>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</si>
  <si>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</si>
  <si>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</si>
  <si>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</si>
  <si>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</si>
  <si>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</si>
  <si>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</si>
  <si>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</si>
  <si>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</si>
  <si>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</si>
  <si>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</si>
  <si>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</si>
  <si>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</si>
  <si>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</si>
  <si>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</si>
  <si>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</si>
  <si>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</si>
  <si>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</si>
  <si>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</si>
  <si>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</si>
  <si>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</si>
  <si>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</si>
  <si>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</si>
  <si>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</si>
  <si>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</si>
  <si>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</si>
  <si>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</si>
  <si>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</si>
  <si>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</si>
  <si>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</si>
  <si>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</si>
  <si>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</si>
  <si>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</si>
  <si>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</si>
  <si>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</si>
  <si>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</si>
  <si>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</si>
  <si>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</si>
  <si>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</si>
  <si>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</si>
  <si>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</si>
  <si>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</si>
  <si>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</si>
  <si>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</si>
  <si>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</si>
  <si>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</si>
  <si>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</si>
  <si>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</si>
  <si>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</si>
  <si>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</si>
  <si>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</si>
  <si>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</si>
  <si>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</si>
  <si>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</si>
  <si>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</si>
  <si>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</si>
  <si>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</si>
  <si>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</si>
  <si>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</si>
  <si>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</si>
  <si>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</si>
  <si>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</si>
  <si>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</si>
  <si>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</si>
  <si>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</si>
  <si>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</si>
  <si>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</si>
  <si>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</si>
  <si>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</si>
  <si>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</si>
  <si>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</si>
  <si>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</si>
  <si>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</si>
  <si>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</si>
  <si>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</si>
  <si>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</si>
  <si>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</si>
  <si>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</si>
  <si>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</si>
  <si>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</si>
  <si>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</si>
  <si>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</si>
  <si>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</si>
  <si>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</si>
  <si>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</si>
  <si>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</si>
  <si>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</si>
  <si>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</si>
  <si>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</si>
  <si>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</si>
  <si>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</si>
  <si>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</si>
  <si>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</si>
  <si>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</si>
  <si>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</si>
  <si>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</si>
  <si>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</si>
  <si>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</si>
  <si>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</si>
  <si>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</si>
  <si>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</si>
  <si>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</si>
  <si>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</si>
  <si>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</si>
  <si>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</si>
  <si>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</si>
  <si>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</si>
  <si>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</si>
  <si>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</si>
  <si>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</si>
  <si>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</si>
  <si>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</si>
  <si>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</si>
  <si>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</si>
  <si>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</si>
  <si>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</si>
  <si>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</si>
  <si>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</si>
  <si>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</si>
  <si>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</si>
  <si>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</si>
  <si>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</si>
  <si>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</si>
  <si>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</si>
  <si>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</si>
  <si>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</si>
  <si>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</si>
  <si>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</si>
  <si>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</si>
  <si>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</si>
  <si>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</si>
  <si>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</si>
  <si>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</si>
  <si>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</si>
  <si>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</si>
  <si>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</si>
  <si>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</si>
  <si>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</si>
  <si>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</si>
  <si>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</si>
  <si>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</si>
  <si>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</si>
  <si>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</si>
  <si>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</si>
  <si>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</si>
  <si>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</si>
  <si>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</si>
  <si>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</si>
  <si>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</si>
  <si>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</si>
  <si>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</si>
  <si>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</si>
  <si>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</si>
  <si>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</si>
  <si>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</si>
  <si>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</si>
  <si>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</si>
  <si>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</si>
  <si>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</si>
  <si>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</si>
  <si>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</si>
  <si>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</si>
  <si>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</si>
  <si>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</si>
  <si>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</si>
  <si>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</si>
  <si>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</si>
  <si>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</si>
  <si>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</si>
  <si>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</si>
  <si>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</si>
  <si>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</si>
  <si>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</si>
  <si>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</si>
  <si>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</si>
  <si>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</si>
  <si>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</si>
  <si>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</si>
  <si>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</si>
  <si>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</si>
  <si>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</si>
  <si>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</si>
  <si>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</si>
  <si>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</si>
  <si>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</si>
  <si>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</si>
  <si>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</si>
  <si>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</si>
  <si>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</si>
  <si>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</si>
  <si>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</si>
  <si>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</si>
  <si>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</si>
  <si>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</si>
  <si>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</si>
  <si>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</si>
  <si>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</si>
  <si>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</si>
  <si>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</si>
  <si>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</si>
  <si>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</si>
  <si>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</si>
  <si>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</si>
  <si>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</si>
  <si>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</si>
  <si>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</si>
  <si>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</si>
  <si>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</si>
  <si>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</si>
  <si>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</si>
  <si>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</si>
  <si>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</si>
  <si>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</si>
  <si>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</si>
  <si>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</si>
  <si>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</si>
  <si>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</si>
  <si>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</si>
  <si>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</si>
  <si>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</si>
  <si>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</si>
  <si>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</si>
  <si>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</si>
  <si>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</si>
  <si>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</si>
  <si>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</si>
  <si>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</si>
  <si>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</si>
  <si>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</si>
  <si>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</si>
  <si>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</si>
  <si>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</si>
  <si>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</si>
  <si>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</si>
  <si>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</si>
  <si>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</si>
  <si>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</si>
  <si>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</si>
  <si>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</si>
  <si>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</si>
  <si>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</si>
  <si>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</si>
  <si>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</si>
  <si>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</si>
  <si>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</si>
  <si>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</si>
  <si>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</si>
  <si>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</si>
  <si>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</si>
  <si>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</si>
  <si>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</si>
  <si>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</si>
  <si>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</si>
  <si>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</si>
  <si>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</si>
  <si>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</si>
  <si>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</si>
  <si>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</si>
  <si>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</si>
  <si>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</si>
  <si>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</si>
  <si>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</si>
  <si>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</si>
  <si>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</si>
  <si>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</si>
  <si>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</si>
  <si>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</si>
  <si>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</si>
  <si>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</si>
  <si>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</si>
  <si>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</si>
  <si>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</si>
  <si>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</si>
  <si>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</si>
  <si>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</si>
  <si>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</si>
  <si>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</si>
  <si>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</si>
  <si>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</si>
  <si>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</si>
  <si>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</si>
  <si>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</si>
  <si>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</si>
  <si>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</si>
  <si>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</si>
  <si>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</si>
  <si>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</si>
  <si>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</si>
  <si>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</si>
  <si>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</si>
  <si>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</si>
  <si>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</si>
  <si>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</si>
  <si>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</si>
  <si>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</si>
  <si>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</si>
  <si>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</si>
  <si>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</si>
  <si>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</si>
  <si>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</si>
  <si>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</si>
  <si>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</si>
  <si>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</si>
  <si>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</si>
  <si>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</si>
  <si>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</si>
  <si>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</si>
  <si>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</si>
  <si>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</si>
  <si>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</si>
  <si>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</si>
  <si>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</si>
  <si>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</si>
  <si>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</si>
  <si>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</si>
  <si>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</si>
  <si>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</si>
  <si>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</si>
  <si>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</si>
  <si>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</si>
  <si>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</si>
  <si>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</si>
  <si>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</si>
  <si>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</si>
  <si>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</si>
  <si>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</si>
  <si>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</si>
  <si>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</si>
  <si>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</si>
  <si>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</si>
  <si>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</si>
  <si>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</si>
  <si>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</si>
  <si>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</si>
  <si>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</si>
  <si>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</si>
  <si>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</si>
  <si>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</si>
  <si>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</si>
  <si>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</si>
  <si>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</si>
  <si>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</si>
  <si>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</si>
  <si>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</si>
  <si>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</si>
  <si>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</si>
  <si>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</si>
  <si>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</si>
  <si>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</si>
  <si>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</si>
  <si>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</si>
  <si>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</si>
  <si>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</si>
  <si>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</si>
  <si>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</si>
  <si>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</si>
  <si>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</si>
  <si>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</si>
  <si>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</si>
  <si>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</si>
  <si>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</si>
  <si>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</si>
  <si>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</si>
  <si>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</si>
  <si>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</si>
  <si>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</si>
  <si>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</si>
  <si>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</si>
  <si>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</si>
  <si>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</si>
  <si>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</si>
  <si>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</si>
  <si>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</si>
  <si>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</si>
  <si>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</si>
  <si>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</si>
  <si>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</si>
  <si>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</si>
  <si>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</si>
  <si>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</si>
  <si>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</si>
  <si>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</si>
  <si>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</si>
  <si>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</si>
  <si>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</si>
  <si>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</si>
  <si>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</si>
  <si>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</si>
  <si>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</si>
  <si>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</si>
  <si>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</si>
  <si>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</si>
  <si>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</si>
  <si>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</si>
  <si>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</si>
  <si>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</si>
  <si>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</si>
  <si>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</si>
  <si>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</si>
  <si>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</si>
  <si>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</si>
  <si>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</si>
  <si>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</si>
  <si>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</si>
  <si>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</si>
  <si>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</si>
  <si>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</si>
  <si>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</si>
  <si>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</si>
  <si>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</si>
  <si>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</si>
  <si>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</si>
  <si>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</si>
  <si>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</si>
  <si>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</si>
  <si>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</si>
  <si>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</si>
  <si>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</si>
  <si>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</si>
  <si>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</si>
  <si>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</si>
  <si>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</si>
  <si>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</si>
  <si>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</si>
  <si>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</si>
  <si>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</si>
  <si>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</si>
  <si>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</si>
  <si>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</si>
  <si>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</si>
  <si>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</si>
  <si>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</si>
  <si>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</si>
  <si>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</si>
  <si>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</si>
  <si>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</si>
  <si>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</si>
  <si>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</si>
  <si>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</si>
  <si>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</si>
  <si>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</si>
  <si>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</si>
  <si>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</si>
  <si>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</si>
  <si>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</si>
  <si>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</si>
  <si>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</si>
  <si>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</si>
  <si>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</si>
  <si>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</si>
  <si>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</si>
  <si>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</si>
  <si>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</si>
  <si>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</si>
  <si>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</si>
  <si>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</si>
  <si>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</si>
  <si>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</si>
  <si>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</si>
  <si>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</si>
  <si>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</si>
  <si>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</si>
  <si>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</si>
  <si>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</si>
  <si>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</si>
  <si>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</si>
  <si>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</si>
  <si>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</si>
  <si>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</si>
  <si>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</si>
  <si>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</si>
  <si>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</si>
  <si>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</si>
  <si>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</si>
  <si>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</si>
  <si>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</si>
  <si>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</si>
  <si>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</si>
  <si>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</si>
  <si>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</si>
  <si>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</si>
  <si>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</si>
  <si>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</si>
  <si>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</si>
  <si>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</si>
  <si>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</si>
  <si>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</si>
  <si>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</si>
  <si>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</si>
  <si>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</si>
  <si>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</si>
  <si>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</si>
  <si>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</si>
  <si>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</si>
  <si>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</si>
  <si>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</si>
  <si>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</si>
  <si>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</si>
  <si>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</si>
  <si>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</si>
  <si>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</si>
  <si>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</si>
  <si>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</si>
  <si>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</si>
  <si>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</si>
  <si>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</si>
  <si>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</si>
  <si>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</si>
  <si>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</si>
  <si>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</si>
  <si>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</si>
  <si>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</si>
  <si>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</si>
  <si>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</si>
  <si>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</si>
  <si>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</si>
  <si>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</si>
  <si>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</si>
  <si>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</si>
  <si>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</si>
  <si>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</si>
  <si>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</si>
  <si>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</si>
  <si>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</si>
  <si>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</si>
  <si>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</si>
  <si>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</si>
  <si>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</si>
  <si>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</si>
  <si>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</si>
  <si>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</si>
  <si>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</si>
  <si>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</si>
  <si>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</si>
  <si>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</si>
  <si>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</si>
  <si>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</si>
  <si>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</si>
  <si>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</si>
  <si>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</si>
  <si>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</si>
  <si>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</si>
  <si>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</si>
  <si>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</si>
  <si>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</si>
  <si>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</si>
  <si>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</si>
  <si>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</si>
  <si>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</si>
  <si>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</si>
  <si>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</si>
  <si>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</si>
  <si>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</si>
  <si>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</si>
  <si>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</si>
  <si>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</si>
  <si>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</si>
  <si>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</si>
  <si>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</si>
  <si>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</si>
  <si>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</si>
  <si>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</si>
  <si>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</si>
  <si>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</si>
  <si>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</si>
  <si>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</si>
  <si>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</si>
  <si>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</si>
  <si>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</si>
  <si>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</si>
  <si>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</si>
  <si>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</si>
  <si>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</si>
  <si>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</si>
  <si>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</si>
  <si>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</si>
  <si>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</si>
  <si>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</si>
  <si>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</si>
  <si>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</si>
  <si>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</si>
  <si>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</si>
  <si>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</si>
  <si>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</si>
  <si>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</si>
  <si>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</si>
  <si>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</si>
  <si>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</si>
  <si>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</si>
  <si>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</si>
  <si>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</si>
  <si>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</si>
  <si>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</si>
  <si>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</si>
  <si>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</si>
  <si>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</si>
  <si>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</si>
  <si>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</si>
  <si>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</si>
  <si>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</si>
  <si>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</si>
  <si>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</si>
  <si>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</si>
  <si>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</si>
  <si>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</si>
  <si>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</si>
  <si>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</si>
  <si>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</si>
  <si>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</si>
  <si>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</si>
  <si>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</si>
  <si>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</si>
  <si>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</si>
  <si>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</si>
  <si>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</si>
  <si>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</si>
  <si>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</si>
  <si>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</si>
  <si>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</si>
  <si>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</si>
  <si>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</si>
  <si>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</si>
  <si>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</si>
  <si>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</si>
  <si>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</si>
  <si>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</si>
  <si>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</si>
  <si>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</si>
  <si>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</si>
  <si>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</si>
  <si>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</si>
  <si>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</si>
  <si>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</si>
  <si>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</si>
  <si>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</si>
  <si>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</si>
  <si>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</si>
  <si>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</si>
  <si>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</si>
  <si>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</si>
  <si>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</si>
  <si>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</si>
  <si>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</si>
  <si>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</si>
  <si>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</si>
  <si>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</si>
  <si>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</si>
  <si>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</si>
  <si>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</si>
  <si>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</si>
  <si>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</si>
  <si>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</si>
  <si>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</si>
  <si>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</si>
  <si>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</si>
  <si>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</si>
  <si>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</si>
  <si>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</si>
  <si>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</si>
  <si>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</si>
  <si>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</si>
  <si>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</si>
  <si>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</si>
  <si>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</si>
  <si>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</si>
  <si>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</si>
  <si>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</si>
  <si>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</si>
  <si>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</si>
  <si>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</si>
  <si>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</si>
  <si>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</si>
  <si>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</si>
  <si>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</si>
  <si>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</si>
  <si>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</si>
  <si>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</si>
  <si>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</si>
  <si>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</si>
  <si>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</si>
  <si>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</si>
  <si>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</si>
  <si>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</si>
  <si>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</si>
  <si>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</si>
  <si>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</si>
  <si>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</si>
  <si>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</si>
  <si>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</si>
  <si>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</si>
  <si>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</si>
  <si>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</si>
  <si>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</si>
  <si>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</si>
  <si>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</si>
  <si>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</si>
  <si>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</si>
  <si>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</si>
  <si>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</si>
  <si>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</si>
  <si>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</si>
  <si>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</si>
  <si>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</si>
  <si>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</si>
  <si>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</si>
  <si>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</si>
  <si>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</si>
  <si>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</si>
  <si>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</si>
  <si>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</si>
  <si>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</si>
  <si>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</si>
  <si>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</si>
  <si>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</si>
  <si>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</si>
  <si>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</si>
  <si>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</si>
  <si>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</si>
  <si>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</si>
  <si>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</si>
  <si>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</si>
  <si>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</si>
  <si>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</si>
  <si>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</si>
  <si>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</si>
  <si>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</si>
  <si>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</si>
  <si>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</si>
  <si>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</si>
  <si>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</si>
  <si>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</si>
  <si>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</si>
  <si>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</si>
  <si>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</si>
  <si>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</si>
  <si>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</si>
  <si>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</si>
  <si>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</si>
  <si>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</si>
  <si>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</si>
  <si>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</si>
  <si>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</si>
  <si>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</si>
  <si>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</si>
  <si>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</si>
  <si>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</si>
  <si>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</si>
  <si>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</si>
  <si>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</si>
  <si>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</si>
  <si>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</si>
  <si>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</si>
  <si>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</si>
  <si>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</si>
  <si>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</si>
  <si>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</si>
  <si>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</si>
  <si>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</si>
  <si>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</si>
  <si>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</si>
  <si>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</si>
  <si>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</si>
  <si>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</si>
  <si>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</si>
  <si>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</si>
  <si>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</si>
  <si>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</si>
  <si>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</si>
  <si>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</si>
  <si>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</si>
  <si>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</si>
  <si>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</si>
  <si>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</si>
  <si>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</si>
  <si>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</si>
  <si>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</si>
  <si>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</si>
  <si>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</si>
  <si>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</si>
  <si>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</si>
  <si>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</si>
  <si>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</si>
  <si>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</si>
  <si>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</si>
  <si>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</si>
  <si>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</si>
  <si>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</si>
  <si>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</si>
  <si>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</si>
  <si>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</si>
  <si>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</si>
  <si>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</si>
  <si>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</si>
  <si>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</si>
  <si>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</si>
  <si>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</si>
  <si>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</si>
  <si>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</si>
  <si>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</si>
  <si>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</si>
  <si>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</si>
  <si>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</si>
  <si>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</si>
  <si>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</si>
  <si>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</si>
  <si>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</si>
  <si>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</si>
  <si>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</si>
  <si>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</si>
  <si>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</si>
  <si>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</si>
  <si>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</si>
  <si>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</si>
  <si>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</si>
  <si>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</si>
  <si>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</si>
  <si>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</si>
  <si>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</si>
  <si>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</si>
  <si>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</si>
  <si>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</si>
  <si>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</si>
  <si>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</si>
  <si>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</si>
  <si>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</si>
  <si>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</si>
  <si>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</si>
  <si>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</si>
  <si>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</si>
  <si>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</si>
  <si>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</si>
  <si>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</si>
  <si>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</si>
  <si>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</si>
  <si>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</si>
  <si>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</si>
  <si>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</si>
  <si>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</si>
  <si>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</si>
  <si>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</si>
  <si>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</si>
  <si>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</si>
  <si>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</si>
  <si>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</si>
  <si>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</si>
  <si>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</si>
  <si>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</si>
  <si>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</si>
  <si>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</si>
  <si>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</si>
  <si>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</si>
  <si>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</si>
  <si>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</si>
  <si>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</si>
  <si>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</si>
  <si>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</si>
  <si>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</si>
  <si>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</si>
  <si>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</si>
  <si>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</si>
  <si>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</si>
  <si>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</si>
  <si>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</si>
  <si>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</si>
  <si>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</si>
  <si>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</si>
  <si>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</si>
  <si>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</si>
  <si>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</si>
  <si>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</si>
  <si>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</si>
  <si>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</si>
  <si>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</si>
  <si>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</si>
  <si>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</si>
  <si>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</si>
  <si>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</si>
  <si>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</si>
  <si>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</si>
  <si>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</si>
  <si>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</si>
  <si>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其他：</t>
  </si>
  <si>
    <t>企业</t>
  </si>
  <si>
    <t>地上</t>
  </si>
  <si>
    <t>是</t>
  </si>
  <si>
    <t>否</t>
  </si>
  <si>
    <t>成新度</t>
  </si>
  <si>
    <t>收益法</t>
  </si>
  <si>
    <t>钢混</t>
  </si>
  <si>
    <t>生产用房</t>
  </si>
  <si>
    <t>马小英</t>
  </si>
  <si>
    <t>2020-10-09</t>
  </si>
  <si>
    <t>挂牌</t>
  </si>
  <si>
    <t>大于1并且小于或等于2</t>
  </si>
  <si>
    <t>保定市</t>
  </si>
  <si>
    <t>涿州市松林店镇南马村</t>
  </si>
  <si>
    <t>原子高科华北医药有限公司</t>
  </si>
  <si>
    <t>2020-10-23</t>
  </si>
  <si>
    <t>涿州市松高路南侧</t>
  </si>
  <si>
    <t>方方电子有限公司</t>
  </si>
  <si>
    <t>大于1并且小于或等于1.6</t>
  </si>
  <si>
    <t>涿州市督亢路南侧、腾飞大街西侧</t>
  </si>
  <si>
    <t>涿州路风机动车检测有限公司</t>
  </si>
  <si>
    <t>2020-11-12</t>
  </si>
  <si>
    <t>大于或等于1并且小于或等于1.2</t>
  </si>
  <si>
    <t>沿鲁村东</t>
  </si>
  <si>
    <t>河北金亿亨润科技有限公司</t>
  </si>
  <si>
    <t>2020-11-26</t>
  </si>
  <si>
    <t>大于或等于1并且小于或等于1.6</t>
  </si>
  <si>
    <t>涿州市嘉玉文化传媒有限公司</t>
  </si>
  <si>
    <t>2020-12-07</t>
  </si>
  <si>
    <t>小于或等于2</t>
  </si>
  <si>
    <t>码头镇洋泗庄村北</t>
  </si>
  <si>
    <t>涿州市泰瑞科技有限公司</t>
  </si>
  <si>
    <t>2021-01-08</t>
  </si>
  <si>
    <t>大于1并且小于或等于1.5</t>
  </si>
  <si>
    <t>松开区经七路南侧</t>
  </si>
  <si>
    <t>河北赛高波特流体控制有限公司</t>
  </si>
  <si>
    <t>2021-01-21</t>
  </si>
  <si>
    <t>涿州市松高路北侧</t>
  </si>
  <si>
    <t>涿州立新诚信化工有限责任公司</t>
  </si>
  <si>
    <t>2021-03-26</t>
  </si>
  <si>
    <t>拍卖</t>
  </si>
  <si>
    <t>大于或等于1并且小于或等于2</t>
  </si>
  <si>
    <t>孙庄乡永安路北侧、经一街西侧</t>
  </si>
  <si>
    <t>河北普凡新材料有限公司</t>
  </si>
  <si>
    <t>东城坊镇贾村村北</t>
  </si>
  <si>
    <t>华北铝业有限公司</t>
  </si>
  <si>
    <t>松开区工业路东侧、新松高路北侧</t>
  </si>
  <si>
    <t>阿里云(涿州)信息科技有限公司</t>
  </si>
  <si>
    <t>2021-07-27</t>
  </si>
  <si>
    <t>大于1.2并且小于或等于2</t>
  </si>
  <si>
    <t>京南经济开发区内,纵十四路以东、和谐大街以西、范阳路以南、建设东路以北</t>
  </si>
  <si>
    <t>2021-09-27</t>
  </si>
  <si>
    <t>涿州市国控城乡发展有限公司</t>
  </si>
  <si>
    <t>2021-09-29</t>
  </si>
  <si>
    <t>松开区松高路南侧</t>
  </si>
  <si>
    <t>涿州均和科技产业有限公司</t>
  </si>
  <si>
    <t>2022-01-17</t>
  </si>
  <si>
    <t>大于或等于1.2并且小于或等于2</t>
  </si>
  <si>
    <t>和谐大街以东、富强大街以西、建设东路以北、范阳东路以南</t>
  </si>
  <si>
    <t>中钢研(河北)科技有限公司</t>
  </si>
  <si>
    <t>2022-02-28</t>
  </si>
  <si>
    <t>纬三路南侧、滨河路西侧、督亢路北侧、盛福北街东侧</t>
  </si>
  <si>
    <t>纬三路南侧、盛福北街西侧、督亢路北侧、鹏程大街东侧</t>
  </si>
  <si>
    <t>2022-03-24</t>
  </si>
  <si>
    <t>码头镇洋泗庄村</t>
  </si>
  <si>
    <t>科创大街以东、科兴大街以西、建设东路以北、范阳东路以南</t>
  </si>
  <si>
    <t>河北灵禾科技有限公司</t>
  </si>
  <si>
    <t>史各庄村学校街南侧、经四路北侧</t>
  </si>
  <si>
    <t>河北建投城镇化建设开发有限公司</t>
  </si>
  <si>
    <t>2022-06-28</t>
  </si>
  <si>
    <t>经六路南侧、松高路北侧、工业路东侧、涿新路西侧</t>
  </si>
  <si>
    <t>中地信诚供应链管理(河北)有限公司</t>
  </si>
  <si>
    <t>2022-07-26</t>
  </si>
  <si>
    <t>松林店镇107国道西侧</t>
  </si>
  <si>
    <t>涿州汇亿云科技产业有限公司</t>
  </si>
  <si>
    <t>2022-11-29</t>
  </si>
  <si>
    <t>东仙坡镇镇中路西侧、府后街北侧</t>
  </si>
  <si>
    <t>2023-02-27</t>
  </si>
  <si>
    <t>涿神有色金属加工专用设备有限公司</t>
  </si>
  <si>
    <t>松高路南侧、经八路北侧、镇东路东侧、纬七路西侧</t>
  </si>
  <si>
    <t>涿州科时达电气设备有限公司</t>
  </si>
  <si>
    <t>2023-06-08</t>
  </si>
  <si>
    <t>范阳东路以南、建设东路以北、和谐大街以东、富强大街以西</t>
  </si>
  <si>
    <t>涿州市丰致科技有限公司</t>
  </si>
  <si>
    <t>河北丹福消防科技有限公司</t>
  </si>
  <si>
    <t>受让单位</t>
  </si>
  <si>
    <t>溢价率</t>
  </si>
  <si>
    <t>成交楼面价(元/㎡)</t>
  </si>
  <si>
    <t>成交每亩价(万元/亩)</t>
  </si>
  <si>
    <t>成交价(万元)</t>
  </si>
  <si>
    <t>起始价(万元)</t>
  </si>
  <si>
    <t>成交日期</t>
  </si>
  <si>
    <t>截止日期</t>
  </si>
  <si>
    <t>集中供地</t>
  </si>
  <si>
    <t>详细规划</t>
  </si>
  <si>
    <t>出让方式</t>
  </si>
  <si>
    <t>容积率</t>
  </si>
  <si>
    <t>规划建筑面积(㎡)</t>
  </si>
  <si>
    <t>建设用地面积(㎡)</t>
  </si>
  <si>
    <t>用地性质</t>
  </si>
  <si>
    <t>城市</t>
  </si>
  <si>
    <t>地块名称</t>
  </si>
  <si>
    <t>正常</t>
  </si>
  <si>
    <t>工业</t>
    <phoneticPr fontId="3" type="noConversion"/>
  </si>
  <si>
    <t>楼面地价</t>
  </si>
  <si>
    <t>一般</t>
  </si>
  <si>
    <t>较好</t>
  </si>
  <si>
    <t>六通</t>
  </si>
  <si>
    <t>较规则</t>
  </si>
  <si>
    <t>五通</t>
  </si>
  <si>
    <t>较规则</t>
    <phoneticPr fontId="32" type="noConversion"/>
  </si>
  <si>
    <t>五通</t>
    <phoneticPr fontId="32" type="noConversion"/>
  </si>
  <si>
    <t>现房</t>
  </si>
  <si>
    <t>项目局部</t>
  </si>
  <si>
    <t>成本法</t>
  </si>
  <si>
    <t>1#</t>
  </si>
  <si>
    <t>自定义</t>
  </si>
  <si>
    <t>未包含在土地购买价格中</t>
  </si>
  <si>
    <t>全部缴纳</t>
  </si>
  <si>
    <t>已包含在土地取得成本中</t>
  </si>
  <si>
    <t>成本比率</t>
  </si>
  <si>
    <t>1#</t>
    <phoneticPr fontId="24" type="noConversion"/>
  </si>
  <si>
    <t>较好</t>
    <phoneticPr fontId="32" type="noConversion"/>
  </si>
  <si>
    <t>1#、3#</t>
    <phoneticPr fontId="134" type="noConversion"/>
  </si>
  <si>
    <t>3#</t>
    <phoneticPr fontId="8" type="noConversion"/>
  </si>
  <si>
    <t>土地价值</t>
    <phoneticPr fontId="8" type="noConversion"/>
  </si>
  <si>
    <t>建筑物价值</t>
    <phoneticPr fontId="8" type="noConversion"/>
  </si>
  <si>
    <t>单价</t>
    <phoneticPr fontId="8" type="noConversion"/>
  </si>
  <si>
    <t>1#</t>
    <phoneticPr fontId="3" type="noConversion"/>
  </si>
  <si>
    <t>2#-1厂房</t>
    <phoneticPr fontId="3" type="noConversion"/>
  </si>
  <si>
    <t>2#-2厂房</t>
    <phoneticPr fontId="3" type="noConversion"/>
  </si>
  <si>
    <t>3#</t>
    <phoneticPr fontId="3" type="noConversion"/>
  </si>
  <si>
    <t>3#</t>
    <phoneticPr fontId="24" type="noConversion"/>
  </si>
  <si>
    <t>2#-1、2#-2、三期</t>
    <phoneticPr fontId="134" type="noConversion"/>
  </si>
  <si>
    <t>楼面单价</t>
  </si>
  <si>
    <t>三期厂房/拟建厂房</t>
    <phoneticPr fontId="3" type="noConversion"/>
  </si>
  <si>
    <t>建筑面积</t>
    <phoneticPr fontId="3" type="noConversion"/>
  </si>
  <si>
    <t>计容面积</t>
    <phoneticPr fontId="3" type="noConversion"/>
  </si>
  <si>
    <t>1#</t>
    <phoneticPr fontId="8" type="noConversion"/>
  </si>
  <si>
    <t>土地价值</t>
    <phoneticPr fontId="8" type="noConversion"/>
  </si>
  <si>
    <t>在建价值</t>
    <phoneticPr fontId="8" type="noConversion"/>
  </si>
  <si>
    <t>土地单价</t>
    <phoneticPr fontId="8" type="noConversion"/>
  </si>
  <si>
    <t>在建单价</t>
    <phoneticPr fontId="8" type="noConversion"/>
  </si>
  <si>
    <t>总价</t>
    <phoneticPr fontId="8" type="noConversion"/>
  </si>
  <si>
    <t>楼面单价</t>
    <phoneticPr fontId="8" type="noConversion"/>
  </si>
  <si>
    <t>3#</t>
    <phoneticPr fontId="8" type="noConversion"/>
  </si>
  <si>
    <t>按纯土地单价</t>
    <phoneticPr fontId="8" type="noConversion"/>
  </si>
  <si>
    <t>在建</t>
    <phoneticPr fontId="8" type="noConversion"/>
  </si>
  <si>
    <t>在建</t>
    <phoneticPr fontId="8" type="noConversion"/>
  </si>
  <si>
    <t>合计</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</si>
</sst>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indexed="8"/>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53" fillId="0" borderId="0"/>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53" fillId="0" borderId="0" xfId="19" applyAlignment="1">
      <alignment horizontal="left" vertical="center"/>
    </xf>
    <xf numFmtId="0" fontId="53" fillId="5" borderId="0" xfId="19" applyFill="1" applyAlignment="1">
      <alignment horizontal="left" vertical="center"/>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0" fontId="77" fillId="6" borderId="0" xfId="0" applyFont="1" applyFill="1" applyAlignment="1" applyProtection="1">
      <alignment horizontal="left" vertical="center"/>
      <protection locked="0"/>
    </xf>
    <xf numFmtId="0" fontId="11" fillId="0" borderId="1" xfId="0" applyFont="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47" fillId="16" borderId="1" xfId="0" applyNumberFormat="1" applyFont="1" applyFill="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1" fillId="16" borderId="1" xfId="0" applyFont="1" applyFill="1" applyBorder="1" applyAlignment="1" applyProtection="1">
      <alignment vertical="center" wrapText="1"/>
      <protection locked="0"/>
    </xf>
    <xf numFmtId="0" fontId="44" fillId="16" borderId="23" xfId="0" applyNumberFormat="1" applyFont="1" applyFill="1" applyBorder="1" applyAlignment="1" applyProtection="1">
      <alignment horizontal="center" vertical="center" wrapText="1"/>
      <protection locked="0"/>
    </xf>
    <xf numFmtId="0" fontId="44" fillId="16" borderId="49" xfId="0" applyFont="1" applyFill="1" applyBorder="1" applyAlignment="1" applyProtection="1">
      <alignment horizontal="center" vertical="center"/>
      <protection locked="0"/>
    </xf>
    <xf numFmtId="0" fontId="77" fillId="7" borderId="0" xfId="0" applyFont="1" applyFill="1" applyAlignment="1" applyProtection="1">
      <alignment horizontal="left" vertical="center"/>
      <protection locked="0"/>
    </xf>
    <xf numFmtId="0" fontId="269" fillId="7" borderId="0" xfId="0" applyFont="1" applyFill="1" applyAlignment="1" applyProtection="1">
      <alignment horizontal="left" vertical="center"/>
      <protection locked="0"/>
    </xf>
    <xf numFmtId="181" fontId="44" fillId="13" borderId="24"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531877</xdr:colOff>
      <xdr:row>48</xdr:row>
      <xdr:rowOff>160877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190477" cy="83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3/2023-1-0139&#27827;&#21271;&#30465;&#28095;&#24030;&#24066;&#26494;&#26519;&#24215;&#32463;&#27982;&#24320;&#21457;&#21306;&#24037;&#19994;&#35199;&#36335;&#19996;&#20391;&#12289;&#32463;&#20061;&#36335;&#21271;&#20391;1%23&#24037;&#19994;&#29992;&#25151;&#25151;&#22320;&#20135;&#21450;2%23&#12289;3%23&#24037;&#19994;&#29992;&#25151;&#20998;&#25674;&#20986;&#35753;&#22269;&#26377;&#24314;&#35774;&#29992;&#22320;&#20351;&#29992;&#26435;&#25269;&#25276;&#20215;&#20540;&#35780;&#20272;/F02/&#26368;&#32456;/&#12304;2023&#12305;&#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12;&#243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1-cuikai/AppData/Local/Temp/HZ$D.080.1060/HZ$D.080.1061/&#22312;&#243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312;&#24314;-&#20108;&#2345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2312;&#24314;-&#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0"/>
      <sheetName val="比较法-住宅、综合"/>
      <sheetName val="比较法-工业"/>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row r="3">
          <cell r="D3">
            <v>21939.57</v>
          </cell>
        </row>
      </sheetData>
      <sheetData sheetId="13">
        <row r="53">
          <cell r="A53" t="str">
            <v>城镇土地纳税等级分级范围</v>
          </cell>
        </row>
      </sheetData>
      <sheetData sheetId="14"/>
      <sheetData sheetId="15"/>
      <sheetData sheetId="16">
        <row r="19">
          <cell r="G19">
            <v>1962</v>
          </cell>
        </row>
      </sheetData>
      <sheetData sheetId="17"/>
      <sheetData sheetId="18">
        <row r="74">
          <cell r="A74" t="str">
            <v>交易情况</v>
          </cell>
        </row>
      </sheetData>
      <sheetData sheetId="19">
        <row r="71">
          <cell r="B71" t="str">
            <v>用途</v>
          </cell>
        </row>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0"/>
      <sheetData sheetId="21"/>
      <sheetData sheetId="22"/>
      <sheetData sheetId="23">
        <row r="8">
          <cell r="A8" t="str">
            <v>通路</v>
          </cell>
        </row>
      </sheetData>
      <sheetData sheetId="24"/>
      <sheetData sheetId="25"/>
      <sheetData sheetId="26"/>
      <sheetData sheetId="27"/>
      <sheetData sheetId="28"/>
      <sheetData sheetId="29"/>
      <sheetData sheetId="30"/>
      <sheetData sheetId="31"/>
      <sheetData sheetId="32"/>
      <sheetData sheetId="33"/>
      <sheetData sheetId="34"/>
      <sheetData sheetId="35">
        <row r="61">
          <cell r="A61" t="str">
            <v>交易情况</v>
          </cell>
        </row>
      </sheetData>
      <sheetData sheetId="36">
        <row r="61">
          <cell r="A61" t="str">
            <v>交易情况</v>
          </cell>
        </row>
      </sheetData>
      <sheetData sheetId="37">
        <row r="62">
          <cell r="A62" t="str">
            <v>交易情况</v>
          </cell>
        </row>
      </sheetData>
      <sheetData sheetId="38">
        <row r="55">
          <cell r="A55" t="str">
            <v>交易情况</v>
          </cell>
        </row>
      </sheetData>
      <sheetData sheetId="39">
        <row r="51">
          <cell r="A51" t="str">
            <v>交易情况</v>
          </cell>
        </row>
      </sheetData>
      <sheetData sheetId="40">
        <row r="49">
          <cell r="A49" t="str">
            <v>交易情况</v>
          </cell>
        </row>
      </sheetData>
      <sheetData sheetId="41">
        <row r="5">
          <cell r="A5">
            <v>0</v>
          </cell>
        </row>
      </sheetData>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假设开发法"/>
      <sheetName val="收益法"/>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0"/>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20903.640000000003</v>
          </cell>
        </row>
      </sheetData>
      <sheetData sheetId="14"/>
      <sheetData sheetId="15"/>
      <sheetData sheetId="16"/>
      <sheetData sheetId="17">
        <row r="19">
          <cell r="G19">
            <v>3844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假设开发法"/>
      <sheetName val="收益法"/>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0"/>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14334.23</v>
          </cell>
        </row>
      </sheetData>
      <sheetData sheetId="14"/>
      <sheetData sheetId="15"/>
      <sheetData sheetId="16"/>
      <sheetData sheetId="17">
        <row r="19">
          <cell r="G19">
            <v>3824</v>
          </cell>
        </row>
      </sheetData>
      <sheetData sheetId="18">
        <row r="6">
          <cell r="C6">
            <v>985</v>
          </cell>
        </row>
        <row r="31">
          <cell r="C31">
            <v>1467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假设开发法"/>
      <sheetName val="收益法"/>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0"/>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H118">
            <v>3771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估价对象为房地产，为所有。根据《国有土地使用证》[]，估价对象（分摊）出让国有建设用地使用权面积为5753.84平方米，建筑面积为8390.83平方米。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估价对象为房地产,属开发建设的，该项目尚在开发建设中。根据《国有土地使用证》[]，估价对象（分摊）出让国有建设用地使用权面积为5753.84平方米，规划建筑面积为8390.83平方米。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2023年7月24日（评估专业人员实地查勘之日）</v>
      </c>
    </row>
    <row r="13" spans="1:2" s="1203" customFormat="1">
      <c r="A13" s="1201" t="s">
        <v>529</v>
      </c>
      <c r="B13" s="1202" t="str">
        <f>'预评函-1'!A18</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2691</v>
      </c>
    </row>
    <row r="21" spans="1:2" s="1203" customFormat="1">
      <c r="A21" s="1201" t="s">
        <v>537</v>
      </c>
      <c r="B21" s="1202">
        <f ca="1">'预评函-2'!D7</f>
        <v>3207</v>
      </c>
    </row>
    <row r="22" spans="1:2" s="1203" customFormat="1">
      <c r="A22" s="1201" t="s">
        <v>538</v>
      </c>
      <c r="B22" s="1202" t="str">
        <f ca="1">'预评函-2'!D6</f>
        <v>贰仟陆佰玖拾壹万元整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2691</v>
      </c>
    </row>
    <row r="31" spans="1:2" s="1203" customFormat="1">
      <c r="A31" s="1201" t="s">
        <v>576</v>
      </c>
      <c r="B31" s="1202">
        <f ca="1">'预评函-2'!D15</f>
        <v>3207</v>
      </c>
    </row>
    <row r="32" spans="1:2" s="1203" customFormat="1">
      <c r="A32" s="1201" t="s">
        <v>543</v>
      </c>
      <c r="B32" s="1202" t="str">
        <f ca="1">'预评函-2'!D14</f>
        <v>贰仟陆佰玖拾壹万元整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8390.83</v>
      </c>
    </row>
    <row r="44" spans="1:2" s="1203" customFormat="1">
      <c r="A44" s="1201" t="s">
        <v>575</v>
      </c>
      <c r="B44" s="1202" t="str">
        <f>'预评函-3'!C2</f>
        <v>(分摊)土地面积</v>
      </c>
    </row>
    <row r="45" spans="1:2" s="1203" customFormat="1">
      <c r="A45" s="1201" t="s">
        <v>547</v>
      </c>
      <c r="B45" s="1202">
        <f>'预评函-3'!C4</f>
        <v>5753.84</v>
      </c>
    </row>
    <row r="46" spans="1:2" s="1203" customFormat="1">
      <c r="A46" s="1201" t="s">
        <v>573</v>
      </c>
      <c r="B46" s="1202" t="str">
        <f>'预评函-3'!D2</f>
        <v>出让国有建设用地使用权价值</v>
      </c>
    </row>
    <row r="47" spans="1:2" s="1203" customFormat="1">
      <c r="A47" s="1201" t="s">
        <v>548</v>
      </c>
      <c r="B47" s="1202">
        <f ca="1">'预评函-3'!D4</f>
        <v>613</v>
      </c>
    </row>
    <row r="48" spans="1:2" s="1203" customFormat="1">
      <c r="A48" s="1201" t="s">
        <v>549</v>
      </c>
      <c r="B48" s="1202">
        <f ca="1">'预评函-3'!E4</f>
        <v>731</v>
      </c>
    </row>
    <row r="49" spans="1:2" s="1203" customFormat="1">
      <c r="A49" s="1201" t="s">
        <v>550</v>
      </c>
      <c r="B49" s="1202" t="str">
        <f ca="1">'预评函-3'!D5</f>
        <v>陆佰壹拾叁万元整</v>
      </c>
    </row>
    <row r="50" spans="1:2" s="1203" customFormat="1">
      <c r="A50" s="1201" t="s">
        <v>574</v>
      </c>
      <c r="B50" s="1202" t="str">
        <f>'预评函-3'!F2</f>
        <v>在建建筑物价值</v>
      </c>
    </row>
    <row r="51" spans="1:2" s="1203" customFormat="1">
      <c r="A51" s="1201" t="s">
        <v>551</v>
      </c>
      <c r="B51" s="1202">
        <f ca="1">'预评函-3'!F4</f>
        <v>2078</v>
      </c>
    </row>
    <row r="52" spans="1:2" s="1203" customFormat="1">
      <c r="A52" s="1201" t="s">
        <v>552</v>
      </c>
      <c r="B52" s="1202">
        <f ca="1">'预评函-3'!G4</f>
        <v>2476</v>
      </c>
    </row>
    <row r="53" spans="1:2" s="1203" customFormat="1">
      <c r="A53" s="1201" t="s">
        <v>580</v>
      </c>
      <c r="B53" s="1202" t="str">
        <f ca="1">'预评函-3'!F5</f>
        <v>贰仟零柒拾捌万元整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975</v>
      </c>
      <c r="C1" s="1541" t="s">
        <v>314</v>
      </c>
      <c r="D1" s="1543" t="s">
        <v>3351</v>
      </c>
      <c r="E1" s="1542" t="s">
        <v>976</v>
      </c>
      <c r="F1" s="1542" t="s">
        <v>977</v>
      </c>
      <c r="G1" s="1542" t="s">
        <v>978</v>
      </c>
      <c r="H1" s="1542" t="s">
        <v>979</v>
      </c>
      <c r="I1" s="1542" t="s">
        <v>980</v>
      </c>
      <c r="J1" s="1542" t="s">
        <v>981</v>
      </c>
      <c r="K1" s="1542" t="s">
        <v>982</v>
      </c>
      <c r="L1" s="1542" t="s">
        <v>983</v>
      </c>
      <c r="M1" s="1542" t="s">
        <v>984</v>
      </c>
      <c r="N1" s="1542" t="s">
        <v>985</v>
      </c>
      <c r="O1" s="1542" t="s">
        <v>986</v>
      </c>
      <c r="P1" s="1543" t="s">
        <v>309</v>
      </c>
      <c r="Q1" s="1543" t="s">
        <v>447</v>
      </c>
      <c r="R1" s="1542" t="s">
        <v>441</v>
      </c>
      <c r="S1" s="1542" t="s">
        <v>987</v>
      </c>
      <c r="T1" s="1544" t="s">
        <v>988</v>
      </c>
      <c r="U1" s="1542" t="s">
        <v>989</v>
      </c>
      <c r="V1" s="1542" t="s">
        <v>990</v>
      </c>
      <c r="W1" s="1542" t="s">
        <v>311</v>
      </c>
    </row>
    <row r="2" spans="1:23">
      <c r="A2" s="1546" t="s">
        <v>19</v>
      </c>
      <c r="B2" s="1546" t="s">
        <v>991</v>
      </c>
      <c r="C2" s="1547" t="s">
        <v>315</v>
      </c>
      <c r="D2" s="1548" t="s">
        <v>992</v>
      </c>
      <c r="E2" s="1548" t="s">
        <v>993</v>
      </c>
      <c r="F2" s="1548" t="s">
        <v>994</v>
      </c>
      <c r="G2" s="1548">
        <v>20</v>
      </c>
      <c r="H2" s="1548" t="s">
        <v>994</v>
      </c>
      <c r="I2" s="1548" t="s">
        <v>3337</v>
      </c>
      <c r="J2" s="1548" t="s">
        <v>995</v>
      </c>
      <c r="K2" s="1548" t="s">
        <v>996</v>
      </c>
      <c r="L2" s="1548" t="s">
        <v>996</v>
      </c>
      <c r="M2" s="1548" t="s">
        <v>996</v>
      </c>
      <c r="N2" s="1548" t="s">
        <v>996</v>
      </c>
      <c r="O2" s="1548" t="s">
        <v>996</v>
      </c>
      <c r="P2" s="1548" t="s">
        <v>996</v>
      </c>
      <c r="Q2" s="1548" t="s">
        <v>996</v>
      </c>
      <c r="R2" s="1548" t="s">
        <v>443</v>
      </c>
      <c r="S2" s="1548" t="s">
        <v>996</v>
      </c>
      <c r="T2" s="1548" t="s">
        <v>997</v>
      </c>
      <c r="U2" s="1548" t="s">
        <v>996</v>
      </c>
      <c r="V2" s="1548" t="s">
        <v>998</v>
      </c>
      <c r="W2" s="1548" t="s">
        <v>996</v>
      </c>
    </row>
    <row r="3" spans="1:23">
      <c r="A3" s="1546" t="s">
        <v>999</v>
      </c>
      <c r="B3" s="1549" t="s">
        <v>448</v>
      </c>
      <c r="C3" s="1550" t="s">
        <v>316</v>
      </c>
      <c r="D3" s="1548" t="s">
        <v>1000</v>
      </c>
      <c r="E3" s="1548" t="s">
        <v>13</v>
      </c>
      <c r="F3" s="1548" t="s">
        <v>1001</v>
      </c>
      <c r="G3" s="1548">
        <v>40</v>
      </c>
      <c r="H3" s="1548" t="s">
        <v>1001</v>
      </c>
      <c r="I3" s="1548" t="s">
        <v>3338</v>
      </c>
      <c r="J3" s="1548" t="s">
        <v>1002</v>
      </c>
      <c r="K3" s="1548" t="s">
        <v>1003</v>
      </c>
      <c r="L3" s="1548" t="s">
        <v>1003</v>
      </c>
      <c r="M3" s="1548" t="s">
        <v>1003</v>
      </c>
      <c r="N3" s="1548" t="s">
        <v>1003</v>
      </c>
      <c r="O3" s="1548" t="s">
        <v>1003</v>
      </c>
      <c r="P3" s="1548" t="s">
        <v>1003</v>
      </c>
      <c r="Q3" s="1548" t="s">
        <v>1003</v>
      </c>
      <c r="R3" s="1548" t="s">
        <v>442</v>
      </c>
      <c r="S3" s="1548" t="s">
        <v>1003</v>
      </c>
      <c r="T3" s="1548" t="s">
        <v>1004</v>
      </c>
      <c r="U3" s="1548" t="s">
        <v>1003</v>
      </c>
      <c r="V3" s="1548" t="s">
        <v>1005</v>
      </c>
      <c r="W3" s="1548" t="s">
        <v>1003</v>
      </c>
    </row>
    <row r="4" spans="1:23">
      <c r="A4" s="1546" t="s">
        <v>1006</v>
      </c>
      <c r="B4" s="1546" t="s">
        <v>1007</v>
      </c>
      <c r="C4" s="1547" t="s">
        <v>317</v>
      </c>
      <c r="D4" s="1548" t="s">
        <v>389</v>
      </c>
      <c r="E4" s="1548" t="s">
        <v>1008</v>
      </c>
      <c r="F4" s="1548" t="s">
        <v>1009</v>
      </c>
      <c r="G4" s="1548">
        <v>50</v>
      </c>
      <c r="H4" s="1548" t="s">
        <v>1009</v>
      </c>
      <c r="I4" s="1548" t="s">
        <v>3339</v>
      </c>
      <c r="K4" s="1548" t="s">
        <v>1010</v>
      </c>
      <c r="L4" s="1548" t="s">
        <v>1010</v>
      </c>
      <c r="M4" s="1548" t="s">
        <v>1010</v>
      </c>
      <c r="N4" s="1548" t="s">
        <v>1010</v>
      </c>
      <c r="O4" s="1548" t="s">
        <v>1010</v>
      </c>
      <c r="P4" s="1548" t="s">
        <v>1010</v>
      </c>
      <c r="Q4" s="1548" t="s">
        <v>1010</v>
      </c>
      <c r="R4" s="1548" t="s">
        <v>444</v>
      </c>
      <c r="S4" s="1548" t="s">
        <v>1010</v>
      </c>
      <c r="T4" s="1548" t="s">
        <v>1011</v>
      </c>
      <c r="U4" s="1548" t="s">
        <v>1010</v>
      </c>
      <c r="W4" s="1548" t="s">
        <v>1010</v>
      </c>
    </row>
    <row r="5" spans="1:23">
      <c r="A5" s="1546" t="s">
        <v>1012</v>
      </c>
      <c r="B5" s="1546" t="s">
        <v>1013</v>
      </c>
      <c r="C5" s="1547" t="s">
        <v>318</v>
      </c>
      <c r="F5" s="1548" t="s">
        <v>1014</v>
      </c>
      <c r="G5" s="1548">
        <v>70</v>
      </c>
      <c r="H5" s="1548" t="s">
        <v>1015</v>
      </c>
      <c r="I5" s="1548" t="s">
        <v>3340</v>
      </c>
      <c r="K5" s="1548" t="s">
        <v>1016</v>
      </c>
      <c r="L5" s="1548" t="s">
        <v>1016</v>
      </c>
      <c r="M5" s="1548" t="s">
        <v>1016</v>
      </c>
      <c r="N5" s="1548" t="s">
        <v>1016</v>
      </c>
      <c r="O5" s="1548" t="s">
        <v>1016</v>
      </c>
      <c r="P5" s="1548" t="s">
        <v>1016</v>
      </c>
      <c r="Q5" s="1548" t="s">
        <v>1016</v>
      </c>
      <c r="R5" s="1548" t="s">
        <v>445</v>
      </c>
      <c r="S5" s="1548" t="s">
        <v>1016</v>
      </c>
      <c r="T5" s="1548" t="s">
        <v>1017</v>
      </c>
      <c r="U5" s="1548" t="s">
        <v>1016</v>
      </c>
      <c r="W5" s="1548" t="s">
        <v>1016</v>
      </c>
    </row>
    <row r="6" spans="1:23">
      <c r="A6" s="1546" t="s">
        <v>1018</v>
      </c>
      <c r="B6" s="1549" t="s">
        <v>449</v>
      </c>
      <c r="C6" s="1552" t="s">
        <v>24</v>
      </c>
      <c r="F6" s="1548" t="s">
        <v>1015</v>
      </c>
      <c r="H6" s="1548" t="s">
        <v>1019</v>
      </c>
      <c r="I6" s="1548" t="s">
        <v>3341</v>
      </c>
      <c r="K6" s="1548" t="s">
        <v>1020</v>
      </c>
      <c r="L6" s="1548" t="s">
        <v>1020</v>
      </c>
      <c r="M6" s="1548" t="s">
        <v>1020</v>
      </c>
      <c r="N6" s="1548" t="s">
        <v>1020</v>
      </c>
      <c r="O6" s="1548" t="s">
        <v>1020</v>
      </c>
      <c r="P6" s="1548" t="s">
        <v>1020</v>
      </c>
      <c r="Q6" s="1548" t="s">
        <v>1020</v>
      </c>
      <c r="R6" s="1548" t="s">
        <v>446</v>
      </c>
      <c r="S6" s="1548" t="s">
        <v>1020</v>
      </c>
      <c r="T6" s="1548"/>
      <c r="U6" s="1548" t="s">
        <v>1020</v>
      </c>
      <c r="W6" s="1548" t="s">
        <v>1020</v>
      </c>
    </row>
    <row r="7" spans="1:23">
      <c r="A7" s="1546" t="s">
        <v>1021</v>
      </c>
      <c r="B7" s="1549" t="s">
        <v>450</v>
      </c>
      <c r="C7" s="1547" t="s">
        <v>25</v>
      </c>
      <c r="F7" s="1548" t="s">
        <v>1022</v>
      </c>
      <c r="H7" s="1548" t="s">
        <v>1023</v>
      </c>
      <c r="I7" s="1548" t="s">
        <v>3342</v>
      </c>
    </row>
    <row r="8" spans="1:23">
      <c r="A8" s="1546" t="s">
        <v>1024</v>
      </c>
      <c r="B8" s="1546" t="s">
        <v>1025</v>
      </c>
      <c r="C8" s="1547" t="s">
        <v>319</v>
      </c>
      <c r="F8" s="1548" t="s">
        <v>1026</v>
      </c>
      <c r="H8" s="1548" t="s">
        <v>2575</v>
      </c>
      <c r="I8" s="1548" t="s">
        <v>3343</v>
      </c>
    </row>
    <row r="9" spans="1:23">
      <c r="A9" s="1546" t="s">
        <v>1027</v>
      </c>
      <c r="B9" s="1546" t="s">
        <v>1028</v>
      </c>
      <c r="C9" s="1547" t="s">
        <v>320</v>
      </c>
      <c r="F9" s="1548" t="s">
        <v>1029</v>
      </c>
      <c r="H9" s="1548"/>
      <c r="I9" s="1551" t="s">
        <v>3344</v>
      </c>
    </row>
    <row r="10" spans="1:23">
      <c r="A10" s="1546" t="s">
        <v>1030</v>
      </c>
      <c r="B10" s="1546" t="s">
        <v>1031</v>
      </c>
      <c r="C10" s="1547" t="s">
        <v>321</v>
      </c>
      <c r="F10" s="1548" t="s">
        <v>2576</v>
      </c>
      <c r="I10" s="1551" t="s">
        <v>3345</v>
      </c>
    </row>
    <row r="11" spans="1:23">
      <c r="A11" s="1546" t="s">
        <v>1032</v>
      </c>
      <c r="B11" s="1546" t="s">
        <v>1033</v>
      </c>
      <c r="C11" s="1547" t="s">
        <v>322</v>
      </c>
      <c r="F11" s="1548" t="s">
        <v>13</v>
      </c>
      <c r="I11" s="1551" t="s">
        <v>3346</v>
      </c>
    </row>
    <row r="12" spans="1:23">
      <c r="A12" s="1546" t="s">
        <v>1034</v>
      </c>
      <c r="B12" s="1546" t="s">
        <v>1035</v>
      </c>
      <c r="C12" s="1547" t="s">
        <v>323</v>
      </c>
      <c r="I12" s="1551" t="s">
        <v>3347</v>
      </c>
    </row>
    <row r="13" spans="1:23">
      <c r="A13" s="1546" t="s">
        <v>1036</v>
      </c>
      <c r="B13" s="1546" t="s">
        <v>1037</v>
      </c>
      <c r="C13" s="1547" t="s">
        <v>324</v>
      </c>
      <c r="I13" s="1551" t="s">
        <v>3348</v>
      </c>
    </row>
    <row r="14" spans="1:23">
      <c r="A14" s="1546" t="s">
        <v>1038</v>
      </c>
      <c r="B14" s="1546" t="s">
        <v>1039</v>
      </c>
      <c r="C14" s="1548" t="s">
        <v>13</v>
      </c>
      <c r="I14" s="1551" t="s">
        <v>3349</v>
      </c>
    </row>
    <row r="15" spans="1:23">
      <c r="A15" s="1546" t="s">
        <v>1040</v>
      </c>
      <c r="B15" s="1546" t="s">
        <v>1041</v>
      </c>
      <c r="C15" s="1547"/>
      <c r="I15" s="1551" t="s">
        <v>3350</v>
      </c>
    </row>
    <row r="16" spans="1:23">
      <c r="A16" s="1546" t="s">
        <v>1042</v>
      </c>
      <c r="B16" s="1546" t="s">
        <v>312</v>
      </c>
      <c r="C16" s="1547"/>
    </row>
    <row r="17" spans="1:3">
      <c r="A17" s="1546" t="s">
        <v>1043</v>
      </c>
      <c r="B17" s="1546" t="s">
        <v>2287</v>
      </c>
      <c r="C17" s="1547"/>
    </row>
    <row r="18" spans="1:3">
      <c r="A18" s="1546" t="s">
        <v>1044</v>
      </c>
      <c r="B18" s="1546" t="s">
        <v>2431</v>
      </c>
      <c r="C18" s="1547"/>
    </row>
    <row r="19" spans="1:3">
      <c r="A19" s="1546" t="s">
        <v>1045</v>
      </c>
      <c r="B19" s="1546" t="s">
        <v>313</v>
      </c>
      <c r="C19" s="1547"/>
    </row>
    <row r="20" spans="1:3">
      <c r="A20" s="1546" t="s">
        <v>1046</v>
      </c>
      <c r="B20" s="1546" t="s">
        <v>313</v>
      </c>
      <c r="C20" s="1547"/>
    </row>
    <row r="21" spans="1:3">
      <c r="A21" s="1546" t="s">
        <v>1047</v>
      </c>
      <c r="B21" s="1546" t="s">
        <v>313</v>
      </c>
      <c r="C21" s="1547"/>
    </row>
    <row r="22" spans="1:3">
      <c r="A22" s="1546" t="s">
        <v>1048</v>
      </c>
      <c r="B22" s="1546" t="s">
        <v>313</v>
      </c>
      <c r="C22" s="1547"/>
    </row>
    <row r="23" spans="1:3">
      <c r="A23" s="1546" t="s">
        <v>1049</v>
      </c>
      <c r="B23" s="1546" t="s">
        <v>313</v>
      </c>
      <c r="C23" s="1547"/>
    </row>
    <row r="24" spans="1:3">
      <c r="A24" s="1546" t="s">
        <v>1050</v>
      </c>
      <c r="B24" s="1546" t="s">
        <v>313</v>
      </c>
      <c r="C24" s="1547"/>
    </row>
    <row r="25" spans="1:3">
      <c r="A25" s="1546" t="s">
        <v>1051</v>
      </c>
      <c r="B25" s="1546" t="s">
        <v>313</v>
      </c>
      <c r="C25" s="1547"/>
    </row>
    <row r="26" spans="1:3">
      <c r="A26" s="1546" t="s">
        <v>1052</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2498</v>
      </c>
      <c r="B1" s="3013"/>
      <c r="C1" s="3013"/>
      <c r="D1" s="3013"/>
      <c r="E1" s="3013"/>
      <c r="F1" s="3014"/>
      <c r="I1" s="3436" t="s">
        <v>2591</v>
      </c>
      <c r="J1" s="3225"/>
      <c r="K1" s="3225"/>
      <c r="L1" s="3225"/>
      <c r="M1" s="3225"/>
      <c r="N1" s="3437"/>
      <c r="O1" s="3437"/>
      <c r="P1" s="3437"/>
      <c r="Q1" s="3437"/>
      <c r="R1" s="3437"/>
    </row>
    <row r="2" spans="1:18">
      <c r="A2" s="3016"/>
      <c r="B2" s="3017"/>
      <c r="C2" s="3017"/>
      <c r="D2" s="3017"/>
      <c r="E2" s="3017"/>
      <c r="F2" s="3018"/>
      <c r="I2" s="3508" t="s">
        <v>2578</v>
      </c>
      <c r="J2" s="3508"/>
      <c r="K2" s="3508"/>
      <c r="L2" s="3508"/>
      <c r="M2" s="3508"/>
      <c r="N2" s="3508"/>
      <c r="O2" s="3508"/>
      <c r="P2" s="3508"/>
      <c r="Q2" s="3508"/>
      <c r="R2" s="3508"/>
    </row>
    <row r="3" spans="1:18">
      <c r="A3" s="3019" t="s">
        <v>2499</v>
      </c>
      <c r="B3" s="3020">
        <f>项目基本情况!D3</f>
        <v>45131</v>
      </c>
      <c r="C3" s="3022"/>
      <c r="D3" s="3022"/>
      <c r="E3" s="3022"/>
      <c r="F3" s="3018"/>
      <c r="I3" s="3438"/>
      <c r="J3" s="3438" t="s">
        <v>2582</v>
      </c>
      <c r="K3" s="3438" t="s">
        <v>2583</v>
      </c>
      <c r="L3" s="3438" t="s">
        <v>2584</v>
      </c>
      <c r="M3" s="3438" t="s">
        <v>2585</v>
      </c>
      <c r="N3" s="3439" t="s">
        <v>2586</v>
      </c>
      <c r="O3" s="3439" t="s">
        <v>2587</v>
      </c>
      <c r="P3" s="3439" t="s">
        <v>2588</v>
      </c>
      <c r="Q3" s="3439" t="s">
        <v>2589</v>
      </c>
      <c r="R3" s="3439" t="s">
        <v>2590</v>
      </c>
    </row>
    <row r="4" spans="1:18">
      <c r="A4" s="3019" t="s">
        <v>2500</v>
      </c>
      <c r="B4" s="3022" t="s">
        <v>2501</v>
      </c>
      <c r="C4" s="3022" t="s">
        <v>2502</v>
      </c>
      <c r="D4" s="3022" t="s">
        <v>2503</v>
      </c>
      <c r="E4" s="3022" t="s">
        <v>2504</v>
      </c>
      <c r="F4" s="3018"/>
      <c r="I4" s="3438" t="s">
        <v>2579</v>
      </c>
      <c r="J4" s="3438">
        <v>80</v>
      </c>
      <c r="K4" s="3438">
        <v>70</v>
      </c>
      <c r="L4" s="3438">
        <v>20</v>
      </c>
      <c r="M4" s="3438">
        <v>30</v>
      </c>
      <c r="N4" s="3022">
        <v>45</v>
      </c>
      <c r="O4" s="3022">
        <v>60</v>
      </c>
      <c r="P4" s="3022">
        <v>50</v>
      </c>
      <c r="Q4" s="3022">
        <v>20</v>
      </c>
      <c r="R4" s="3022">
        <v>375</v>
      </c>
    </row>
    <row r="5" spans="1:18">
      <c r="A5" s="3023">
        <v>40</v>
      </c>
      <c r="B5" s="3020">
        <v>46375</v>
      </c>
      <c r="C5" s="3022">
        <f>ROUNDDOWN(MIN((B5-B3)/365,A5),2)</f>
        <v>3.4</v>
      </c>
      <c r="D5" s="3024">
        <f>IF(ISERROR(ROUND(POWER(1+E5,A5-C5)*(POWER(1+E5,C5)-1)/(POWER(1+E5,A5)-1),3)),0,ROUND(POWER(1+E5,A5-C5)*(POWER(1+E5,C5)-1)/(POWER(1+E5,A5)-1),4))</f>
        <v>0.15770000000000001</v>
      </c>
      <c r="E5" s="3025">
        <v>0.04</v>
      </c>
      <c r="F5" s="3018"/>
      <c r="I5" s="3438" t="s">
        <v>2580</v>
      </c>
      <c r="J5" s="3438">
        <v>70</v>
      </c>
      <c r="K5" s="3438">
        <v>60</v>
      </c>
      <c r="L5" s="3438">
        <v>15</v>
      </c>
      <c r="M5" s="3438">
        <v>25</v>
      </c>
      <c r="N5" s="3022">
        <v>40</v>
      </c>
      <c r="O5" s="3022">
        <v>50</v>
      </c>
      <c r="P5" s="3022">
        <v>40</v>
      </c>
      <c r="Q5" s="3022">
        <v>15</v>
      </c>
      <c r="R5" s="3022">
        <v>315</v>
      </c>
    </row>
    <row r="6" spans="1:18">
      <c r="A6" s="3023">
        <v>50</v>
      </c>
      <c r="B6" s="3020">
        <v>50028</v>
      </c>
      <c r="C6" s="3022">
        <f>ROUNDDOWN(MIN((B6-B3)/365,A6),2)</f>
        <v>13.41</v>
      </c>
      <c r="D6" s="3024">
        <f>IF(ISERROR(ROUND(POWER(1+E6,A6-C6)*(POWER(1+E6,C6)-1)/(POWER(1+E6,A6)-1),3)),0,ROUND(POWER(1+E6,A6-C6)*(POWER(1+E6,C6)-1)/(POWER(1+E6,A6)-1),4))</f>
        <v>0.47599999999999998</v>
      </c>
      <c r="E6" s="3025">
        <v>0.04</v>
      </c>
      <c r="F6" s="3018"/>
      <c r="I6" s="3438" t="s">
        <v>2581</v>
      </c>
      <c r="J6" s="3438">
        <v>60</v>
      </c>
      <c r="K6" s="3438">
        <v>50</v>
      </c>
      <c r="L6" s="3438">
        <v>10</v>
      </c>
      <c r="M6" s="3438">
        <v>20</v>
      </c>
      <c r="N6" s="3022">
        <v>35</v>
      </c>
      <c r="O6" s="3022">
        <v>40</v>
      </c>
      <c r="P6" s="3022">
        <v>30</v>
      </c>
      <c r="Q6" s="3022">
        <v>10</v>
      </c>
      <c r="R6" s="3022">
        <v>255</v>
      </c>
    </row>
    <row r="7" spans="1:18">
      <c r="A7" s="3023">
        <v>70</v>
      </c>
      <c r="B7" s="3020">
        <v>57333</v>
      </c>
      <c r="C7" s="3022">
        <f>ROUNDDOWN(MIN((B7-B3)/365,A7),2)</f>
        <v>33.43</v>
      </c>
      <c r="D7" s="3024">
        <f>IF(ISERROR(ROUND(POWER(1+E7,A7-C7)*(POWER(1+E7,C7)-1)/(POWER(1+E7,A7)-1),3)),0,ROUND(POWER(1+E7,A7-C7)*(POWER(1+E7,C7)-1)/(POWER(1+E7,A7)-1),4))</f>
        <v>0.78059999999999996</v>
      </c>
      <c r="E7" s="3025">
        <v>0.04</v>
      </c>
      <c r="F7" s="3018"/>
    </row>
    <row r="8" spans="1:18">
      <c r="A8" s="3016"/>
      <c r="B8" s="3017"/>
      <c r="C8" s="3017"/>
      <c r="D8" s="3017"/>
      <c r="E8" s="3017"/>
      <c r="F8" s="3018"/>
    </row>
    <row r="9" spans="1:18">
      <c r="A9" s="3019" t="s">
        <v>2505</v>
      </c>
      <c r="B9" s="3022"/>
      <c r="C9" s="3022"/>
      <c r="D9" s="3022"/>
      <c r="E9" s="3022"/>
      <c r="F9" s="3026"/>
    </row>
    <row r="10" spans="1:18">
      <c r="A10" s="3019" t="s">
        <v>2506</v>
      </c>
      <c r="B10" s="3022"/>
      <c r="C10" s="3022"/>
      <c r="D10" s="3022" t="s">
        <v>2504</v>
      </c>
      <c r="E10" s="3022"/>
      <c r="F10" s="3026" t="s">
        <v>2503</v>
      </c>
    </row>
    <row r="11" spans="1:18">
      <c r="A11" s="3019" t="s">
        <v>2507</v>
      </c>
      <c r="B11" s="3027">
        <v>70</v>
      </c>
      <c r="C11" s="3022" t="s">
        <v>2508</v>
      </c>
      <c r="D11" s="3028">
        <v>4.4999999999999998E-2</v>
      </c>
      <c r="E11" s="3022" t="s">
        <v>2509</v>
      </c>
      <c r="F11" s="3029">
        <f>ROUND(1-(1/(POWER(1+D11,B11))),4)</f>
        <v>0.95409999999999995</v>
      </c>
    </row>
    <row r="12" spans="1:18">
      <c r="A12" s="3019" t="s">
        <v>2510</v>
      </c>
      <c r="B12" s="3027">
        <v>40</v>
      </c>
      <c r="C12" s="3022" t="s">
        <v>2511</v>
      </c>
      <c r="D12" s="3028">
        <v>4.4999999999999998E-2</v>
      </c>
      <c r="E12" s="3022" t="s">
        <v>2512</v>
      </c>
      <c r="F12" s="3029">
        <f>ROUND(1-(1/(POWER(1+D12,B12))),4)</f>
        <v>0.82809999999999995</v>
      </c>
    </row>
    <row r="13" spans="1:18">
      <c r="A13" s="3019" t="s">
        <v>2513</v>
      </c>
      <c r="B13" s="3022"/>
      <c r="C13" s="3022"/>
      <c r="D13" s="3017"/>
      <c r="E13" s="3017"/>
      <c r="F13" s="3018"/>
    </row>
    <row r="14" spans="1:18">
      <c r="A14" s="3019" t="s">
        <v>2514</v>
      </c>
      <c r="B14" s="3027">
        <v>5000</v>
      </c>
      <c r="C14" s="3021"/>
      <c r="D14" s="3017"/>
      <c r="E14" s="3017"/>
      <c r="F14" s="3018"/>
    </row>
    <row r="15" spans="1:18">
      <c r="A15" s="3019" t="s">
        <v>2515</v>
      </c>
      <c r="B15" s="3022">
        <f>ROUND(B14*F12/F11,2)</f>
        <v>4339.6899999999996</v>
      </c>
      <c r="C15" s="3022">
        <f>ROUND(F12/F11,4)</f>
        <v>0.8679</v>
      </c>
      <c r="D15" s="3017"/>
      <c r="E15" s="3017"/>
      <c r="F15" s="3018"/>
    </row>
    <row r="16" spans="1:18">
      <c r="A16" s="3019" t="s">
        <v>2516</v>
      </c>
      <c r="B16" s="3022"/>
      <c r="C16" s="3022"/>
      <c r="D16" s="3017"/>
      <c r="E16" s="3017"/>
      <c r="F16" s="3018"/>
    </row>
    <row r="17" spans="1:13">
      <c r="A17" s="3019" t="s">
        <v>2515</v>
      </c>
      <c r="B17" s="3028">
        <v>4810</v>
      </c>
      <c r="C17" s="3021"/>
      <c r="D17" s="3017"/>
      <c r="E17" s="3017"/>
      <c r="F17" s="3018"/>
    </row>
    <row r="18" spans="1:13" ht="14.25" thickBot="1">
      <c r="A18" s="3030" t="s">
        <v>2514</v>
      </c>
      <c r="B18" s="3031">
        <f>ROUND(B17*F11/F12,2)</f>
        <v>5541.87</v>
      </c>
      <c r="C18" s="3031">
        <f>ROUND(F11/F12,4)</f>
        <v>1.1521999999999999</v>
      </c>
      <c r="D18" s="3032"/>
      <c r="E18" s="3032"/>
      <c r="F18" s="3033"/>
    </row>
    <row r="19" spans="1:13" ht="14.25" thickBot="1"/>
    <row r="20" spans="1:13" s="3068" customFormat="1" ht="14.25" thickTop="1">
      <c r="A20" s="3065" t="s">
        <v>2517</v>
      </c>
      <c r="B20" s="3066"/>
      <c r="C20" s="3066"/>
      <c r="D20" s="3066"/>
      <c r="E20" s="3066"/>
      <c r="F20" s="3066"/>
      <c r="G20" s="3067"/>
      <c r="I20" s="3069" t="s">
        <v>2562</v>
      </c>
      <c r="J20" s="3069" t="s">
        <v>2567</v>
      </c>
      <c r="K20" s="3069"/>
      <c r="L20" s="3069"/>
      <c r="M20" s="3069"/>
    </row>
    <row r="21" spans="1:13">
      <c r="A21" s="3034"/>
      <c r="B21" s="3035" t="s">
        <v>2518</v>
      </c>
      <c r="C21" s="3035" t="s">
        <v>2519</v>
      </c>
      <c r="D21" s="3035" t="s">
        <v>2520</v>
      </c>
      <c r="E21" s="3035" t="s">
        <v>2521</v>
      </c>
      <c r="F21" s="3035" t="s">
        <v>2522</v>
      </c>
      <c r="G21" s="3036" t="s">
        <v>2523</v>
      </c>
      <c r="I21" s="3057">
        <v>5</v>
      </c>
      <c r="J21" s="3057">
        <v>54.2</v>
      </c>
    </row>
    <row r="22" spans="1:13">
      <c r="A22" s="3034" t="s">
        <v>2524</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2525</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2565</v>
      </c>
      <c r="M23" s="3057" t="s">
        <v>2566</v>
      </c>
    </row>
    <row r="24" spans="1:13">
      <c r="A24" s="3034" t="s">
        <v>2526</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2564</v>
      </c>
      <c r="M24" s="3057">
        <v>10</v>
      </c>
    </row>
    <row r="25" spans="1:13">
      <c r="A25" s="3034" t="s">
        <v>2527</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2568</v>
      </c>
      <c r="M25" s="3057">
        <v>8</v>
      </c>
    </row>
    <row r="26" spans="1:13">
      <c r="A26" s="3039"/>
      <c r="B26" s="3040"/>
      <c r="C26" s="3040"/>
      <c r="D26" s="3040"/>
      <c r="E26" s="3040"/>
      <c r="F26" s="3040"/>
      <c r="G26" s="3041"/>
      <c r="I26" s="3057">
        <v>30</v>
      </c>
      <c r="J26" s="3057">
        <v>90.5</v>
      </c>
      <c r="K26" s="3057">
        <f t="shared" si="2"/>
        <v>4.2000000000000028</v>
      </c>
      <c r="L26" s="3057" t="s">
        <v>2569</v>
      </c>
      <c r="M26" s="3057">
        <v>5</v>
      </c>
    </row>
    <row r="27" spans="1:13">
      <c r="A27" s="3039" t="s">
        <v>2528</v>
      </c>
      <c r="B27" s="3040"/>
      <c r="C27" s="3040"/>
      <c r="D27" s="3040"/>
      <c r="E27" s="3040"/>
      <c r="F27" s="3040"/>
      <c r="G27" s="3041"/>
      <c r="I27" s="3057">
        <v>35</v>
      </c>
      <c r="J27" s="3057">
        <v>93.8</v>
      </c>
      <c r="K27" s="3057">
        <f t="shared" si="2"/>
        <v>3.2999999999999972</v>
      </c>
      <c r="L27" s="3057" t="s">
        <v>2570</v>
      </c>
      <c r="M27" s="3057">
        <v>3</v>
      </c>
    </row>
    <row r="28" spans="1:13">
      <c r="A28" s="3039" t="s">
        <v>2529</v>
      </c>
      <c r="B28" s="3040"/>
      <c r="C28" s="3040"/>
      <c r="D28" s="3040"/>
      <c r="E28" s="3040"/>
      <c r="F28" s="3040"/>
      <c r="G28" s="3041"/>
      <c r="I28" s="3057">
        <v>40</v>
      </c>
      <c r="J28" s="3057">
        <v>96.4</v>
      </c>
      <c r="K28" s="3057">
        <f t="shared" si="2"/>
        <v>2.6000000000000085</v>
      </c>
      <c r="L28" s="3057" t="s">
        <v>2571</v>
      </c>
      <c r="M28" s="3057">
        <v>2</v>
      </c>
    </row>
    <row r="29" spans="1:13">
      <c r="A29" s="3039" t="s">
        <v>2530</v>
      </c>
      <c r="B29" s="3040"/>
      <c r="C29" s="3040"/>
      <c r="D29" s="3040"/>
      <c r="E29" s="3040"/>
      <c r="F29" s="3040"/>
      <c r="G29" s="3041"/>
      <c r="I29" s="3057">
        <v>45</v>
      </c>
      <c r="J29" s="3057">
        <v>98.4</v>
      </c>
      <c r="K29" s="3057">
        <f t="shared" si="2"/>
        <v>2</v>
      </c>
    </row>
    <row r="30" spans="1:13">
      <c r="A30" s="3039" t="s">
        <v>2531</v>
      </c>
      <c r="B30" s="3040"/>
      <c r="C30" s="3040"/>
      <c r="D30" s="3040"/>
      <c r="E30" s="3040"/>
      <c r="F30" s="3040"/>
      <c r="G30" s="3041"/>
      <c r="I30" s="3057">
        <v>50</v>
      </c>
      <c r="J30" s="3057">
        <v>100</v>
      </c>
      <c r="K30" s="3057">
        <f t="shared" si="2"/>
        <v>1.5999999999999943</v>
      </c>
    </row>
    <row r="31" spans="1:13">
      <c r="A31" s="3039" t="s">
        <v>2532</v>
      </c>
      <c r="B31" s="3040"/>
      <c r="C31" s="3040"/>
      <c r="D31" s="3040"/>
      <c r="E31" s="3040"/>
      <c r="F31" s="3040"/>
      <c r="G31" s="3041"/>
      <c r="I31" s="3057" t="s">
        <v>2563</v>
      </c>
    </row>
    <row r="32" spans="1:13">
      <c r="A32" s="3039" t="s">
        <v>2533</v>
      </c>
      <c r="B32" s="3040"/>
      <c r="C32" s="3040"/>
      <c r="D32" s="3040"/>
      <c r="E32" s="3040"/>
      <c r="F32" s="3040"/>
      <c r="G32" s="3041"/>
    </row>
    <row r="33" spans="1:13">
      <c r="A33" s="3039" t="s">
        <v>2534</v>
      </c>
      <c r="B33" s="3040"/>
      <c r="C33" s="3040"/>
      <c r="D33" s="3040"/>
      <c r="E33" s="3040"/>
      <c r="F33" s="3040"/>
      <c r="G33" s="3041"/>
      <c r="I33" s="3057" t="s">
        <v>2562</v>
      </c>
      <c r="J33" s="3057" t="s">
        <v>2572</v>
      </c>
    </row>
    <row r="34" spans="1:13">
      <c r="A34" s="3039" t="s">
        <v>2535</v>
      </c>
      <c r="B34" s="3040"/>
      <c r="C34" s="3040"/>
      <c r="D34" s="3040"/>
      <c r="E34" s="3040"/>
      <c r="F34" s="3040"/>
      <c r="G34" s="3041"/>
      <c r="I34" s="3057">
        <v>5</v>
      </c>
      <c r="J34" s="3057">
        <v>55.1</v>
      </c>
    </row>
    <row r="35" spans="1:13">
      <c r="A35" s="3039" t="s">
        <v>2536</v>
      </c>
      <c r="B35" s="3040"/>
      <c r="C35" s="3040"/>
      <c r="D35" s="3040"/>
      <c r="E35" s="3040"/>
      <c r="F35" s="3040"/>
      <c r="G35" s="3041"/>
      <c r="I35" s="3057">
        <v>10</v>
      </c>
      <c r="J35" s="3057">
        <v>67</v>
      </c>
      <c r="K35" s="3057">
        <f>J35-J34</f>
        <v>11.899999999999999</v>
      </c>
    </row>
    <row r="36" spans="1:13">
      <c r="A36" s="3039" t="s">
        <v>2537</v>
      </c>
      <c r="B36" s="3040"/>
      <c r="C36" s="3040"/>
      <c r="D36" s="3040"/>
      <c r="E36" s="3040"/>
      <c r="F36" s="3040"/>
      <c r="G36" s="3041"/>
      <c r="I36" s="3057">
        <v>15</v>
      </c>
      <c r="J36" s="3057">
        <v>76.3</v>
      </c>
      <c r="K36" s="3057">
        <f t="shared" ref="K36:K41" si="3">J36-J35</f>
        <v>9.2999999999999972</v>
      </c>
      <c r="L36" s="3057" t="s">
        <v>2565</v>
      </c>
      <c r="M36" s="3057" t="s">
        <v>2566</v>
      </c>
    </row>
    <row r="37" spans="1:13">
      <c r="A37" s="3039" t="s">
        <v>2538</v>
      </c>
      <c r="B37" s="3040"/>
      <c r="C37" s="3040"/>
      <c r="D37" s="3040"/>
      <c r="E37" s="3040"/>
      <c r="F37" s="3040"/>
      <c r="G37" s="3041"/>
      <c r="I37" s="3057">
        <v>20</v>
      </c>
      <c r="J37" s="3057">
        <v>83.6</v>
      </c>
      <c r="K37" s="3057">
        <f t="shared" si="3"/>
        <v>7.2999999999999972</v>
      </c>
      <c r="L37" s="3057" t="s">
        <v>2564</v>
      </c>
      <c r="M37" s="3057">
        <v>10</v>
      </c>
    </row>
    <row r="38" spans="1:13">
      <c r="A38" s="3039" t="s">
        <v>2539</v>
      </c>
      <c r="B38" s="3040"/>
      <c r="C38" s="3040"/>
      <c r="D38" s="3040"/>
      <c r="E38" s="3040"/>
      <c r="F38" s="3040"/>
      <c r="G38" s="3041"/>
      <c r="I38" s="3057">
        <v>25</v>
      </c>
      <c r="J38" s="3057">
        <v>89.3</v>
      </c>
      <c r="K38" s="3057">
        <f t="shared" si="3"/>
        <v>5.7000000000000028</v>
      </c>
      <c r="L38" s="3057" t="s">
        <v>2568</v>
      </c>
      <c r="M38" s="3057">
        <v>8</v>
      </c>
    </row>
    <row r="39" spans="1:13">
      <c r="A39" s="3039"/>
      <c r="B39" s="3040"/>
      <c r="C39" s="3040"/>
      <c r="D39" s="3040"/>
      <c r="E39" s="3040"/>
      <c r="F39" s="3040"/>
      <c r="G39" s="3041"/>
      <c r="I39" s="3057">
        <v>30</v>
      </c>
      <c r="J39" s="3057">
        <v>93.8</v>
      </c>
      <c r="K39" s="3057">
        <f t="shared" si="3"/>
        <v>4.5</v>
      </c>
      <c r="L39" s="3057" t="s">
        <v>2569</v>
      </c>
      <c r="M39" s="3057">
        <v>6</v>
      </c>
    </row>
    <row r="40" spans="1:13">
      <c r="A40" s="3042" t="s">
        <v>2540</v>
      </c>
      <c r="B40" s="3043"/>
      <c r="C40" s="3043"/>
      <c r="D40" s="3043"/>
      <c r="E40" s="3043"/>
      <c r="F40" s="3043"/>
      <c r="G40" s="3044"/>
      <c r="I40" s="3057">
        <v>35</v>
      </c>
      <c r="J40" s="3057">
        <v>97.2</v>
      </c>
      <c r="K40" s="3057">
        <f t="shared" si="3"/>
        <v>3.4000000000000057</v>
      </c>
      <c r="L40" s="3057" t="s">
        <v>2570</v>
      </c>
      <c r="M40" s="3057">
        <v>3</v>
      </c>
    </row>
    <row r="41" spans="1:13">
      <c r="A41" s="3045" t="s">
        <v>2541</v>
      </c>
      <c r="B41" s="3046" t="s">
        <v>2542</v>
      </c>
      <c r="C41" s="3047" t="s">
        <v>2543</v>
      </c>
      <c r="D41" s="3047" t="s">
        <v>2544</v>
      </c>
      <c r="E41" s="3048"/>
      <c r="F41" s="3049"/>
      <c r="G41" s="3050"/>
      <c r="I41" s="3057">
        <v>40</v>
      </c>
      <c r="J41" s="3057">
        <v>100</v>
      </c>
      <c r="K41" s="3057">
        <f t="shared" si="3"/>
        <v>2.7999999999999972</v>
      </c>
    </row>
    <row r="42" spans="1:13">
      <c r="A42" s="3045" t="s">
        <v>2545</v>
      </c>
      <c r="B42" s="3046" t="s">
        <v>2546</v>
      </c>
      <c r="C42" s="3047" t="s">
        <v>2547</v>
      </c>
      <c r="D42" s="3051" t="s">
        <v>2548</v>
      </c>
      <c r="E42" s="3043" t="s">
        <v>2549</v>
      </c>
      <c r="F42" s="3043"/>
      <c r="G42" s="3044"/>
    </row>
    <row r="43" spans="1:13">
      <c r="A43" s="3045" t="s">
        <v>2550</v>
      </c>
      <c r="B43" s="3046" t="s">
        <v>2551</v>
      </c>
      <c r="C43" s="3047" t="s">
        <v>2552</v>
      </c>
      <c r="D43" s="3047" t="s">
        <v>2553</v>
      </c>
      <c r="E43" s="3048" t="s">
        <v>2554</v>
      </c>
      <c r="F43" s="3049"/>
      <c r="G43" s="3050"/>
      <c r="I43" s="3057" t="s">
        <v>2562</v>
      </c>
      <c r="J43" s="3057" t="s">
        <v>2573</v>
      </c>
    </row>
    <row r="44" spans="1:13">
      <c r="A44" s="3045" t="s">
        <v>2555</v>
      </c>
      <c r="B44" s="3046" t="s">
        <v>2556</v>
      </c>
      <c r="C44" s="3047" t="s">
        <v>2557</v>
      </c>
      <c r="D44" s="3051">
        <v>0.5</v>
      </c>
      <c r="E44" s="3048" t="s">
        <v>2558</v>
      </c>
      <c r="F44" s="3049"/>
      <c r="G44" s="3050"/>
      <c r="I44" s="3057">
        <v>30</v>
      </c>
      <c r="J44" s="3057">
        <v>81.7</v>
      </c>
    </row>
    <row r="45" spans="1:13" ht="14.25" thickBot="1">
      <c r="A45" s="3052" t="s">
        <v>2559</v>
      </c>
      <c r="B45" s="3053" t="s">
        <v>2546</v>
      </c>
      <c r="C45" s="3054" t="s">
        <v>2546</v>
      </c>
      <c r="D45" s="3054" t="s">
        <v>2560</v>
      </c>
      <c r="E45" s="3055" t="s">
        <v>2561</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E1" zoomScale="130" zoomScaleNormal="100" zoomScaleSheetLayoutView="130" workbookViewId="0">
      <selection activeCell="B4" sqref="B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2164</v>
      </c>
      <c r="B1" s="3509" t="str">
        <f>IF(B10="北京市","北京市",C10)&amp;F10&amp;IF(结果表!G1="在建","出让国有建设用地使用权及在建建筑物",IF(结果表!G1="土地","出让国有建设用地使用权",))&amp;B9&amp;"预评估"</f>
        <v>房地产抵押价值预评估</v>
      </c>
      <c r="C1" s="3510"/>
      <c r="D1" s="3510"/>
      <c r="E1" s="3510"/>
      <c r="F1" s="3510"/>
      <c r="G1" s="3510"/>
      <c r="H1" s="3510"/>
      <c r="I1" s="351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2165</v>
      </c>
      <c r="B2" s="2371"/>
      <c r="C2" s="2372"/>
      <c r="D2" s="2669"/>
      <c r="E2" s="2661"/>
      <c r="F2" s="2661"/>
      <c r="G2" s="2662"/>
      <c r="H2" s="2662"/>
      <c r="I2" s="2662"/>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2166</v>
      </c>
      <c r="B3" s="2373">
        <v>45131</v>
      </c>
      <c r="C3" s="2374" t="s">
        <v>2167</v>
      </c>
      <c r="D3" s="2373">
        <v>45131</v>
      </c>
      <c r="E3" s="2662"/>
      <c r="F3" s="2662"/>
      <c r="G3" s="2662"/>
      <c r="H3" s="2662"/>
      <c r="I3" s="2662"/>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2168</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2169</v>
      </c>
      <c r="B5" s="2380"/>
      <c r="C5" s="2381"/>
      <c r="D5" s="2382"/>
      <c r="E5" s="2663"/>
      <c r="F5" s="2663"/>
      <c r="G5" s="2663"/>
      <c r="H5" s="2663"/>
      <c r="I5" s="266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2170</v>
      </c>
      <c r="B6" s="2384"/>
      <c r="C6" s="2385"/>
      <c r="D6" s="2386"/>
      <c r="E6" s="2661"/>
      <c r="F6" s="2663"/>
      <c r="G6" s="2663"/>
      <c r="H6" s="2663"/>
      <c r="I6" s="2663"/>
      <c r="J6" s="2439"/>
      <c r="K6" s="2615" t="str">
        <f>IF(COUNTIF(B6,"*上海银行*"),"上海银行","")</f>
        <v/>
      </c>
      <c r="L6" s="2613"/>
      <c r="M6" s="2613"/>
      <c r="N6" s="2439"/>
      <c r="O6" s="2450"/>
      <c r="P6" s="2439"/>
      <c r="Q6" s="2439"/>
      <c r="R6" s="2439"/>
    </row>
    <row r="7" spans="1:30">
      <c r="A7" s="2383" t="s">
        <v>2171</v>
      </c>
      <c r="B7" s="2387"/>
      <c r="C7" s="2385"/>
      <c r="D7" s="2386"/>
      <c r="E7" s="2661"/>
      <c r="F7" s="2663"/>
      <c r="G7" s="2663"/>
      <c r="H7" s="2663"/>
      <c r="I7" s="2663"/>
      <c r="J7" s="2439"/>
      <c r="K7" s="2616"/>
      <c r="L7" s="2613"/>
      <c r="M7" s="2613"/>
      <c r="N7" s="2439"/>
      <c r="O7" s="2450"/>
      <c r="P7" s="2439"/>
      <c r="Q7" s="2439"/>
      <c r="R7" s="2439"/>
    </row>
    <row r="8" spans="1:30">
      <c r="A8" s="2388" t="s">
        <v>2172</v>
      </c>
      <c r="B8" s="2389" t="s">
        <v>3374</v>
      </c>
      <c r="C8" s="2390"/>
      <c r="D8" s="3512" t="s">
        <v>2173</v>
      </c>
      <c r="E8" s="2391" t="s">
        <v>3375</v>
      </c>
      <c r="F8" s="2392"/>
      <c r="G8" s="2662"/>
      <c r="H8" s="2662"/>
      <c r="I8" s="2662"/>
      <c r="J8" s="2439"/>
      <c r="K8" s="2614"/>
      <c r="L8" s="2613"/>
      <c r="M8" s="2613"/>
      <c r="N8" s="2439"/>
      <c r="O8" s="2450"/>
      <c r="P8" s="2439"/>
      <c r="Q8" s="2439"/>
      <c r="R8" s="2439"/>
    </row>
    <row r="9" spans="1:30" ht="13.5" thickBot="1">
      <c r="A9" s="2393" t="s">
        <v>2174</v>
      </c>
      <c r="B9" s="2394" t="s">
        <v>3375</v>
      </c>
      <c r="C9" s="2395"/>
      <c r="D9" s="3513"/>
      <c r="E9" s="2394"/>
      <c r="F9" s="2396"/>
      <c r="G9" s="2664"/>
      <c r="H9" s="2664"/>
      <c r="I9" s="2664"/>
      <c r="J9" s="2439"/>
      <c r="K9" s="2616"/>
      <c r="L9" s="2613"/>
      <c r="M9" s="2613"/>
      <c r="N9" s="2439"/>
      <c r="O9" s="2450"/>
      <c r="P9" s="2439"/>
      <c r="Q9" s="2439"/>
      <c r="R9" s="2439"/>
    </row>
    <row r="10" spans="1:30" ht="13.5" thickTop="1">
      <c r="A10" s="2397" t="s">
        <v>2175</v>
      </c>
      <c r="B10" s="2398" t="s">
        <v>3376</v>
      </c>
      <c r="C10" s="2399"/>
      <c r="D10" s="2382"/>
      <c r="E10" s="2400" t="s">
        <v>2176</v>
      </c>
      <c r="F10" s="2665"/>
      <c r="G10" s="2666"/>
      <c r="H10" s="2667"/>
      <c r="I10" s="2668"/>
      <c r="J10" s="2439"/>
      <c r="K10" s="2616"/>
      <c r="L10" s="2613"/>
      <c r="M10" s="2613"/>
      <c r="N10" s="2439"/>
      <c r="O10" s="2450"/>
      <c r="P10" s="2439"/>
      <c r="Q10" s="2439"/>
      <c r="R10" s="2439"/>
    </row>
    <row r="11" spans="1:30">
      <c r="A11" s="2401" t="s">
        <v>2177</v>
      </c>
      <c r="B11" s="2402" t="s">
        <v>3377</v>
      </c>
      <c r="C11" s="2403"/>
      <c r="D11" s="2404"/>
      <c r="E11" s="2370"/>
      <c r="F11" s="2370"/>
      <c r="G11" s="2370"/>
      <c r="H11" s="2370"/>
      <c r="I11" s="2370"/>
      <c r="J11" s="3060"/>
      <c r="K11" s="3059"/>
      <c r="L11" s="2613"/>
      <c r="M11" s="2613"/>
      <c r="N11" s="2439"/>
      <c r="O11" s="2450"/>
      <c r="P11" s="2439"/>
      <c r="Q11" s="2439"/>
      <c r="R11" s="2439"/>
    </row>
    <row r="12" spans="1:30">
      <c r="A12" s="2405" t="s">
        <v>2178</v>
      </c>
      <c r="B12" s="323" t="s">
        <v>2179</v>
      </c>
      <c r="C12" s="2406" t="s">
        <v>2180</v>
      </c>
      <c r="D12" s="2406" t="s">
        <v>2181</v>
      </c>
      <c r="E12" s="2406" t="s">
        <v>2182</v>
      </c>
      <c r="F12" s="2406" t="s">
        <v>2183</v>
      </c>
      <c r="G12" s="2406" t="s">
        <v>2184</v>
      </c>
      <c r="H12" s="2406" t="s">
        <v>2185</v>
      </c>
      <c r="I12" s="3058" t="s">
        <v>2574</v>
      </c>
      <c r="J12" s="3061"/>
      <c r="K12" s="2613"/>
      <c r="L12" s="2613"/>
      <c r="M12" s="2439"/>
      <c r="N12" s="2450"/>
      <c r="O12" s="2439"/>
      <c r="P12" s="2439"/>
      <c r="Q12" s="2439"/>
      <c r="AD12" s="1745"/>
    </row>
    <row r="13" spans="1:30">
      <c r="A13" s="3422" t="s">
        <v>3332</v>
      </c>
      <c r="B13" s="2407" t="s">
        <v>2186</v>
      </c>
      <c r="C13" s="856"/>
      <c r="D13" s="856"/>
      <c r="E13" s="856"/>
      <c r="F13" s="856"/>
      <c r="G13" s="856"/>
      <c r="H13" s="856">
        <v>61514</v>
      </c>
      <c r="I13" s="856"/>
      <c r="J13" s="3061"/>
      <c r="K13" s="2613"/>
      <c r="L13" s="2613"/>
      <c r="M13" s="2439"/>
      <c r="N13" s="2450"/>
      <c r="O13" s="2439"/>
      <c r="P13" s="2439"/>
      <c r="Q13" s="2439"/>
      <c r="AD13" s="1745"/>
    </row>
    <row r="14" spans="1:30">
      <c r="A14" s="1081"/>
      <c r="B14" s="2407" t="s">
        <v>2187</v>
      </c>
      <c r="C14" s="2408"/>
      <c r="D14" s="2408"/>
      <c r="E14" s="2408"/>
      <c r="F14" s="2408"/>
      <c r="G14" s="2408"/>
      <c r="H14" s="2408">
        <v>50</v>
      </c>
      <c r="I14" s="2408"/>
      <c r="J14" s="3062"/>
      <c r="K14" s="2613"/>
      <c r="L14" s="2613"/>
      <c r="M14" s="2439"/>
      <c r="N14" s="2450"/>
      <c r="O14" s="2439"/>
      <c r="P14" s="2439"/>
      <c r="Q14" s="2439"/>
      <c r="AD14" s="1745"/>
    </row>
    <row r="15" spans="1:30">
      <c r="A15" s="320"/>
      <c r="B15" s="2409" t="s">
        <v>2188</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44.88</v>
      </c>
      <c r="I15" s="2410" t="str">
        <f>IF(A13="出让",IF(I13="","",ROUNDDOWN(MIN((I13-$D$3)/365,I14),2)),I14)</f>
        <v/>
      </c>
      <c r="J15" s="3063"/>
      <c r="K15" s="2451"/>
      <c r="L15" s="2451"/>
      <c r="M15" s="2509"/>
      <c r="N15" s="2451"/>
      <c r="O15" s="2509"/>
      <c r="P15" s="2439"/>
      <c r="Q15" s="2439"/>
      <c r="AD15" s="1745"/>
    </row>
    <row r="16" spans="1:30">
      <c r="A16" s="2400" t="s">
        <v>2189</v>
      </c>
      <c r="B16" s="3519"/>
      <c r="C16" s="3520"/>
      <c r="D16" s="3521"/>
      <c r="E16" s="2413" t="s">
        <v>2190</v>
      </c>
      <c r="F16" s="3522"/>
      <c r="G16" s="3523"/>
      <c r="H16" s="3523"/>
      <c r="I16" s="3524"/>
      <c r="J16" s="2439"/>
      <c r="K16" s="2617"/>
      <c r="L16" s="2451"/>
      <c r="M16" s="2451"/>
      <c r="N16" s="2509"/>
      <c r="O16" s="2451"/>
      <c r="P16" s="2509"/>
      <c r="Q16" s="2439"/>
      <c r="R16" s="2439"/>
    </row>
    <row r="17" spans="1:28">
      <c r="A17" s="313" t="s">
        <v>2191</v>
      </c>
      <c r="B17" s="302" t="s">
        <v>2192</v>
      </c>
      <c r="C17" s="8">
        <f>'数据-汇总表'!E3</f>
        <v>8390.83</v>
      </c>
      <c r="D17" s="2322" t="s">
        <v>2193</v>
      </c>
      <c r="E17" s="3525" t="s">
        <v>2194</v>
      </c>
      <c r="F17" s="3526"/>
      <c r="G17" s="3526"/>
      <c r="H17" s="3526"/>
      <c r="I17" s="3527"/>
      <c r="J17" s="2439"/>
      <c r="K17" s="2618"/>
      <c r="L17" s="2451"/>
      <c r="M17" s="2451"/>
      <c r="N17" s="2509"/>
      <c r="O17" s="2451"/>
      <c r="P17" s="2509"/>
      <c r="Q17" s="2439"/>
      <c r="R17" s="2439"/>
      <c r="S17" s="2439"/>
      <c r="T17" s="2439"/>
      <c r="U17" s="2439"/>
      <c r="V17" s="2439"/>
    </row>
    <row r="18" spans="1:28" ht="24.75" thickBot="1">
      <c r="A18" s="2414" t="s">
        <v>2195</v>
      </c>
      <c r="B18" s="1090" t="s">
        <v>2196</v>
      </c>
      <c r="C18" s="2415">
        <f>'数据-汇总表'!D3</f>
        <v>5753.84</v>
      </c>
      <c r="D18" s="1092" t="s">
        <v>2197</v>
      </c>
      <c r="E18" s="3528" t="s">
        <v>2198</v>
      </c>
      <c r="F18" s="3529"/>
      <c r="G18" s="3529"/>
      <c r="H18" s="3529"/>
      <c r="I18" s="3530"/>
      <c r="J18" s="2439"/>
      <c r="K18" s="2618"/>
      <c r="L18" s="2451"/>
      <c r="M18" s="2451"/>
      <c r="N18" s="2509"/>
      <c r="O18" s="2451"/>
      <c r="P18" s="2509"/>
      <c r="Q18" s="2439"/>
      <c r="R18" s="2439"/>
      <c r="S18" s="2439"/>
      <c r="T18" s="2439"/>
      <c r="U18" s="2439"/>
      <c r="V18" s="2439"/>
    </row>
    <row r="19" spans="1:28" ht="37.5" thickTop="1" thickBot="1">
      <c r="A19" s="327" t="s">
        <v>1053</v>
      </c>
      <c r="B19" s="307" t="s">
        <v>2199</v>
      </c>
      <c r="C19" s="1563"/>
      <c r="D19" s="1564" t="s">
        <v>2200</v>
      </c>
      <c r="E19" s="1565"/>
      <c r="F19" s="1566" t="str">
        <f>IF(AND(C19="是",E19="否"),"是否提供他项权证或相关说明","")</f>
        <v/>
      </c>
      <c r="G19" s="1567"/>
      <c r="H19" s="2663"/>
      <c r="I19" s="2663"/>
      <c r="J19" s="2439"/>
      <c r="K19" s="2616"/>
      <c r="L19" s="2613"/>
      <c r="M19" s="2613"/>
      <c r="N19" s="2509"/>
      <c r="O19" s="2451"/>
      <c r="P19" s="2509"/>
      <c r="Q19" s="2439"/>
      <c r="R19" s="2439"/>
      <c r="S19" s="2439"/>
      <c r="T19" s="2439"/>
      <c r="U19" s="2439"/>
      <c r="V19" s="2439"/>
    </row>
    <row r="20" spans="1:28">
      <c r="A20" s="2632" t="s">
        <v>2201</v>
      </c>
      <c r="B20" s="3515" t="s">
        <v>2202</v>
      </c>
      <c r="C20" s="3516"/>
      <c r="D20" s="3517" t="s">
        <v>2203</v>
      </c>
      <c r="E20" s="3518"/>
      <c r="F20" s="2647" t="s">
        <v>1054</v>
      </c>
      <c r="G20" s="2663"/>
      <c r="H20" s="2663"/>
      <c r="I20" s="2663"/>
      <c r="J20" s="2439"/>
      <c r="K20" s="3514" t="s">
        <v>2204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2205</v>
      </c>
      <c r="C21" s="2634" t="s">
        <v>1055</v>
      </c>
      <c r="D21" s="1568" t="s">
        <v>2206</v>
      </c>
      <c r="E21" s="2635" t="s">
        <v>1055</v>
      </c>
      <c r="F21" s="2648"/>
      <c r="G21" s="2663"/>
      <c r="H21" s="2663"/>
      <c r="I21" s="2663"/>
      <c r="J21" s="2439"/>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2207</v>
      </c>
      <c r="C22" s="2634" t="s">
        <v>1056</v>
      </c>
      <c r="D22" s="2662"/>
      <c r="E22" s="2662"/>
      <c r="F22" s="2662"/>
      <c r="G22" s="2663"/>
      <c r="H22" s="2663"/>
      <c r="I22" s="2663"/>
      <c r="J22" s="2439"/>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2208</v>
      </c>
      <c r="B23" s="2502" t="s">
        <v>2209</v>
      </c>
      <c r="C23" s="2638"/>
      <c r="D23" s="2639" t="s">
        <v>2209</v>
      </c>
      <c r="E23" s="2640"/>
      <c r="F23" s="2662"/>
      <c r="G23" s="2663"/>
      <c r="H23" s="2663"/>
      <c r="I23" s="2663"/>
      <c r="J23" s="2439"/>
      <c r="K23" s="2619"/>
      <c r="L23" s="2475"/>
      <c r="M23" s="2613"/>
      <c r="N23" s="2509"/>
      <c r="O23" s="2451"/>
      <c r="P23" s="2509"/>
      <c r="Q23" s="2439"/>
      <c r="R23" s="2439"/>
      <c r="S23" s="2439"/>
      <c r="T23" s="2439"/>
      <c r="U23" s="2439"/>
      <c r="V23" s="2439"/>
    </row>
    <row r="24" spans="1:28">
      <c r="A24" s="2637"/>
      <c r="B24" s="2502" t="s">
        <v>1057</v>
      </c>
      <c r="C24" s="2641"/>
      <c r="D24" s="2637" t="s">
        <v>1057</v>
      </c>
      <c r="E24" s="2642"/>
      <c r="F24" s="2662"/>
      <c r="G24" s="2663"/>
      <c r="H24" s="2663"/>
      <c r="I24" s="2663"/>
      <c r="J24" s="2439"/>
      <c r="K24" s="2619"/>
      <c r="L24" s="2475"/>
      <c r="M24" s="2613"/>
      <c r="N24" s="2509"/>
      <c r="O24" s="2451"/>
      <c r="P24" s="2509"/>
      <c r="Q24" s="2439"/>
      <c r="R24" s="2439"/>
      <c r="S24" s="2439"/>
      <c r="T24" s="2439"/>
      <c r="U24" s="2439"/>
      <c r="V24" s="2439"/>
    </row>
    <row r="25" spans="1:28">
      <c r="A25" s="2637"/>
      <c r="B25" s="2502" t="s">
        <v>1058</v>
      </c>
      <c r="C25" s="2641"/>
      <c r="D25" s="2637" t="s">
        <v>1058</v>
      </c>
      <c r="E25" s="2642"/>
      <c r="F25" s="2662"/>
      <c r="G25" s="2663"/>
      <c r="H25" s="2663"/>
      <c r="I25" s="2663"/>
      <c r="J25" s="2439"/>
      <c r="K25" s="2616"/>
      <c r="L25" s="2613"/>
      <c r="M25" s="2613"/>
      <c r="N25" s="2509"/>
      <c r="O25" s="2451"/>
      <c r="P25" s="2509"/>
      <c r="Q25" s="2439"/>
      <c r="R25" s="2439"/>
      <c r="S25" s="2439"/>
      <c r="T25" s="2439"/>
      <c r="U25" s="2439"/>
      <c r="V25" s="2439"/>
    </row>
    <row r="26" spans="1:28" ht="13.5" thickBot="1">
      <c r="A26" s="2643"/>
      <c r="B26" s="2644" t="s">
        <v>1059</v>
      </c>
      <c r="C26" s="2645"/>
      <c r="D26" s="2643" t="s">
        <v>1059</v>
      </c>
      <c r="E26" s="2646"/>
      <c r="F26" s="2664"/>
      <c r="G26" s="2664"/>
      <c r="H26" s="2664"/>
      <c r="I26" s="2664"/>
      <c r="J26" s="2439"/>
      <c r="K26" s="2616"/>
      <c r="L26" s="2613"/>
      <c r="M26" s="2613"/>
      <c r="N26" s="2509"/>
      <c r="O26" s="2451"/>
      <c r="P26" s="2509"/>
      <c r="Q26" s="2439"/>
      <c r="R26" s="2439"/>
      <c r="S26" s="2439"/>
      <c r="T26" s="2439"/>
      <c r="U26" s="2439"/>
      <c r="V26" s="2439"/>
    </row>
    <row r="27" spans="1:28" ht="13.5" thickTop="1">
      <c r="A27" s="3532" t="s">
        <v>2210</v>
      </c>
      <c r="B27" s="320" t="s">
        <v>2211</v>
      </c>
      <c r="C27" s="2416"/>
      <c r="D27" s="2417"/>
      <c r="E27" s="2663"/>
      <c r="F27" s="2663"/>
      <c r="G27" s="2663"/>
      <c r="H27" s="2663"/>
      <c r="I27" s="2663"/>
      <c r="J27" s="2439"/>
      <c r="K27" s="2617"/>
      <c r="L27" s="2451"/>
      <c r="M27" s="2451"/>
      <c r="N27" s="2509"/>
      <c r="O27" s="2451"/>
      <c r="P27" s="2509"/>
      <c r="Q27" s="2439"/>
      <c r="R27" s="2439"/>
      <c r="S27" s="2439"/>
      <c r="T27" s="2439"/>
      <c r="U27" s="2439"/>
      <c r="V27" s="2439"/>
    </row>
    <row r="28" spans="1:28">
      <c r="A28" s="3532"/>
      <c r="B28" s="302" t="s">
        <v>2212</v>
      </c>
      <c r="C28" s="2418"/>
      <c r="D28" s="2419"/>
      <c r="E28" s="2663"/>
      <c r="F28" s="2663"/>
      <c r="G28" s="2663"/>
      <c r="H28" s="2663"/>
      <c r="I28" s="2663"/>
      <c r="J28" s="2439"/>
      <c r="K28" s="2616"/>
      <c r="L28" s="2613"/>
      <c r="M28" s="2613"/>
      <c r="N28" s="2439"/>
      <c r="O28" s="2450"/>
      <c r="P28" s="2439"/>
      <c r="Q28" s="2439"/>
      <c r="R28" s="2439"/>
      <c r="S28" s="2439"/>
      <c r="T28" s="2439"/>
      <c r="U28" s="2439"/>
      <c r="V28" s="2439"/>
    </row>
    <row r="29" spans="1:28">
      <c r="A29" s="3532"/>
      <c r="B29" s="302" t="s">
        <v>2213</v>
      </c>
      <c r="C29" s="2420"/>
      <c r="D29" s="2421"/>
      <c r="E29" s="2663"/>
      <c r="F29" s="2663"/>
      <c r="G29" s="2663"/>
      <c r="H29" s="2663"/>
      <c r="I29" s="2663"/>
      <c r="J29" s="2439"/>
      <c r="K29" s="2616"/>
      <c r="L29" s="2613"/>
      <c r="M29" s="2613"/>
      <c r="N29" s="2439"/>
      <c r="O29" s="2450"/>
      <c r="P29" s="2439"/>
      <c r="Q29" s="2439"/>
      <c r="R29" s="2439"/>
      <c r="S29" s="2439"/>
      <c r="T29" s="2439"/>
      <c r="U29" s="2439"/>
      <c r="V29" s="2439"/>
    </row>
    <row r="30" spans="1:28">
      <c r="A30" s="3533"/>
      <c r="B30" s="302" t="s">
        <v>2214</v>
      </c>
      <c r="C30" s="3534"/>
      <c r="D30" s="3535"/>
      <c r="E30" s="2663"/>
      <c r="F30" s="2663"/>
      <c r="G30" s="2663"/>
      <c r="H30" s="2663"/>
      <c r="I30" s="2663"/>
      <c r="J30" s="2439"/>
      <c r="K30" s="2616"/>
      <c r="L30" s="2613"/>
      <c r="M30" s="2613"/>
      <c r="N30" s="2439"/>
      <c r="O30" s="2450"/>
      <c r="P30" s="2439"/>
      <c r="Q30" s="2439"/>
      <c r="R30" s="2439"/>
      <c r="S30" s="2439"/>
      <c r="T30" s="2439"/>
      <c r="U30" s="2439"/>
      <c r="V30" s="2439"/>
    </row>
    <row r="31" spans="1:28">
      <c r="A31" s="3536" t="s">
        <v>2215</v>
      </c>
      <c r="B31" s="2422"/>
      <c r="C31" s="2323" t="str">
        <f>IF(B31="现房","成新及维护状况正常否",IF(B31="在建","工程状态是否正常",IF(B31="土地","是否闲置","-")))</f>
        <v>-</v>
      </c>
      <c r="D31" s="1373"/>
      <c r="E31" s="2423"/>
      <c r="F31" s="2663"/>
      <c r="G31" s="2663"/>
      <c r="H31" s="2663"/>
      <c r="I31" s="2663"/>
      <c r="J31" s="2439"/>
      <c r="K31" s="2615"/>
      <c r="L31" s="2613"/>
      <c r="M31" s="2613"/>
      <c r="N31" s="2439"/>
      <c r="O31" s="2450"/>
      <c r="P31" s="2439"/>
      <c r="Q31" s="2439"/>
      <c r="R31" s="2439"/>
      <c r="S31" s="2439"/>
      <c r="T31" s="2439"/>
      <c r="U31" s="2439"/>
      <c r="V31" s="2439"/>
    </row>
    <row r="32" spans="1:28">
      <c r="A32" s="3537"/>
      <c r="B32" s="2422"/>
      <c r="C32" s="2323" t="str">
        <f>IF(B32="现房","成新及维护状况是否正常",IF(B32="在建","工程状态是否正常",IF(B32="土地","是否闲置","-")))</f>
        <v>-</v>
      </c>
      <c r="D32" s="1373"/>
      <c r="E32" s="2423"/>
      <c r="F32" s="2663"/>
      <c r="G32" s="2663"/>
      <c r="H32" s="2663"/>
      <c r="I32" s="2663"/>
      <c r="J32" s="2439"/>
      <c r="K32" s="2616"/>
      <c r="L32" s="2613"/>
      <c r="M32" s="2613"/>
      <c r="N32" s="2439"/>
      <c r="O32" s="2450"/>
      <c r="P32" s="2439"/>
      <c r="Q32" s="2439"/>
      <c r="R32" s="2439"/>
      <c r="S32" s="2439"/>
      <c r="T32" s="2439"/>
      <c r="U32" s="2439"/>
      <c r="V32" s="2439"/>
    </row>
    <row r="33" spans="1:30">
      <c r="A33" s="3537"/>
      <c r="B33" s="2425"/>
      <c r="C33" s="1590" t="str">
        <f>IF(B33="现房","成新及维护状况是否正常",IF(B33="在建","工程状态是否正常",IF(B33="土地","是否闲置","-")))</f>
        <v>-</v>
      </c>
      <c r="D33" s="1365"/>
      <c r="E33" s="2426"/>
      <c r="F33" s="2663"/>
      <c r="G33" s="2663"/>
      <c r="H33" s="2663"/>
      <c r="I33" s="2663"/>
      <c r="J33" s="2439"/>
      <c r="K33" s="2616"/>
      <c r="L33" s="2613"/>
      <c r="M33" s="2613"/>
      <c r="N33" s="2439"/>
      <c r="O33" s="2450"/>
      <c r="P33" s="2439"/>
      <c r="Q33" s="2439"/>
      <c r="R33" s="2439"/>
      <c r="S33" s="2439"/>
      <c r="T33" s="2439"/>
      <c r="U33" s="2439"/>
      <c r="V33" s="2439"/>
    </row>
    <row r="34" spans="1:30">
      <c r="A34" s="302" t="s">
        <v>2216</v>
      </c>
      <c r="B34" s="2026"/>
      <c r="C34" s="2026"/>
      <c r="D34" s="2026"/>
      <c r="E34" s="2026"/>
      <c r="F34" s="2026"/>
      <c r="G34" s="2026"/>
      <c r="H34" s="2026"/>
      <c r="I34" s="2663"/>
      <c r="J34" s="2439"/>
      <c r="K34" s="2427">
        <f>COUNTIF(B34:H34,"——")</f>
        <v>0</v>
      </c>
      <c r="L34" s="323" t="s">
        <v>2217</v>
      </c>
      <c r="M34" s="323" t="s">
        <v>2218</v>
      </c>
      <c r="N34" s="323" t="s">
        <v>2219</v>
      </c>
      <c r="O34" s="323" t="s">
        <v>2220</v>
      </c>
      <c r="P34" s="323" t="s">
        <v>2221</v>
      </c>
      <c r="Q34" s="323" t="s">
        <v>2222</v>
      </c>
      <c r="R34" s="323" t="s">
        <v>2223</v>
      </c>
      <c r="S34" s="3531" t="s">
        <v>2224</v>
      </c>
      <c r="T34" s="2428" t="str">
        <f>NUMBERSTRING(7-K34,1)&amp;"通"</f>
        <v>七通</v>
      </c>
      <c r="U34" s="2439"/>
      <c r="V34" s="2439"/>
    </row>
    <row r="35" spans="1:30">
      <c r="A35" s="2429"/>
      <c r="B35" s="3538" t="s">
        <v>2225</v>
      </c>
      <c r="C35" s="3538"/>
      <c r="D35" s="3538"/>
      <c r="E35" s="3538"/>
      <c r="F35" s="664">
        <f>C10</f>
        <v>0</v>
      </c>
      <c r="G35" s="2663"/>
      <c r="H35" s="2663"/>
      <c r="I35" s="266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1"/>
      <c r="T35" s="329" t="str">
        <f>IF(T34="一通",L35,IF(T34="二通",M35,IF(T34="三通",N35,IF(T34="四通",O35,IF(T34="五通",P35,IF(T34="六通",Q35,R35))))))</f>
        <v>、、、、、、</v>
      </c>
      <c r="U35" s="2439"/>
      <c r="V35" s="2439"/>
    </row>
    <row r="36" spans="1:30">
      <c r="A36" s="2430"/>
      <c r="B36" s="664" t="s">
        <v>2181</v>
      </c>
      <c r="C36" s="664" t="s">
        <v>2182</v>
      </c>
      <c r="D36" s="664" t="s">
        <v>2180</v>
      </c>
      <c r="E36" s="664" t="s">
        <v>2185</v>
      </c>
      <c r="F36" s="3064" t="s">
        <v>2577</v>
      </c>
      <c r="G36" s="2663"/>
      <c r="H36" s="2663"/>
      <c r="I36" s="2663"/>
      <c r="J36" s="2439"/>
      <c r="K36" s="2616"/>
      <c r="L36" s="2613"/>
      <c r="M36" s="2613"/>
      <c r="N36" s="2439"/>
      <c r="O36" s="2450"/>
      <c r="P36" s="2439"/>
      <c r="Q36" s="2439"/>
      <c r="R36" s="2439"/>
      <c r="S36" s="2439"/>
      <c r="T36" s="2439"/>
      <c r="U36" s="2439"/>
      <c r="V36" s="2439"/>
    </row>
    <row r="37" spans="1:30">
      <c r="A37" s="2630" t="s">
        <v>2226</v>
      </c>
      <c r="B37" s="2431"/>
      <c r="C37" s="2431"/>
      <c r="D37" s="2431"/>
      <c r="E37" s="2431"/>
      <c r="F37" s="2431"/>
      <c r="G37" s="2663"/>
      <c r="H37" s="2663"/>
      <c r="I37" s="2663"/>
      <c r="J37" s="2439"/>
      <c r="K37" s="2616"/>
      <c r="L37" s="2613"/>
      <c r="M37" s="2613"/>
      <c r="N37" s="2439"/>
      <c r="O37" s="2450"/>
      <c r="P37" s="2439"/>
      <c r="Q37" s="2439"/>
      <c r="R37" s="2439"/>
      <c r="S37" s="2439"/>
      <c r="T37" s="2439"/>
      <c r="U37" s="2439"/>
      <c r="V37" s="2439"/>
    </row>
    <row r="38" spans="1:30" ht="13.5" thickBot="1">
      <c r="A38" s="2631" t="s">
        <v>2227</v>
      </c>
      <c r="B38" s="2432"/>
      <c r="C38" s="2432"/>
      <c r="D38" s="2432"/>
      <c r="E38" s="2432"/>
      <c r="F38" s="2432"/>
      <c r="G38" s="2664"/>
      <c r="H38" s="2664"/>
      <c r="I38" s="2664"/>
      <c r="J38" s="2439"/>
      <c r="K38" s="2616"/>
      <c r="L38" s="2613"/>
      <c r="M38" s="2613"/>
      <c r="N38" s="2439"/>
      <c r="O38" s="2450"/>
      <c r="P38" s="2439"/>
      <c r="Q38" s="2439"/>
      <c r="R38" s="2439"/>
      <c r="S38" s="2439"/>
      <c r="T38" s="2439"/>
      <c r="U38" s="2439"/>
      <c r="V38" s="2439"/>
    </row>
    <row r="39" spans="1:30" s="2435" customFormat="1" ht="14.25" thickTop="1" thickBot="1">
      <c r="A39" s="2433" t="s">
        <v>2228</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2229</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2230</v>
      </c>
      <c r="B42" s="8" t="s">
        <v>2231</v>
      </c>
      <c r="C42" s="8" t="s">
        <v>2232</v>
      </c>
      <c r="D42" s="8" t="s">
        <v>2233</v>
      </c>
      <c r="E42" s="8" t="s">
        <v>2234</v>
      </c>
      <c r="F42" s="8" t="s">
        <v>2235</v>
      </c>
      <c r="G42" s="8" t="s">
        <v>2236</v>
      </c>
      <c r="H42" s="8" t="s">
        <v>2237</v>
      </c>
      <c r="I42" s="8" t="s">
        <v>2238</v>
      </c>
      <c r="J42" s="2626" t="s">
        <v>2239</v>
      </c>
      <c r="K42" s="2627" t="s">
        <v>2240</v>
      </c>
      <c r="L42" s="2627" t="s">
        <v>2241</v>
      </c>
      <c r="M42" s="2627" t="s">
        <v>2242</v>
      </c>
      <c r="N42" s="2620" t="s">
        <v>2243</v>
      </c>
      <c r="O42" s="2620" t="s">
        <v>2244</v>
      </c>
      <c r="P42" s="2620" t="s">
        <v>2245</v>
      </c>
      <c r="Q42" s="2621" t="s">
        <v>2246</v>
      </c>
      <c r="R42" s="2621" t="s">
        <v>2247</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hidden="1" customWidth="1"/>
    <col min="31" max="31" width="9.75" style="1573" hidden="1" customWidth="1"/>
    <col min="32" max="37" width="9.5" style="1573" hidden="1" customWidth="1"/>
    <col min="38"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26509.51</v>
      </c>
      <c r="B3" s="11">
        <f>IF(C3="否",G5-AT5,G5)</f>
        <v>38658.870000000003</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38658.870000000003</v>
      </c>
      <c r="H5" s="13">
        <f t="shared" ref="H5:AT5" si="0">SUM(H13:H656)</f>
        <v>38148.239999999998</v>
      </c>
      <c r="I5" s="13">
        <f t="shared" si="0"/>
        <v>38148.239999999998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510.63</v>
      </c>
      <c r="AD5" s="13">
        <f t="shared" si="0"/>
        <v>0</v>
      </c>
      <c r="AE5" s="13">
        <f t="shared" si="0"/>
        <v>0</v>
      </c>
      <c r="AF5" s="13">
        <f t="shared" si="0"/>
        <v>0</v>
      </c>
      <c r="AG5" s="13">
        <f t="shared" si="0"/>
        <v>0</v>
      </c>
      <c r="AH5" s="13">
        <f t="shared" si="0"/>
        <v>0</v>
      </c>
      <c r="AI5" s="13">
        <f t="shared" si="0"/>
        <v>0</v>
      </c>
      <c r="AJ5" s="13">
        <f t="shared" si="0"/>
        <v>0</v>
      </c>
      <c r="AK5" s="13">
        <f t="shared" si="0"/>
        <v>0</v>
      </c>
      <c r="AL5" s="13">
        <f t="shared" si="0"/>
        <v>106.17</v>
      </c>
      <c r="AM5" s="13">
        <f t="shared" si="0"/>
        <v>0</v>
      </c>
      <c r="AN5" s="13">
        <f t="shared" si="0"/>
        <v>404.46</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8390.83</v>
      </c>
      <c r="BA5" s="15">
        <f t="shared" si="1"/>
        <v>8390.83</v>
      </c>
      <c r="BB5" s="15">
        <f t="shared" si="1"/>
        <v>8390.83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26509.510000000002</v>
      </c>
      <c r="F6" s="13" t="s">
        <v>0</v>
      </c>
      <c r="G6" s="13" t="s">
        <v>1</v>
      </c>
      <c r="H6" s="17">
        <f>SUMIF(I$12:AB$12,"总值",I6:AB6)</f>
        <v>26159.360000000001</v>
      </c>
      <c r="I6" s="13">
        <f t="shared" ref="I6:AB6" si="2">ROUND($A$3*I5/$B$3,2)</f>
        <v>26159.360000000001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350.15000000000003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72.8</v>
      </c>
      <c r="AM6" s="13">
        <f t="shared" si="3"/>
        <v>0</v>
      </c>
      <c r="AN6" s="13">
        <f t="shared" si="3"/>
        <v>277.35000000000002</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5753.84</v>
      </c>
      <c r="AZ6" s="13" t="s">
        <v>2</v>
      </c>
      <c r="BA6" s="13">
        <f>ROUND($AY$6*BA5/$AZ$5,2)</f>
        <v>5753.84</v>
      </c>
      <c r="BB6" s="13">
        <f>ROUND($AY$6*BB5/$AZ$5,2)</f>
        <v>5753.84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3378</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6" t="s">
        <v>3505</v>
      </c>
      <c r="D13" s="1625" t="s">
        <v>3379</v>
      </c>
      <c r="E13" s="13">
        <f>IF($C$3="是",ROUND($A$3*G13/$B$3,2),ROUND($A$3*(G13-AT13)/$B$3,2))</f>
        <v>5753.84</v>
      </c>
      <c r="F13" s="29"/>
      <c r="G13" s="30">
        <f>H13+AC13+AT13</f>
        <v>8390.83</v>
      </c>
      <c r="H13" s="17">
        <f>SUMIF(I$12:AB$12,"总值",I13:AB13)</f>
        <v>8390.83</v>
      </c>
      <c r="I13" s="3458">
        <v>8390.83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v>
      </c>
      <c r="AY13" s="1349">
        <f>ROUND($AY$6*AZ13/$AZ$5,2)</f>
        <v>5753.84</v>
      </c>
      <c r="AZ13" s="13">
        <f>BA13+BL13</f>
        <v>8390.83</v>
      </c>
      <c r="BA13" s="13">
        <f>SUM(BB13:BK13)</f>
        <v>8390.83</v>
      </c>
      <c r="BB13" s="13">
        <f>IF($D13="是",I13-J13,0)</f>
        <v>8390.83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7" t="s">
        <v>3506</v>
      </c>
      <c r="D14" s="1625" t="s">
        <v>3380</v>
      </c>
      <c r="E14" s="13">
        <f>IF($C$3="是",ROUND($A$3*G14/$B$3,2),ROUND($A$3*(G14-AT14)/$B$3,2))</f>
        <v>6808.09</v>
      </c>
      <c r="F14" s="29"/>
      <c r="G14" s="30">
        <f>H14+AC14+AT14</f>
        <v>9928.25</v>
      </c>
      <c r="H14" s="17">
        <f>SUMIF(I$12:AB$12,"总值",I14:AB14)</f>
        <v>9417.6200000000008</v>
      </c>
      <c r="I14" s="3458">
        <v>9417.6200000000008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510.63</v>
      </c>
      <c r="AD14" s="1627"/>
      <c r="AE14" s="1627"/>
      <c r="AF14" s="1627"/>
      <c r="AG14" s="1627"/>
      <c r="AH14" s="1627"/>
      <c r="AI14" s="1627"/>
      <c r="AJ14" s="1627"/>
      <c r="AK14" s="1627"/>
      <c r="AL14" s="3459">
        <f>85.36+20.81</f>
        <v>106.17</v>
      </c>
      <c r="AM14" s="1627"/>
      <c r="AN14" s="1627">
        <f>404.46</f>
        <v>404.46</v>
      </c>
      <c r="AO14" s="1627"/>
      <c r="AP14" s="1627"/>
      <c r="AQ14" s="1627"/>
      <c r="AR14" s="1627"/>
      <c r="AS14" s="1627"/>
      <c r="AT14" s="1628"/>
      <c r="AU14" s="1629"/>
      <c r="AV14" s="8">
        <f t="shared" si="6"/>
        <v>0</v>
      </c>
      <c r="AW14" s="8">
        <f t="shared" si="6"/>
        <v>0</v>
      </c>
      <c r="AX14" s="8" t="str">
        <f t="shared" si="6"/>
        <v>2#-1厂房</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7" t="s">
        <v>3507</v>
      </c>
      <c r="D15" s="1625" t="s">
        <v>3380</v>
      </c>
      <c r="E15" s="13">
        <f>IF($C$3="是",ROUND($A$3*G15/$B$3,2),ROUND($A$3*(G15-AT15)/$B$3,2))</f>
        <v>6457.94</v>
      </c>
      <c r="F15" s="29"/>
      <c r="G15" s="30">
        <f>H15+AC15+AT15</f>
        <v>9417.6200000000008</v>
      </c>
      <c r="H15" s="17">
        <f>SUMIF(I$12:AB$12,"总值",I15:AB15)</f>
        <v>9417.6200000000008</v>
      </c>
      <c r="I15" s="3458">
        <v>9417.6200000000008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2#-2厂房</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3461" t="s">
        <v>3512</v>
      </c>
      <c r="D16" s="1625" t="s">
        <v>3380</v>
      </c>
      <c r="E16" s="13">
        <f>IF($C$3="是",ROUND($A$3*G16/$B$3,2),ROUND($A$3*(G16-AT16)/$B$3,2))</f>
        <v>1068.21</v>
      </c>
      <c r="F16" s="29"/>
      <c r="G16" s="30">
        <f>H16+AC16+AT16</f>
        <v>1557.77</v>
      </c>
      <c r="H16" s="17">
        <f>SUMIF(I$12:AB$12,"总值",I16:AB16)</f>
        <v>1557.77</v>
      </c>
      <c r="I16" s="3458">
        <v>1557.77</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三期厂房/拟建厂房</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627"/>
      <c r="B17" s="1051"/>
      <c r="C17" s="3457" t="s">
        <v>3508</v>
      </c>
      <c r="D17" s="1625" t="s">
        <v>3380</v>
      </c>
      <c r="E17" s="13">
        <f>IF($C$3="是",ROUND($A$3*G17/$B$3,2),ROUND($A$3*(G17-AT17)/$B$3,2))</f>
        <v>6421.44</v>
      </c>
      <c r="F17" s="29"/>
      <c r="G17" s="30">
        <f>H17+AC17+AT17</f>
        <v>9364.4</v>
      </c>
      <c r="H17" s="17">
        <f>SUMIF(I$12:AB$12,"总值",I17:AB17)</f>
        <v>9364.4</v>
      </c>
      <c r="I17" s="3458">
        <v>9364.4</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3#</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60"/>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460" t="s">
        <v>3514</v>
      </c>
      <c r="C23" s="3460" t="s">
        <v>3513</v>
      </c>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t="str">
        <f t="shared" si="12"/>
        <v>计容面积</v>
      </c>
      <c r="AX23" s="1343" t="str">
        <f t="shared" si="13"/>
        <v>建筑面积</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v>8390.83</v>
      </c>
      <c r="C24" s="31">
        <v>8390.83</v>
      </c>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8390.83</v>
      </c>
      <c r="AX24" s="1343">
        <f t="shared" si="13"/>
        <v>8390.83</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v>11748.09</v>
      </c>
      <c r="C25" s="31">
        <v>9417.6200000000008</v>
      </c>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11748.09</v>
      </c>
      <c r="AX25" s="1343">
        <f t="shared" si="13"/>
        <v>9417.6200000000008</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v>11748.09</v>
      </c>
      <c r="C26" s="31">
        <v>9417.6200000000008</v>
      </c>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11748.09</v>
      </c>
      <c r="AX26" s="1343">
        <f t="shared" si="13"/>
        <v>9417.6200000000008</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v>9366.51</v>
      </c>
      <c r="C27" s="31">
        <v>9366.51</v>
      </c>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9366.51</v>
      </c>
      <c r="AX27" s="1343">
        <f t="shared" si="13"/>
        <v>9366.51</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v>85.36</v>
      </c>
      <c r="C28" s="31">
        <v>85.36</v>
      </c>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85.36</v>
      </c>
      <c r="AX28" s="1343">
        <f t="shared" si="13"/>
        <v>85.36</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v>20.81</v>
      </c>
      <c r="C29" s="31">
        <v>425.27</v>
      </c>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20.81</v>
      </c>
      <c r="AX29" s="1343">
        <f t="shared" si="13"/>
        <v>425.27</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v>3115.54</v>
      </c>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3115.54</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v>1557.77</v>
      </c>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1557.77</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48" t="s">
        <v>1129</v>
      </c>
      <c r="B2" s="3548"/>
      <c r="C2" s="3548"/>
      <c r="D2" s="796" t="s">
        <v>1105</v>
      </c>
      <c r="E2" s="1639" t="s">
        <v>1106</v>
      </c>
      <c r="F2" s="2658"/>
      <c r="G2" s="2650"/>
      <c r="H2" s="2651"/>
      <c r="I2" s="2325" t="s">
        <v>1130</v>
      </c>
      <c r="J2" s="2658"/>
      <c r="K2" s="2658"/>
      <c r="L2" s="2658"/>
      <c r="M2" s="2658"/>
      <c r="N2" s="2660"/>
      <c r="O2" s="2658"/>
      <c r="P2" s="2658"/>
    </row>
    <row r="3" spans="1:16" ht="15.75" thickBot="1">
      <c r="A3" s="3549" t="s">
        <v>1103</v>
      </c>
      <c r="B3" s="3549"/>
      <c r="C3" s="3549"/>
      <c r="D3" s="43">
        <f>'数据-基础表'!AY6</f>
        <v>5753.84</v>
      </c>
      <c r="E3" s="43">
        <f>'数据-基础表'!AZ5</f>
        <v>8390.83</v>
      </c>
      <c r="F3" s="2658"/>
      <c r="G3" s="1145"/>
      <c r="H3" s="1026" t="s">
        <v>1104</v>
      </c>
      <c r="I3" s="855">
        <f>ROUND('数据-基础表'!B3/'数据-基础表'!A3,2)</f>
        <v>1.46</v>
      </c>
      <c r="J3" s="2658"/>
      <c r="K3" s="2658"/>
      <c r="L3" s="2658"/>
      <c r="M3" s="2658"/>
      <c r="N3" s="2660"/>
      <c r="O3" s="2658"/>
      <c r="P3" s="2658"/>
    </row>
    <row r="4" spans="1:16" ht="15">
      <c r="A4" s="3550"/>
      <c r="B4" s="3551"/>
      <c r="C4" s="3552"/>
      <c r="D4" s="1641" t="s">
        <v>1105</v>
      </c>
      <c r="E4" s="1642" t="s">
        <v>1106</v>
      </c>
      <c r="F4" s="2658"/>
      <c r="G4" s="2652" t="s">
        <v>1131</v>
      </c>
      <c r="H4" s="1026" t="s">
        <v>1111</v>
      </c>
      <c r="I4" s="855">
        <f>ROUND(SUMIF('数据-基础表'!I9:AS9,"地上",'数据-基础表'!I5:AS5)/'数据-基础表'!A3,2)</f>
        <v>1.44</v>
      </c>
      <c r="J4" s="2658"/>
      <c r="K4" s="2658"/>
      <c r="L4" s="2658"/>
      <c r="M4" s="2658"/>
      <c r="N4" s="2660"/>
      <c r="O4" s="2658"/>
      <c r="P4" s="2658"/>
    </row>
    <row r="5" spans="1:16">
      <c r="A5" s="44" t="s">
        <v>1107</v>
      </c>
      <c r="B5" s="3553" t="s">
        <v>1108</v>
      </c>
      <c r="C5" s="3553"/>
      <c r="D5" s="45">
        <f>ROUND($D$3*E5/$E$3,2)</f>
        <v>0</v>
      </c>
      <c r="E5" s="46">
        <f>SUMIF('数据-基础表'!$11:$11,"住宅",'数据-基础表'!$5:$5)</f>
        <v>0</v>
      </c>
      <c r="F5" s="2658"/>
      <c r="G5" s="1145"/>
      <c r="H5" s="1026" t="s">
        <v>1104</v>
      </c>
      <c r="I5" s="855">
        <f>ROUND(E31/D31,2)</f>
        <v>1.46</v>
      </c>
      <c r="J5" s="2658"/>
      <c r="K5" s="2658"/>
      <c r="L5" s="2658"/>
      <c r="M5" s="2658"/>
      <c r="N5" s="2658"/>
      <c r="O5" s="2658"/>
      <c r="P5" s="2658"/>
    </row>
    <row r="6" spans="1:16" ht="15" thickBot="1">
      <c r="A6" s="1644"/>
      <c r="B6" s="3553" t="s">
        <v>1109</v>
      </c>
      <c r="C6" s="3553"/>
      <c r="D6" s="45">
        <f>ROUND($D$3*E6/$E$3,2)</f>
        <v>5753.84</v>
      </c>
      <c r="E6" s="46">
        <f>E3-E5</f>
        <v>8390.83</v>
      </c>
      <c r="F6" s="2658"/>
      <c r="G6" s="2653" t="s">
        <v>1110</v>
      </c>
      <c r="H6" s="1146" t="s">
        <v>1111</v>
      </c>
      <c r="I6" s="2654">
        <f>ROUND(F31/D31,2)</f>
        <v>1.46</v>
      </c>
      <c r="J6" s="2658"/>
      <c r="K6" s="2658"/>
      <c r="L6" s="2658"/>
      <c r="M6" s="2658"/>
      <c r="N6" s="2658"/>
      <c r="O6" s="2658"/>
      <c r="P6" s="2658"/>
    </row>
    <row r="7" spans="1:16" ht="15.75" thickBot="1">
      <c r="A7" s="3545"/>
      <c r="B7" s="3546"/>
      <c r="C7" s="3547"/>
      <c r="D7" s="1641" t="s">
        <v>1105</v>
      </c>
      <c r="E7" s="1645" t="s">
        <v>1112</v>
      </c>
      <c r="F7" s="2658"/>
      <c r="G7" s="2655" t="s">
        <v>1113</v>
      </c>
      <c r="H7" s="2656"/>
      <c r="I7" s="3463">
        <f>ROUND(44475.23/'数据-基础表'!A3,2)</f>
        <v>1.68</v>
      </c>
      <c r="J7" s="2658"/>
      <c r="K7" s="2658"/>
      <c r="L7" s="2658"/>
      <c r="M7" s="2658"/>
      <c r="N7" s="2658"/>
      <c r="O7" s="2658"/>
      <c r="P7" s="2658"/>
    </row>
    <row r="8" spans="1:16">
      <c r="A8" s="44" t="s">
        <v>1114</v>
      </c>
      <c r="B8" s="47" t="s">
        <v>1115</v>
      </c>
      <c r="C8" s="45" t="s">
        <v>1116</v>
      </c>
      <c r="D8" s="45">
        <f t="shared" ref="D8:D15" si="0">ROUND($D$3*E8/$E$3,2)</f>
        <v>5753.84</v>
      </c>
      <c r="E8" s="48">
        <f>SUMIF('数据-基础表'!BB10:BK10,"地上",'数据-基础表'!BB5:BK5)</f>
        <v>8390.83</v>
      </c>
      <c r="F8" s="2658"/>
      <c r="G8" s="2659"/>
      <c r="H8" s="2659"/>
      <c r="I8" s="2658"/>
      <c r="J8" s="2658"/>
      <c r="K8" s="2658"/>
      <c r="L8" s="2658"/>
      <c r="M8" s="2658"/>
      <c r="N8" s="2658"/>
      <c r="O8" s="2658"/>
      <c r="P8" s="2658"/>
    </row>
    <row r="9" spans="1:16">
      <c r="A9" s="1646"/>
      <c r="B9" s="1647"/>
      <c r="C9" s="45" t="s">
        <v>1117</v>
      </c>
      <c r="D9" s="45">
        <f t="shared" si="0"/>
        <v>0</v>
      </c>
      <c r="E9" s="49">
        <v>0</v>
      </c>
      <c r="F9" s="2658"/>
      <c r="G9" s="2659"/>
      <c r="H9" s="2659"/>
      <c r="I9" s="2658"/>
      <c r="J9" s="2658"/>
      <c r="K9" s="2658"/>
      <c r="L9" s="2658"/>
      <c r="M9" s="2658"/>
      <c r="N9" s="2658"/>
      <c r="O9" s="2658"/>
      <c r="P9" s="2658"/>
    </row>
    <row r="10" spans="1:16">
      <c r="A10" s="1646"/>
      <c r="B10" s="1647"/>
      <c r="C10" s="45" t="s">
        <v>1126</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1118</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1119</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1120</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1132</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1127</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1121</v>
      </c>
      <c r="D16" s="47">
        <f>SUM(D8:D15)</f>
        <v>5753.84</v>
      </c>
      <c r="E16" s="50">
        <f>SUM(E8:E15)</f>
        <v>8390.83</v>
      </c>
      <c r="F16" s="2658"/>
      <c r="G16" s="2659"/>
      <c r="H16" s="1648" t="s">
        <v>1133</v>
      </c>
      <c r="I16" s="1649"/>
      <c r="J16" s="1139"/>
      <c r="K16" s="3542" t="s">
        <v>1133</v>
      </c>
      <c r="L16" s="3543"/>
      <c r="M16" s="3543"/>
      <c r="N16" s="3543"/>
      <c r="O16" s="3543"/>
      <c r="P16" s="3544"/>
    </row>
    <row r="17" spans="1:19" ht="15">
      <c r="A17" s="1650" t="s">
        <v>1134</v>
      </c>
      <c r="B17" s="1651" t="s">
        <v>1135</v>
      </c>
      <c r="C17" s="1652" t="s">
        <v>1136</v>
      </c>
      <c r="D17" s="1653" t="s">
        <v>1124</v>
      </c>
      <c r="E17" s="1654" t="s">
        <v>1125</v>
      </c>
      <c r="F17" s="1655"/>
      <c r="G17" s="1656"/>
      <c r="H17" s="1657" t="s">
        <v>1137</v>
      </c>
      <c r="I17" s="1658" t="s">
        <v>1122</v>
      </c>
      <c r="J17" s="1139"/>
      <c r="K17" s="3539" t="s">
        <v>1138</v>
      </c>
      <c r="L17" s="3540"/>
      <c r="M17" s="3541"/>
      <c r="N17" s="3539" t="s">
        <v>1139</v>
      </c>
      <c r="O17" s="3540"/>
      <c r="P17" s="3541"/>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6" t="str">
        <f>'数据-基础表'!C13</f>
        <v>1#</v>
      </c>
      <c r="D19" s="45">
        <f>ROUND($D$3*E19/$E$3,2)</f>
        <v>5753.84</v>
      </c>
      <c r="E19" s="53">
        <f t="shared" ref="E19:E26" si="1">SUM(F19:G19)</f>
        <v>8390.83</v>
      </c>
      <c r="F19" s="2794">
        <f>'数据-基础表'!I13</f>
        <v>8390.83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5753.84</v>
      </c>
      <c r="S19" s="1027">
        <f t="shared" si="5"/>
        <v>8390.83</v>
      </c>
    </row>
    <row r="20" spans="1:19">
      <c r="A20" s="1670"/>
      <c r="B20" s="47" t="s">
        <v>1151</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5753.84</v>
      </c>
      <c r="E27" s="1141">
        <f>IF(SUM(E19:E26)='数据-基础表'!BA5,SUM(E19:E26),IF(F27="地上面积有误","面积有误","地下面积有误"))</f>
        <v>8390.83</v>
      </c>
      <c r="F27" s="1140">
        <f>IF(SUM(F19:F26)=E8,SUM(F19:F26),"地上面积有误")</f>
        <v>8390.83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5753.84</v>
      </c>
      <c r="S27" s="1026">
        <f>IF(SUM(S19:S26)=$E$3,SUM(S19:S26),SUM(S19:S26)&amp;"误差"&amp;ROUND(SUM(S19:S26)-E3,2))</f>
        <v>8390.83</v>
      </c>
    </row>
    <row r="28" spans="1:19">
      <c r="A28" s="1670"/>
      <c r="B28" s="47" t="s">
        <v>1153</v>
      </c>
      <c r="C28" s="1038" t="s">
        <v>1154</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1153</v>
      </c>
      <c r="C29" s="1674" t="s">
        <v>1155</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1152</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1156</v>
      </c>
      <c r="D31" s="676">
        <f>D27+D30</f>
        <v>5753.84</v>
      </c>
      <c r="E31" s="676">
        <f>E27+E30</f>
        <v>8390.83</v>
      </c>
      <c r="F31" s="677">
        <f>F27+F30</f>
        <v>8390.83</v>
      </c>
      <c r="G31" s="678">
        <f>G27+G30</f>
        <v>0</v>
      </c>
      <c r="H31" s="2658"/>
      <c r="I31" s="2658"/>
      <c r="J31" s="2658"/>
      <c r="K31" s="2658"/>
      <c r="L31" s="2658"/>
      <c r="M31" s="2658"/>
      <c r="N31" s="2658"/>
      <c r="O31" s="2658"/>
      <c r="P31" s="2658"/>
    </row>
    <row r="32" spans="1:19">
      <c r="A32" s="1643"/>
      <c r="B32" s="1643" t="s">
        <v>1157</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N5" sqref="N5:N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1159</v>
      </c>
      <c r="B2" s="1045">
        <f>项目基本情况!D3</f>
        <v>45131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7"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3381</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v>
      </c>
      <c r="B6" s="1713" t="str">
        <f>IF(A6=0,"","经营性")</f>
        <v>经营性</v>
      </c>
      <c r="C6" s="1714" t="s">
        <v>3</v>
      </c>
      <c r="D6" s="858">
        <f>SUMIF(项目基本情况!C$12:I$12,C6,项目基本情况!C$14:I$14)</f>
        <v>50</v>
      </c>
      <c r="E6" s="857">
        <f>IF(B6="","",SUMIF(项目基本情况!C$12:I$12,C6,项目基本情况!C$13:I$13))</f>
        <v>61514</v>
      </c>
      <c r="F6" s="64">
        <f>SUMIF(项目基本情况!C$12:I$12,C6,项目基本情况!C$15:I$15)</f>
        <v>44.88</v>
      </c>
      <c r="G6" s="65">
        <f>IF(ISERROR(ROUND(POWER(1+H6,D6-F6)*(POWER(1+H6,F6)-1)/(POWER(1+H6,D6)-1),3)),0,ROUND(POWER(1+H6,D6-F6)*(POWER(1+H6,F6)-1)/(POWER(1+H6,D6)-1),3))</f>
        <v>0.96899999999999997</v>
      </c>
      <c r="H6" s="732">
        <v>4.4999999999999998E-2</v>
      </c>
      <c r="I6" s="732">
        <v>5.5E-2</v>
      </c>
      <c r="J6" s="66">
        <v>8.5000000000000006E-2</v>
      </c>
      <c r="K6" s="1030">
        <f>SUMIF('数据-汇总表'!C$19:C$33,A6,'数据-汇总表'!E$19:E$33)</f>
        <v>8390.83</v>
      </c>
      <c r="L6" s="733">
        <v>1850</v>
      </c>
      <c r="M6" s="67">
        <f t="shared" ref="M6:M14" si="0">ROUND(K6*L6/10000,0)</f>
        <v>1552</v>
      </c>
      <c r="N6" s="731">
        <v>0.96</v>
      </c>
      <c r="O6" s="67" t="str">
        <f>IF($N$5="成新度","——",ROUND(M6*N6,0))</f>
        <v>——</v>
      </c>
      <c r="P6" s="68" t="str">
        <f>IF($N$5="成新度","——",M6-O6)</f>
        <v>——</v>
      </c>
      <c r="Q6" s="734">
        <v>0.05</v>
      </c>
      <c r="R6" s="69">
        <f ca="1">SUMIF('数据-汇总表'!C$19:C$33,A6,'数据-汇总表'!R$19:R$27)</f>
        <v>5753.84</v>
      </c>
      <c r="S6" s="51">
        <f>IF('数据-汇总表'!$I$17="按面积比例",SUMIF('数据-汇总表'!C$19:C$33,A6,'数据-汇总表'!K$19:K$33),SUMIF('数据-汇总表'!C$19:C$33,A6,'数据-汇总表'!N$19:N$33))</f>
        <v>0</v>
      </c>
      <c r="T6" s="1172">
        <f>ROUND($L$14*S6/10000,0)</f>
        <v>0</v>
      </c>
      <c r="U6" s="3427">
        <v>0.6</v>
      </c>
      <c r="V6" s="70">
        <v>2.5000000000000001E-2</v>
      </c>
      <c r="W6" s="70">
        <v>0.1</v>
      </c>
      <c r="X6" s="1040"/>
      <c r="Y6" s="71">
        <f>N6</f>
        <v>0.96</v>
      </c>
      <c r="Z6" s="72"/>
      <c r="AA6" s="66"/>
      <c r="AB6" s="66"/>
      <c r="AC6" s="1040"/>
      <c r="AD6" s="73"/>
      <c r="AE6" s="1041">
        <f ca="1">IF(AN6="",0,SUMIF(INDIRECT("'"&amp;AN6&amp;"'"&amp;"!E:E"),$AE$5,INDIRECT("'"&amp;AN6&amp;"'"&amp;"!F:F")))</f>
        <v>44.88</v>
      </c>
      <c r="AF6" s="1348"/>
      <c r="AG6" s="138">
        <f>IF(AF6="",0,AE6-AF6)</f>
        <v>0</v>
      </c>
      <c r="AH6" s="74"/>
      <c r="AI6" s="76">
        <v>365</v>
      </c>
      <c r="AJ6" s="77"/>
      <c r="AK6" s="85">
        <v>0.01</v>
      </c>
      <c r="AL6" s="79">
        <v>1E-3</v>
      </c>
      <c r="AM6" s="3466">
        <v>5.0000000000000001E-3</v>
      </c>
      <c r="AN6" s="1715" t="s">
        <v>3382</v>
      </c>
      <c r="AO6" s="52">
        <f ca="1">SUMIF(INDIRECT("'"&amp;AN6&amp;"'"&amp;"!A:A"),"总价",INDIRECT("'"&amp;AN6&amp;"'"&amp;"!B:B"))</f>
        <v>2728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0.96899999999999997</v>
      </c>
      <c r="H16" s="90">
        <f>ROUND(SUMPRODUCT(H6:H13,K6:K13)/SUMPRODUCT((H6:H13&gt;0)*(K6:K13)),3)</f>
        <v>4.4999999999999998E-2</v>
      </c>
      <c r="I16" s="91"/>
      <c r="J16" s="91"/>
      <c r="K16" s="92">
        <f>SUM(K6:K15)</f>
        <v>8390.83</v>
      </c>
      <c r="L16" s="93">
        <f>ROUND(M16*10000/SUM(K6:K14),0)</f>
        <v>1850</v>
      </c>
      <c r="M16" s="93">
        <f>SUM(M6:M14)</f>
        <v>1552</v>
      </c>
      <c r="N16" s="94">
        <f>ROUND(SUMPRODUCT(M6:M14,N6:N14)/M16,3)</f>
        <v>0.96</v>
      </c>
      <c r="O16" s="93">
        <f>SUM(O6:O14)</f>
        <v>0</v>
      </c>
      <c r="P16" s="93">
        <f>SUM(P6:P14)</f>
        <v>0</v>
      </c>
      <c r="Q16" s="95">
        <f>ROUND(SUMPRODUCT(Q6:Q13,K6:K13)/SUMPRODUCT((Q6:Q13&gt;0)*(K6:K13)),2)</f>
        <v>0.05</v>
      </c>
      <c r="R16" s="1034">
        <f ca="1">SUM(R6:R13)</f>
        <v>5753.84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1208</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1209</v>
      </c>
      <c r="B19" s="103">
        <v>0</v>
      </c>
      <c r="C19" s="2798" t="s">
        <v>2299</v>
      </c>
      <c r="D19" s="2675"/>
      <c r="E19" s="2672"/>
      <c r="F19" s="2672"/>
      <c r="G19" s="2672"/>
      <c r="H19" s="2672"/>
      <c r="I19" s="2672"/>
      <c r="J19" s="2672"/>
      <c r="K19" s="2671"/>
      <c r="L19" s="2671"/>
      <c r="M19" s="2670"/>
      <c r="N19" s="731">
        <f>ROUND(1-(2023-2021)/60,3)</f>
        <v>0.96699999999999997</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1210</v>
      </c>
      <c r="B20" s="104">
        <v>1.5</v>
      </c>
      <c r="C20" s="2799" t="s">
        <v>2297</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1211</v>
      </c>
      <c r="B21" s="104">
        <v>1.5</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1212</v>
      </c>
      <c r="B22" s="105">
        <f>B19+B20</f>
        <v>1.5</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1213</v>
      </c>
      <c r="B23" s="105">
        <f>B19+B21</f>
        <v>1.5</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1214</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1215</v>
      </c>
      <c r="B26" s="1726" t="s">
        <v>1216</v>
      </c>
      <c r="C26" s="2676" t="s">
        <v>1217</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1218</v>
      </c>
      <c r="B27" s="107">
        <v>113</v>
      </c>
      <c r="C27" s="2800" t="s">
        <v>2301</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87</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73</v>
      </c>
      <c r="C29" s="2801" t="s">
        <v>2288</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802" t="s">
        <v>2289</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802" t="s">
        <v>2290</v>
      </c>
      <c r="D34" s="2683" t="s">
        <v>2298</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v>200</v>
      </c>
      <c r="C35" s="2802" t="s">
        <v>2291</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0.02</v>
      </c>
      <c r="C36" s="2802" t="s">
        <v>2292</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1228</v>
      </c>
      <c r="B37" s="115">
        <v>0.02</v>
      </c>
      <c r="C37" s="2802" t="s">
        <v>2293</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1229</v>
      </c>
      <c r="B38" s="113">
        <v>0.02</v>
      </c>
      <c r="C38" s="2802" t="s">
        <v>2293</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1230</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2308</v>
      </c>
      <c r="B40" s="1078">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1231</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1232</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1233</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1234</v>
      </c>
      <c r="B44" s="119">
        <v>0.05</v>
      </c>
      <c r="C44" s="2802" t="s">
        <v>2302</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1235</v>
      </c>
      <c r="B45" s="117">
        <v>0.03</v>
      </c>
      <c r="C45" s="2801" t="s">
        <v>2294</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1236</v>
      </c>
      <c r="B46" s="117">
        <v>0.02</v>
      </c>
      <c r="C46" s="2801" t="s">
        <v>2295</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1237</v>
      </c>
      <c r="B47" s="120"/>
      <c r="C47" s="2804" t="s">
        <v>2303</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1238</v>
      </c>
      <c r="B48" s="121">
        <v>0.04</v>
      </c>
      <c r="C48" s="2801" t="s">
        <v>2294</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1239</v>
      </c>
      <c r="B49" s="117">
        <v>5.0000000000000001E-4</v>
      </c>
      <c r="C49" s="2801" t="s">
        <v>2296</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1240</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1241</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1242</v>
      </c>
      <c r="B52" s="124">
        <f>SUMIF(A54:A63,B53,B54:B63)</f>
        <v>3</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1243</v>
      </c>
      <c r="B53" s="1738" t="s">
        <v>144</v>
      </c>
      <c r="C53" s="2660" t="s">
        <v>1244</v>
      </c>
      <c r="D53" s="2803" t="s">
        <v>2300</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1245</v>
      </c>
      <c r="B54" s="75">
        <v>3</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1246</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1247</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1248</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1249</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1250</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1251</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1252</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1253</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1254</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4" t="s">
        <v>2280</v>
      </c>
      <c r="B1" s="3555"/>
      <c r="C1" s="3555"/>
      <c r="D1" s="3555"/>
      <c r="E1" s="3555"/>
      <c r="F1" s="3555"/>
      <c r="G1" s="355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2276</v>
      </c>
      <c r="D2" s="2461"/>
      <c r="E2" s="2458"/>
      <c r="F2" s="2462"/>
      <c r="G2" s="2460" t="s">
        <v>2277</v>
      </c>
      <c r="H2" s="799"/>
      <c r="I2" s="799"/>
      <c r="J2" s="799"/>
      <c r="K2" s="799"/>
      <c r="L2" s="799"/>
      <c r="M2" s="799"/>
      <c r="N2" s="799"/>
      <c r="O2" s="799"/>
      <c r="P2" s="799"/>
      <c r="Q2" s="799"/>
      <c r="R2" s="799"/>
    </row>
    <row r="3" spans="1:29" ht="48">
      <c r="A3" s="2441" t="s">
        <v>2278</v>
      </c>
      <c r="B3" s="2463" t="s">
        <v>2248</v>
      </c>
      <c r="C3" s="2464" t="s">
        <v>2279</v>
      </c>
      <c r="D3" s="2465"/>
      <c r="E3" s="2442" t="s">
        <v>2278</v>
      </c>
      <c r="F3" s="2466" t="s">
        <v>2249</v>
      </c>
      <c r="G3" s="2467"/>
      <c r="H3" s="799"/>
      <c r="I3" s="799"/>
      <c r="J3" s="799"/>
      <c r="K3" s="799"/>
      <c r="L3" s="799"/>
      <c r="M3" s="799"/>
      <c r="N3" s="799"/>
      <c r="O3" s="799"/>
      <c r="P3" s="799"/>
      <c r="Q3" s="799"/>
      <c r="R3" s="799"/>
    </row>
    <row r="4" spans="1:29" ht="36.75">
      <c r="A4" s="2442"/>
      <c r="B4" s="323" t="s">
        <v>2250</v>
      </c>
      <c r="C4" s="2468" t="s">
        <v>2251</v>
      </c>
      <c r="D4" s="2465"/>
      <c r="E4" s="2469"/>
      <c r="F4" s="1373" t="s">
        <v>2252</v>
      </c>
      <c r="G4" s="2470"/>
      <c r="H4" s="799"/>
      <c r="I4" s="799"/>
      <c r="J4" s="799"/>
      <c r="K4" s="799"/>
      <c r="L4" s="799"/>
      <c r="M4" s="799"/>
      <c r="N4" s="799"/>
      <c r="O4" s="799"/>
      <c r="P4" s="799"/>
      <c r="Q4" s="799"/>
      <c r="R4" s="799"/>
    </row>
    <row r="5" spans="1:29" ht="36.75">
      <c r="A5" s="2442"/>
      <c r="B5" s="323" t="s">
        <v>2254</v>
      </c>
      <c r="C5" s="2468" t="s">
        <v>2255</v>
      </c>
      <c r="D5" s="2465"/>
      <c r="E5" s="2469"/>
      <c r="F5" s="323" t="s">
        <v>2256</v>
      </c>
      <c r="G5" s="2470"/>
      <c r="H5" s="799"/>
      <c r="I5" s="799"/>
      <c r="J5" s="799"/>
      <c r="K5" s="799"/>
      <c r="L5" s="799"/>
      <c r="M5" s="799"/>
      <c r="N5" s="799"/>
      <c r="O5" s="799"/>
      <c r="P5" s="799"/>
      <c r="Q5" s="799"/>
      <c r="R5" s="799"/>
    </row>
    <row r="6" spans="1:29" ht="36">
      <c r="A6" s="2442"/>
      <c r="B6" s="323" t="s">
        <v>2258</v>
      </c>
      <c r="C6" s="2470" t="s">
        <v>2253</v>
      </c>
      <c r="D6" s="2465"/>
      <c r="E6" s="2469"/>
      <c r="F6" s="323" t="s">
        <v>2259</v>
      </c>
      <c r="G6" s="2470"/>
      <c r="H6" s="799"/>
      <c r="I6" s="799"/>
      <c r="J6" s="799"/>
      <c r="K6" s="799"/>
      <c r="L6" s="799"/>
      <c r="M6" s="799"/>
      <c r="N6" s="799"/>
      <c r="O6" s="799"/>
      <c r="P6" s="799"/>
      <c r="Q6" s="799"/>
      <c r="R6" s="799"/>
    </row>
    <row r="7" spans="1:29" ht="24.75" thickBot="1">
      <c r="A7" s="2442"/>
      <c r="B7" s="323" t="s">
        <v>2256</v>
      </c>
      <c r="C7" s="2470" t="s">
        <v>2257</v>
      </c>
      <c r="D7" s="2471"/>
      <c r="E7" s="2472"/>
      <c r="F7" s="2473" t="s">
        <v>2261</v>
      </c>
      <c r="G7" s="2474"/>
      <c r="H7" s="799"/>
      <c r="I7" s="799"/>
      <c r="J7" s="799"/>
      <c r="K7" s="799"/>
      <c r="L7" s="799"/>
      <c r="M7" s="799"/>
      <c r="N7" s="799"/>
      <c r="O7" s="799"/>
      <c r="P7" s="799"/>
      <c r="Q7" s="799"/>
      <c r="R7" s="799"/>
    </row>
    <row r="8" spans="1:29">
      <c r="A8" s="2442"/>
      <c r="B8" s="323" t="s">
        <v>2259</v>
      </c>
      <c r="C8" s="2470" t="s">
        <v>2260</v>
      </c>
      <c r="D8" s="2471"/>
      <c r="E8" s="2471"/>
      <c r="F8" s="2475"/>
      <c r="G8" s="2475"/>
      <c r="H8" s="799"/>
      <c r="I8" s="799"/>
      <c r="J8" s="799"/>
      <c r="K8" s="799"/>
      <c r="L8" s="799"/>
      <c r="M8" s="799"/>
      <c r="N8" s="799"/>
      <c r="O8" s="799"/>
      <c r="P8" s="799"/>
      <c r="Q8" s="799"/>
      <c r="R8" s="799"/>
    </row>
    <row r="9" spans="1:29" ht="24">
      <c r="A9" s="2442"/>
      <c r="B9" s="323" t="s">
        <v>2262</v>
      </c>
      <c r="C9" s="2468" t="s">
        <v>2263</v>
      </c>
      <c r="D9" s="2465"/>
      <c r="E9" s="2471"/>
      <c r="F9" s="2475"/>
      <c r="G9" s="2475"/>
      <c r="H9" s="799"/>
      <c r="I9" s="799"/>
      <c r="J9" s="799"/>
      <c r="K9" s="799"/>
      <c r="L9" s="799"/>
      <c r="M9" s="799"/>
      <c r="N9" s="799"/>
      <c r="O9" s="799"/>
      <c r="P9" s="799"/>
      <c r="Q9" s="799"/>
      <c r="R9" s="799"/>
    </row>
    <row r="10" spans="1:29" s="2481" customFormat="1" ht="15" thickBot="1">
      <c r="A10" s="2443"/>
      <c r="B10" s="2476" t="s">
        <v>2264</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2281</v>
      </c>
      <c r="B13" s="2484"/>
      <c r="C13" s="2484"/>
      <c r="D13" s="2482"/>
      <c r="E13" s="2484"/>
      <c r="F13" s="2484"/>
      <c r="G13" s="2484"/>
    </row>
    <row r="14" spans="1:29" ht="15" thickBot="1">
      <c r="A14" s="2494"/>
      <c r="B14" s="2494"/>
      <c r="C14" s="2495" t="s">
        <v>2265</v>
      </c>
      <c r="D14" s="2465"/>
      <c r="E14" s="2496"/>
      <c r="F14" s="2496"/>
      <c r="G14" s="2460" t="s">
        <v>2266</v>
      </c>
    </row>
    <row r="15" spans="1:29" ht="51">
      <c r="A15" s="2444" t="s">
        <v>2267</v>
      </c>
      <c r="B15" s="2497" t="s">
        <v>2248</v>
      </c>
      <c r="C15" s="2498" t="str">
        <f>C3</f>
        <v>估价对象周边居住用地比例、居住小区规模和社区发展完善程度，综合评价居住社区成熟度一般</v>
      </c>
      <c r="D15" s="2465"/>
      <c r="E15" s="2445" t="s">
        <v>2268</v>
      </c>
      <c r="F15" s="2497" t="s">
        <v>2269</v>
      </c>
      <c r="G15" s="2499">
        <f>G3</f>
        <v>0</v>
      </c>
    </row>
    <row r="16" spans="1:29" ht="38.25">
      <c r="A16" s="2446"/>
      <c r="B16" s="2500" t="s">
        <v>2250</v>
      </c>
      <c r="C16" s="2501" t="str">
        <f>C4</f>
        <v>估价对象位于XX商圈，周边商业氛围成熟，人流量大，商业繁华度好</v>
      </c>
      <c r="D16" s="2465"/>
      <c r="E16" s="2447"/>
      <c r="F16" s="2502" t="s">
        <v>2252</v>
      </c>
      <c r="G16" s="2503">
        <f>G4</f>
        <v>0</v>
      </c>
    </row>
    <row r="17" spans="1:18" ht="38.25">
      <c r="A17" s="2446"/>
      <c r="B17" s="2500" t="s">
        <v>2254</v>
      </c>
      <c r="C17" s="2501" t="str">
        <f>C5</f>
        <v>估价对象位于XX商圈，周边办公楼项目较多，入驻率高，办公集聚程度较好</v>
      </c>
      <c r="D17" s="2471"/>
      <c r="E17" s="2447"/>
      <c r="F17" s="2502" t="s">
        <v>2270</v>
      </c>
      <c r="G17" s="2504"/>
    </row>
    <row r="18" spans="1:18" ht="38.25">
      <c r="A18" s="2446"/>
      <c r="B18" s="2502" t="s">
        <v>2258</v>
      </c>
      <c r="C18" s="2503" t="str">
        <f>C6</f>
        <v>估价对象周边道路状况、公共交通通达情况、停车便捷程度，综合评价交通便捷度较好</v>
      </c>
      <c r="D18" s="2471"/>
      <c r="E18" s="2447"/>
      <c r="F18" s="2502" t="s">
        <v>2261</v>
      </c>
      <c r="G18" s="2503">
        <f>G7</f>
        <v>0</v>
      </c>
    </row>
    <row r="19" spans="1:18">
      <c r="A19" s="2446"/>
      <c r="B19" s="2502" t="s">
        <v>2271</v>
      </c>
      <c r="C19" s="2504"/>
      <c r="D19" s="2465"/>
      <c r="E19" s="2447"/>
      <c r="F19" s="323" t="s">
        <v>2256</v>
      </c>
      <c r="G19" s="2503">
        <f>G5</f>
        <v>0</v>
      </c>
    </row>
    <row r="20" spans="1:18" ht="25.5">
      <c r="A20" s="2446"/>
      <c r="B20" s="2502" t="s">
        <v>2272</v>
      </c>
      <c r="C20" s="2501" t="str">
        <f>C9</f>
        <v>区域自然环境：；人文环境；综合评价环境状况一般</v>
      </c>
      <c r="D20" s="2471"/>
      <c r="E20" s="2447"/>
      <c r="F20" s="323" t="s">
        <v>2259</v>
      </c>
      <c r="G20" s="2503">
        <f>G6</f>
        <v>0</v>
      </c>
    </row>
    <row r="21" spans="1:18" ht="25.5">
      <c r="A21" s="2446"/>
      <c r="B21" s="323" t="s">
        <v>2256</v>
      </c>
      <c r="C21" s="2503" t="str">
        <f>C7</f>
        <v>估价对象所在区域公共配套设施齐备情况</v>
      </c>
      <c r="D21" s="2465"/>
      <c r="E21" s="2447"/>
      <c r="F21" s="2502" t="s">
        <v>2273</v>
      </c>
      <c r="G21" s="2505"/>
    </row>
    <row r="22" spans="1:18" ht="13.5" customHeight="1">
      <c r="A22" s="2446"/>
      <c r="B22" s="323" t="s">
        <v>2259</v>
      </c>
      <c r="C22" s="2503" t="str">
        <f>C8</f>
        <v>估价对象所在区域基础设施水平</v>
      </c>
      <c r="D22" s="2465"/>
      <c r="E22" s="2447"/>
      <c r="F22" s="2502" t="s">
        <v>2264</v>
      </c>
      <c r="G22" s="2504"/>
    </row>
    <row r="23" spans="1:18" s="799" customFormat="1" ht="15" thickBot="1">
      <c r="A23" s="2446"/>
      <c r="B23" s="2502" t="s">
        <v>2273</v>
      </c>
      <c r="C23" s="2505"/>
      <c r="D23" s="1741"/>
      <c r="E23" s="2448"/>
      <c r="F23" s="2506" t="s">
        <v>2274</v>
      </c>
      <c r="G23" s="2507"/>
      <c r="H23" s="2491"/>
      <c r="I23" s="2492"/>
      <c r="J23" s="2491"/>
      <c r="K23" s="2491"/>
      <c r="L23" s="2492"/>
      <c r="M23" s="2491"/>
      <c r="N23" s="2491"/>
      <c r="O23" s="2492"/>
      <c r="P23" s="2491"/>
      <c r="Q23" s="2491"/>
      <c r="R23" s="2493"/>
    </row>
    <row r="24" spans="1:18" s="799" customFormat="1" ht="15" thickBot="1">
      <c r="A24" s="2449"/>
      <c r="B24" s="2506" t="s">
        <v>2275</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M21" sqref="M21"/>
    </sheetView>
  </sheetViews>
  <sheetFormatPr defaultColWidth="9" defaultRowHeight="13.5"/>
  <cols>
    <col min="1" max="1" width="25" style="2513" customWidth="1"/>
    <col min="2" max="9" width="15.75" style="2513" customWidth="1"/>
    <col min="10" max="16384" width="9" style="2513"/>
  </cols>
  <sheetData>
    <row r="1" spans="1:11" ht="16.5">
      <c r="A1" s="2512" t="s">
        <v>663</v>
      </c>
      <c r="B1" s="2512">
        <f>SUM(B14:B23)</f>
        <v>38658.870000000003</v>
      </c>
      <c r="C1" s="2685"/>
      <c r="D1" s="2685"/>
      <c r="E1" s="2685"/>
      <c r="F1" s="2685"/>
      <c r="G1" s="2686"/>
      <c r="H1" s="2687"/>
      <c r="I1" s="2687"/>
      <c r="J1" s="2687"/>
      <c r="K1" s="2687"/>
    </row>
    <row r="2" spans="1:11" ht="16.5">
      <c r="A2" s="2512" t="s">
        <v>651</v>
      </c>
      <c r="B2" s="2512">
        <f>SUM(C14:C23)</f>
        <v>26509.51</v>
      </c>
      <c r="C2" s="2685"/>
      <c r="D2" s="2685"/>
      <c r="E2" s="2685"/>
      <c r="F2" s="2685"/>
      <c r="G2" s="2686"/>
      <c r="H2" s="2687"/>
      <c r="I2" s="2687"/>
      <c r="J2" s="2687"/>
      <c r="K2" s="2687"/>
    </row>
    <row r="3" spans="1:11" ht="16.5">
      <c r="A3" s="2512" t="s">
        <v>660</v>
      </c>
      <c r="B3" s="2514">
        <f>项目基本情况!D3</f>
        <v>45131</v>
      </c>
      <c r="C3" s="2685"/>
      <c r="D3" s="2685"/>
      <c r="E3" s="2685"/>
      <c r="F3" s="2685"/>
      <c r="G3" s="2686"/>
      <c r="H3" s="2687"/>
      <c r="I3" s="2687"/>
      <c r="J3" s="2687"/>
      <c r="K3" s="2687"/>
    </row>
    <row r="4" spans="1:11" ht="33">
      <c r="A4" s="2512" t="s">
        <v>659</v>
      </c>
      <c r="B4" s="2512" t="s">
        <v>658</v>
      </c>
      <c r="C4" s="2512" t="s">
        <v>657</v>
      </c>
      <c r="D4" s="2512" t="s">
        <v>656</v>
      </c>
      <c r="E4" s="2685"/>
      <c r="F4" s="2686"/>
      <c r="G4" s="2686"/>
      <c r="H4" s="2687"/>
      <c r="I4" s="2687"/>
      <c r="J4" s="2687"/>
      <c r="K4" s="2687"/>
    </row>
    <row r="5" spans="1:11" ht="16.5">
      <c r="A5" s="2512" t="s">
        <v>655</v>
      </c>
      <c r="B5" s="2512">
        <f ca="1">SUM(D14:D23)</f>
        <v>9465</v>
      </c>
      <c r="C5" s="2512">
        <f ca="1">IF(B5=D14,结果表!H102,ROUND(B5*10000/$B$1,0))</f>
        <v>2448</v>
      </c>
      <c r="D5" s="2512">
        <f ca="1">ROUND(B5*10000/$B$2,0)</f>
        <v>3570</v>
      </c>
      <c r="E5" s="2685"/>
      <c r="F5" s="2686"/>
      <c r="G5" s="2686"/>
      <c r="H5" s="2687"/>
      <c r="I5" s="2687"/>
      <c r="J5" s="2687"/>
      <c r="K5" s="2687"/>
    </row>
    <row r="6" spans="1:11" ht="16.5">
      <c r="A6" s="2512" t="s">
        <v>654</v>
      </c>
      <c r="B6" s="2512">
        <f ca="1">SUM(G14:G23)</f>
        <v>9465</v>
      </c>
      <c r="C6" s="2512">
        <f ca="1">IF(B6=G14,结果表!H108,ROUND(B6*10000/$B$1,0))</f>
        <v>2448</v>
      </c>
      <c r="D6" s="2512">
        <f ca="1">ROUND(B6*10000/$B$2,0)</f>
        <v>3570</v>
      </c>
      <c r="E6" s="2685"/>
      <c r="F6" s="2686"/>
      <c r="G6" s="2686"/>
      <c r="H6" s="2687"/>
      <c r="I6" s="2687"/>
      <c r="J6" s="2687"/>
      <c r="K6" s="2687"/>
    </row>
    <row r="7" spans="1:11" ht="16.5">
      <c r="A7" s="2512" t="s">
        <v>662</v>
      </c>
      <c r="B7" s="2512">
        <f>SUM(H14:H23)</f>
        <v>0</v>
      </c>
      <c r="C7" s="2512" t="str">
        <f>IF(B7=H14,结果表!H110,ROUND(B7*10000/$B$1,0))</f>
        <v>——</v>
      </c>
      <c r="D7" s="2512">
        <f>ROUND(B7*10000/$B$2,0)</f>
        <v>0</v>
      </c>
      <c r="E7" s="2685"/>
      <c r="F7" s="2686"/>
      <c r="G7" s="2686"/>
      <c r="H7" s="2687"/>
      <c r="I7" s="2687"/>
      <c r="J7" s="2687"/>
      <c r="K7" s="2687"/>
    </row>
    <row r="8" spans="1:11" ht="16.5">
      <c r="A8" s="2512" t="s">
        <v>587</v>
      </c>
      <c r="B8" s="2512">
        <f>SUM(I14:I23)</f>
        <v>0</v>
      </c>
      <c r="C8" s="2512" t="str">
        <f>IF(B8=I14,结果表!H112,ROUND(B8*10000/$B$1,0))</f>
        <v>——</v>
      </c>
      <c r="D8" s="2512">
        <f>ROUND(B8*10000/$B$2,0)</f>
        <v>0</v>
      </c>
      <c r="E8" s="2685"/>
      <c r="F8" s="2686"/>
      <c r="G8" s="2686"/>
      <c r="H8" s="2687"/>
      <c r="I8" s="2687"/>
      <c r="J8" s="2687"/>
      <c r="K8" s="2687"/>
    </row>
    <row r="9" spans="1:11" ht="16.5">
      <c r="A9" s="2512" t="s">
        <v>653</v>
      </c>
      <c r="B9" s="2520"/>
      <c r="C9" s="2685"/>
      <c r="D9" s="2685"/>
      <c r="E9" s="2685"/>
      <c r="F9" s="2686"/>
      <c r="G9" s="2686"/>
      <c r="H9" s="2687"/>
      <c r="I9" s="2687"/>
      <c r="J9" s="2687"/>
      <c r="K9" s="2687"/>
    </row>
    <row r="10" spans="1:11" ht="16.5">
      <c r="A10" s="2512" t="s">
        <v>652</v>
      </c>
      <c r="B10" s="2512">
        <f>IF(E10="",0,ROUND(B1*(E10*365/G10)/10000,0))</f>
        <v>0</v>
      </c>
      <c r="C10" s="2512" t="s">
        <v>3356</v>
      </c>
      <c r="D10" s="2512" t="s">
        <v>3357</v>
      </c>
      <c r="E10" s="3440"/>
      <c r="F10" s="3444" t="s">
        <v>3358</v>
      </c>
      <c r="G10" s="3441"/>
      <c r="H10" s="2687"/>
      <c r="I10" s="2687"/>
      <c r="J10" s="2687"/>
      <c r="K10" s="2687"/>
    </row>
    <row r="11" spans="1:11" ht="16.5">
      <c r="A11" s="2512" t="s">
        <v>668</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667</v>
      </c>
      <c r="B13" s="2516" t="s">
        <v>664</v>
      </c>
      <c r="C13" s="2516" t="s">
        <v>666</v>
      </c>
      <c r="D13" s="2516" t="s">
        <v>665</v>
      </c>
      <c r="E13" s="2512" t="s">
        <v>657</v>
      </c>
      <c r="F13" s="2512" t="s">
        <v>656</v>
      </c>
      <c r="G13" s="2516" t="s">
        <v>650</v>
      </c>
      <c r="H13" s="2516" t="s">
        <v>661</v>
      </c>
      <c r="I13" s="2516" t="s">
        <v>649</v>
      </c>
      <c r="J13" s="2686"/>
      <c r="K13" s="2687"/>
    </row>
    <row r="14" spans="1:11" ht="16.5">
      <c r="A14" s="2517" t="s">
        <v>3500</v>
      </c>
      <c r="B14" s="2518">
        <f>典型户型修正!B22</f>
        <v>17755.23</v>
      </c>
      <c r="C14" s="2518">
        <f>'数据-基础表'!E13+'数据-基础表'!E17</f>
        <v>12175.279999999999</v>
      </c>
      <c r="D14" s="2518">
        <f ca="1">典型户型修正!B20</f>
        <v>5694</v>
      </c>
      <c r="E14" s="2518">
        <f ca="1">ROUND(D14*10000/B14,0)</f>
        <v>3207</v>
      </c>
      <c r="F14" s="2518">
        <f ca="1">ROUND(D14*10000/C14,0)</f>
        <v>4677</v>
      </c>
      <c r="G14" s="2518">
        <f ca="1">D14</f>
        <v>5694</v>
      </c>
      <c r="H14" s="2518"/>
      <c r="I14" s="2518">
        <f>结果表!L110</f>
        <v>0</v>
      </c>
      <c r="J14" s="2686"/>
      <c r="K14" s="2687"/>
    </row>
    <row r="15" spans="1:11" ht="16.5">
      <c r="A15" s="2517" t="s">
        <v>3510</v>
      </c>
      <c r="B15" s="2519">
        <f>'[3]数据-汇总表'!$E$3</f>
        <v>20903.640000000003</v>
      </c>
      <c r="C15" s="2519">
        <f>'[4]数据-汇总表'!$D$3</f>
        <v>14334.23</v>
      </c>
      <c r="D15" s="2519">
        <f ca="1">[7]结果表!$H$118</f>
        <v>3771</v>
      </c>
      <c r="E15" s="2518">
        <f t="shared" ref="E15:E23" ca="1" si="0">ROUND(D15*10000/B15,0)</f>
        <v>1804</v>
      </c>
      <c r="F15" s="2518">
        <f t="shared" ref="F15:F23" ca="1" si="1">ROUND(D15*10000/C15,0)</f>
        <v>2631</v>
      </c>
      <c r="G15" s="1331">
        <f ca="1">D15</f>
        <v>3771</v>
      </c>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row r="29" spans="1:11">
      <c r="D29" s="2513">
        <f ca="1">典型户型修正!S24</f>
        <v>2691</v>
      </c>
    </row>
    <row r="30" spans="1:11">
      <c r="D30" s="2513">
        <f ca="1">典型户型修正!S25</f>
        <v>3003</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 zoomScale="80" zoomScaleNormal="100" zoomScaleSheetLayoutView="80"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c r="D1" s="1747"/>
      <c r="E1" s="1747"/>
      <c r="F1" s="1749" t="s">
        <v>1261</v>
      </c>
      <c r="G1" s="1561" t="s">
        <v>3489</v>
      </c>
      <c r="H1" s="1750" t="str">
        <f>IF(G1="现房","——","估价对象范围")</f>
        <v>——</v>
      </c>
      <c r="I1" s="1751" t="s">
        <v>3490</v>
      </c>
    </row>
    <row r="2" spans="1:12" ht="21.75" customHeight="1" thickBot="1">
      <c r="A2" s="3623" t="str">
        <f>项目基本情况!S2</f>
        <v>房地产</v>
      </c>
      <c r="B2" s="3624"/>
      <c r="C2" s="3624"/>
      <c r="D2" s="3624"/>
      <c r="E2" s="3624"/>
      <c r="F2" s="3624"/>
      <c r="G2" s="3624"/>
      <c r="H2" s="3624"/>
      <c r="I2" s="3625"/>
    </row>
    <row r="3" spans="1:12" ht="12.75">
      <c r="A3" s="3627" t="s">
        <v>1262</v>
      </c>
      <c r="B3" s="3628"/>
      <c r="C3" s="3628"/>
      <c r="D3" s="3628"/>
      <c r="E3" s="3628"/>
      <c r="F3" s="3628"/>
      <c r="G3" s="3628"/>
      <c r="H3" s="3628"/>
      <c r="I3" s="3628"/>
    </row>
    <row r="4" spans="1:12" ht="14.25">
      <c r="A4" s="1754" t="s">
        <v>1263</v>
      </c>
      <c r="B4" s="1755" t="s">
        <v>1264</v>
      </c>
      <c r="C4" s="1756" t="s">
        <v>3491</v>
      </c>
      <c r="D4" s="1756" t="s">
        <v>3382</v>
      </c>
      <c r="E4" s="3632" t="s">
        <v>1265</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1266</v>
      </c>
      <c r="B5" s="3626">
        <v>25</v>
      </c>
      <c r="C5" s="3629"/>
      <c r="D5" s="3617"/>
      <c r="E5" s="131" t="s">
        <v>1267</v>
      </c>
      <c r="F5" s="1757"/>
      <c r="G5" s="1757"/>
      <c r="H5" s="1757"/>
      <c r="I5" s="1373"/>
    </row>
    <row r="6" spans="1:12" ht="12.75">
      <c r="A6" s="3571"/>
      <c r="B6" s="3626"/>
      <c r="C6" s="3631"/>
      <c r="D6" s="3617"/>
      <c r="E6" s="131" t="s">
        <v>1268</v>
      </c>
      <c r="F6" s="1757"/>
      <c r="G6" s="1757"/>
      <c r="H6" s="1757"/>
      <c r="I6" s="1373"/>
    </row>
    <row r="7" spans="1:12" ht="12.75">
      <c r="A7" s="3571"/>
      <c r="B7" s="3626"/>
      <c r="C7" s="3630"/>
      <c r="D7" s="3617"/>
      <c r="E7" s="131" t="s">
        <v>1269</v>
      </c>
      <c r="F7" s="1757"/>
      <c r="G7" s="1757"/>
      <c r="H7" s="1757"/>
      <c r="I7" s="1373"/>
    </row>
    <row r="8" spans="1:12" ht="12.75">
      <c r="A8" s="3571" t="s">
        <v>1270</v>
      </c>
      <c r="B8" s="3626">
        <v>15</v>
      </c>
      <c r="C8" s="3629"/>
      <c r="D8" s="3617"/>
      <c r="E8" s="131" t="s">
        <v>1271</v>
      </c>
      <c r="F8" s="1757"/>
      <c r="G8" s="1757"/>
      <c r="H8" s="1757"/>
      <c r="I8" s="1373"/>
    </row>
    <row r="9" spans="1:12" ht="12.75">
      <c r="A9" s="3571"/>
      <c r="B9" s="3626"/>
      <c r="C9" s="3630"/>
      <c r="D9" s="3617"/>
      <c r="E9" s="131" t="s">
        <v>1272</v>
      </c>
      <c r="F9" s="1757"/>
      <c r="G9" s="1757"/>
      <c r="H9" s="1757"/>
      <c r="I9" s="1373"/>
    </row>
    <row r="10" spans="1:12" ht="12.75">
      <c r="A10" s="3571" t="s">
        <v>1273</v>
      </c>
      <c r="B10" s="3626">
        <v>15</v>
      </c>
      <c r="C10" s="3629"/>
      <c r="D10" s="3617"/>
      <c r="E10" s="131" t="s">
        <v>1274</v>
      </c>
      <c r="F10" s="1757"/>
      <c r="G10" s="1757"/>
      <c r="H10" s="1757"/>
      <c r="I10" s="1373"/>
    </row>
    <row r="11" spans="1:12" ht="12.75">
      <c r="A11" s="3571"/>
      <c r="B11" s="3626"/>
      <c r="C11" s="3630"/>
      <c r="D11" s="3617"/>
      <c r="E11" s="131" t="s">
        <v>1275</v>
      </c>
      <c r="F11" s="1757"/>
      <c r="G11" s="1757"/>
      <c r="H11" s="1757"/>
      <c r="I11" s="1373"/>
    </row>
    <row r="12" spans="1:12" ht="12.75">
      <c r="A12" s="3571" t="s">
        <v>1276</v>
      </c>
      <c r="B12" s="3626">
        <v>15</v>
      </c>
      <c r="C12" s="3629"/>
      <c r="D12" s="3617"/>
      <c r="E12" s="131" t="s">
        <v>1277</v>
      </c>
      <c r="F12" s="1757"/>
      <c r="G12" s="1757"/>
      <c r="H12" s="1757"/>
      <c r="I12" s="1373"/>
    </row>
    <row r="13" spans="1:12" ht="12.75">
      <c r="A13" s="3571"/>
      <c r="B13" s="3626"/>
      <c r="C13" s="3630"/>
      <c r="D13" s="3617"/>
      <c r="E13" s="131" t="s">
        <v>1278</v>
      </c>
      <c r="F13" s="1757"/>
      <c r="G13" s="1757"/>
      <c r="H13" s="1757"/>
      <c r="I13" s="1373"/>
    </row>
    <row r="14" spans="1:12" ht="12.75">
      <c r="A14" s="3571" t="s">
        <v>1279</v>
      </c>
      <c r="B14" s="3626">
        <v>30</v>
      </c>
      <c r="C14" s="3629">
        <v>5</v>
      </c>
      <c r="D14" s="3617">
        <v>5</v>
      </c>
      <c r="E14" s="131" t="s">
        <v>1280</v>
      </c>
      <c r="F14" s="1757"/>
      <c r="G14" s="1757"/>
      <c r="H14" s="1757"/>
      <c r="I14" s="1373"/>
    </row>
    <row r="15" spans="1:12" ht="12.75">
      <c r="A15" s="3571"/>
      <c r="B15" s="3626"/>
      <c r="C15" s="3631"/>
      <c r="D15" s="3617"/>
      <c r="E15" s="131" t="s">
        <v>1281</v>
      </c>
      <c r="F15" s="1757"/>
      <c r="G15" s="1757"/>
      <c r="H15" s="1757"/>
      <c r="I15" s="1373"/>
    </row>
    <row r="16" spans="1:12" ht="12.75">
      <c r="A16" s="3571"/>
      <c r="B16" s="3626"/>
      <c r="C16" s="3630"/>
      <c r="D16" s="3617"/>
      <c r="E16" s="131" t="s">
        <v>1282</v>
      </c>
      <c r="F16" s="1757"/>
      <c r="G16" s="1757"/>
      <c r="H16" s="1757"/>
      <c r="I16" s="1373"/>
    </row>
    <row r="17" spans="1:36" ht="15">
      <c r="A17" s="1758" t="s">
        <v>1283</v>
      </c>
      <c r="B17" s="56"/>
      <c r="C17" s="132">
        <f>SUM(C5:C16)</f>
        <v>5</v>
      </c>
      <c r="D17" s="132">
        <f>SUM(D5:D16)</f>
        <v>5</v>
      </c>
      <c r="E17" s="129"/>
      <c r="F17" s="129"/>
      <c r="G17" s="129"/>
      <c r="H17" s="129"/>
      <c r="I17" s="129"/>
      <c r="K17" s="302"/>
      <c r="L17" s="302" t="s">
        <v>1284</v>
      </c>
      <c r="M17" s="302" t="s">
        <v>1285</v>
      </c>
    </row>
    <row r="18" spans="1:36" ht="31.9" customHeight="1" thickBot="1">
      <c r="A18" s="1759" t="s">
        <v>1286</v>
      </c>
      <c r="B18" s="1760"/>
      <c r="C18" s="133">
        <f>ROUND(C17/SUM(C17:D17),2)</f>
        <v>0.5</v>
      </c>
      <c r="D18" s="133">
        <f>1-C18</f>
        <v>0.5</v>
      </c>
      <c r="E18" s="3648" t="s">
        <v>2127</v>
      </c>
      <c r="F18" s="3649"/>
      <c r="G18" s="3649"/>
      <c r="H18" s="3649"/>
      <c r="I18" s="3649"/>
      <c r="K18" s="302" t="s">
        <v>1287</v>
      </c>
      <c r="L18" s="302">
        <f>IF(C1="",'数据-汇总表'!E3,SUMIF(项目类型,C1,'数据-汇总表'!E17:E26)+SUMIF(项目类型,C1,'数据-汇总表'!I17:I26))</f>
        <v>8390.83</v>
      </c>
      <c r="M18" s="302">
        <f>IF(C1="",'数据-汇总表'!E3,SUMIF(项目类型,C1,'数据-汇总表'!E17:E26))</f>
        <v>8390.83</v>
      </c>
    </row>
    <row r="19" spans="1:36" ht="15">
      <c r="A19" s="1761" t="s">
        <v>1288</v>
      </c>
      <c r="B19" s="1762" t="s">
        <v>1289</v>
      </c>
      <c r="C19" s="134">
        <f ca="1">SUMIF(INDIRECT("'"&amp;C4&amp;"'"&amp;"!A:A"),结果表!B19,INDIRECT("'"&amp;C4&amp;"'"&amp;"!B:B"))</f>
        <v>2654</v>
      </c>
      <c r="D19" s="135">
        <f ca="1">SUMIF(INDIRECT("'"&amp;D4&amp;"'"&amp;"!A:A"),结果表!B19,INDIRECT("'"&amp;D4&amp;"'"&amp;"!B:B"))</f>
        <v>2728</v>
      </c>
      <c r="E19" s="1761" t="s">
        <v>1290</v>
      </c>
      <c r="F19" s="1762" t="s">
        <v>1289</v>
      </c>
      <c r="G19" s="136">
        <f ca="1">ROUND(C19*$C$18+D19*$D$18,0)</f>
        <v>2691</v>
      </c>
      <c r="H19" s="1763" t="s">
        <v>1291</v>
      </c>
      <c r="I19" s="129"/>
      <c r="K19" s="302" t="s">
        <v>1292</v>
      </c>
      <c r="L19" s="302">
        <f>IF(C1="",'数据-汇总表'!D3,SUMIF(项目类型,C1,'数据-汇总表'!D17:D26)+SUMIF(项目类型,C1,'数据-汇总表'!H17:H27))</f>
        <v>5753.84</v>
      </c>
      <c r="M19" s="302">
        <f>IF(C1="",'数据-汇总表'!D3,SUMIF(项目类型,C1,'数据-汇总表'!D17:D26))</f>
        <v>5753.84</v>
      </c>
    </row>
    <row r="20" spans="1:36" ht="15">
      <c r="A20" s="1764"/>
      <c r="B20" s="1026" t="s">
        <v>1293</v>
      </c>
      <c r="C20" s="137">
        <f ca="1">SUMIF(INDIRECT("'"&amp;C4&amp;"'"&amp;"!A:A"),结果表!B20,INDIRECT("'"&amp;C4&amp;"'"&amp;"!B:B"))</f>
        <v>3163</v>
      </c>
      <c r="D20" s="138">
        <f ca="1">SUMIF(INDIRECT("'"&amp;D4&amp;"'"&amp;"!A:A"),结果表!B20,INDIRECT("'"&amp;D4&amp;"'"&amp;"!B:B"))</f>
        <v>3251</v>
      </c>
      <c r="E20" s="1764"/>
      <c r="F20" s="1026" t="s">
        <v>1293</v>
      </c>
      <c r="G20" s="139">
        <f ca="1">ROUND(C20*$C$18+D20*$D$18,0)</f>
        <v>3207</v>
      </c>
      <c r="H20" s="808" t="s">
        <v>1294</v>
      </c>
      <c r="I20" s="129"/>
    </row>
    <row r="21" spans="1:36" ht="15" customHeight="1" thickBot="1">
      <c r="A21" s="828"/>
      <c r="B21" s="1765" t="s">
        <v>1295</v>
      </c>
      <c r="C21" s="719">
        <f ca="1">ROUND(C19*10000/L19,0)</f>
        <v>4613</v>
      </c>
      <c r="D21" s="720">
        <f ca="1">ROUND(D19*10000/L19,0)</f>
        <v>4741</v>
      </c>
      <c r="E21" s="828"/>
      <c r="F21" s="1765" t="s">
        <v>1295</v>
      </c>
      <c r="G21" s="140">
        <f ca="1">ROUND(G19*10000/L19,0)</f>
        <v>4677</v>
      </c>
      <c r="H21" s="1766" t="s">
        <v>1294</v>
      </c>
      <c r="I21" s="129"/>
    </row>
    <row r="22" spans="1:36" ht="15" thickBot="1">
      <c r="A22" s="1688" t="s">
        <v>1296</v>
      </c>
      <c r="B22" s="1767"/>
      <c r="C22" s="1768"/>
      <c r="D22" s="721">
        <f ca="1">IF(C19&lt;D19,D19/C19-1,C19/D19-1)</f>
        <v>2.7882441597588459E-2</v>
      </c>
      <c r="E22" s="129"/>
      <c r="F22" s="129"/>
      <c r="G22" s="129"/>
      <c r="H22" s="129"/>
      <c r="I22" s="129"/>
    </row>
    <row r="23" spans="1:36" ht="13.5" thickBot="1">
      <c r="A23" s="1747"/>
      <c r="B23" s="1747"/>
      <c r="C23" s="1747"/>
      <c r="D23" s="1747"/>
      <c r="E23" s="129"/>
      <c r="F23" s="129"/>
      <c r="G23" s="129"/>
      <c r="H23" s="129"/>
      <c r="I23" s="129"/>
    </row>
    <row r="24" spans="1:36" ht="14.25">
      <c r="A24" s="3641" t="s">
        <v>1297</v>
      </c>
      <c r="B24" s="1762" t="s">
        <v>1289</v>
      </c>
      <c r="C24" s="136">
        <f>IF(B30=0,0,D30)</f>
        <v>0</v>
      </c>
      <c r="D24" s="1769"/>
      <c r="E24" s="129"/>
      <c r="F24" s="129"/>
      <c r="G24" s="129"/>
      <c r="H24" s="129"/>
      <c r="I24" s="129"/>
    </row>
    <row r="25" spans="1:36" ht="14.25">
      <c r="A25" s="3642"/>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2128</v>
      </c>
      <c r="F30" s="129"/>
      <c r="G30" s="129"/>
      <c r="H30" s="129"/>
      <c r="I30" s="129"/>
    </row>
    <row r="31" spans="1:36" s="2309" customFormat="1" ht="26.45" customHeight="1" thickTop="1" thickBot="1">
      <c r="A31" s="2304"/>
      <c r="B31" s="2305"/>
      <c r="C31" s="2305"/>
      <c r="D31" s="2305"/>
      <c r="E31" s="2305"/>
      <c r="F31" s="2305"/>
      <c r="G31" s="2305"/>
      <c r="H31" s="2305"/>
      <c r="I31" s="2306" t="s">
        <v>2129</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3207</v>
      </c>
      <c r="D32" s="1775" t="s">
        <v>3511</v>
      </c>
      <c r="E32" s="129"/>
      <c r="F32" s="129"/>
      <c r="G32" s="129"/>
      <c r="H32" s="129"/>
      <c r="I32" s="129"/>
      <c r="J32" s="3465"/>
      <c r="K32" s="3465" t="s">
        <v>3516</v>
      </c>
      <c r="L32" s="3465" t="s">
        <v>3518</v>
      </c>
      <c r="M32" s="3465" t="s">
        <v>3517</v>
      </c>
      <c r="N32" s="3465" t="s">
        <v>3519</v>
      </c>
      <c r="O32" s="3465" t="s">
        <v>3520</v>
      </c>
      <c r="P32" s="3465" t="s">
        <v>3521</v>
      </c>
    </row>
    <row r="33" spans="1:16" ht="15">
      <c r="A33" s="786" t="s">
        <v>1304</v>
      </c>
      <c r="B33" s="1776"/>
      <c r="C33" s="1777" t="s">
        <v>3497</v>
      </c>
      <c r="D33" s="1778" t="s">
        <v>3491</v>
      </c>
      <c r="E33" s="1779" t="s">
        <v>1305</v>
      </c>
      <c r="F33" s="1780" t="str">
        <f>IF(D32="楼面单价","取值（单价）","取值（总价）")</f>
        <v>取值（单价）</v>
      </c>
      <c r="G33" s="2544"/>
      <c r="H33" s="2544" t="s">
        <v>3501</v>
      </c>
      <c r="I33" s="3455" t="s">
        <v>3504</v>
      </c>
      <c r="J33" s="3465" t="s">
        <v>3515</v>
      </c>
      <c r="K33" s="3465">
        <f ca="1">D118</f>
        <v>613</v>
      </c>
      <c r="L33" s="3465">
        <f ca="1">E118</f>
        <v>731</v>
      </c>
      <c r="M33" s="3465">
        <f ca="1">F118</f>
        <v>2078</v>
      </c>
      <c r="N33" s="3465">
        <f ca="1">G118</f>
        <v>2476</v>
      </c>
      <c r="O33" s="3465">
        <f ca="1">G19</f>
        <v>2691</v>
      </c>
      <c r="P33" s="3465">
        <f ca="1">I118</f>
        <v>3207</v>
      </c>
    </row>
    <row r="34" spans="1:16" ht="15">
      <c r="A34" s="1781"/>
      <c r="B34" s="1782" t="s">
        <v>1306</v>
      </c>
      <c r="C34" s="148">
        <f ca="1">IF(C33="自定义",F34,C32-C35)</f>
        <v>731</v>
      </c>
      <c r="D34" s="861">
        <f ca="1">IF(C33="自定义",ROUND(C34/C32,3),IF(C33="收益比率",SUMIF(INDIRECT("'"&amp;D33&amp;"'"&amp;"!b:b"),"土地收益比率",INDIRECT("'"&amp;D33&amp;"'"&amp;"!c:c")),SUMIF(INDIRECT("'"&amp;D33&amp;"'"&amp;"!b:b"),"土地成本比率",INDIRECT("'"&amp;D33&amp;"'"&amp;"!c:c"))))</f>
        <v>0.22799999999999998</v>
      </c>
      <c r="E34" s="1783" t="s">
        <v>1307</v>
      </c>
      <c r="F34" s="1330"/>
      <c r="G34" s="3455" t="s">
        <v>3502</v>
      </c>
      <c r="H34" s="2544">
        <f ca="1">ROUND(典型户型修正!S25*结果表!D34,0)</f>
        <v>685</v>
      </c>
      <c r="I34" s="2544">
        <f ca="1">ROUND(H34/'数据-基础表'!I15*10000,0)</f>
        <v>727</v>
      </c>
      <c r="J34" s="3465" t="s">
        <v>3522</v>
      </c>
      <c r="K34" s="3465">
        <f ca="1">ROUND(L34*'数据-基础表'!I17/10000,0)</f>
        <v>685</v>
      </c>
      <c r="L34" s="3465">
        <f ca="1">L33</f>
        <v>731</v>
      </c>
      <c r="M34" s="3465">
        <f ca="1">ROUND(N34*'数据-基础表'!I17/10000,0)</f>
        <v>2319</v>
      </c>
      <c r="N34" s="3465">
        <f ca="1">N33</f>
        <v>2476</v>
      </c>
      <c r="O34" s="3465">
        <f ca="1">ROUND(P34*'数据-基础表'!I17/10000,0)</f>
        <v>3003</v>
      </c>
      <c r="P34" s="3465">
        <f ca="1">P33</f>
        <v>3207</v>
      </c>
    </row>
    <row r="35" spans="1:16" ht="15.75" thickBot="1">
      <c r="A35" s="1784"/>
      <c r="B35" s="1785" t="s">
        <v>1308</v>
      </c>
      <c r="C35" s="1170">
        <f ca="1">IF(C33="自定义",F35,ROUND(C32*D35,0))</f>
        <v>2476</v>
      </c>
      <c r="D35" s="1171">
        <f ca="1">IF(C33="自定义",ROUND(C35/C32,3),IF(C33="收益比率",SUMIF(INDIRECT("'"&amp;D33&amp;"'"&amp;"!b:b"),"建筑物收益比率",INDIRECT("'"&amp;D33&amp;"'"&amp;"!c:c")),SUMIF(INDIRECT("'"&amp;D33&amp;"'"&amp;"!b:b"),"建筑物成本比率",INDIRECT("'"&amp;D33&amp;"'"&amp;"!c:c"))))</f>
        <v>0.77200000000000002</v>
      </c>
      <c r="E35" s="1786" t="s">
        <v>1309</v>
      </c>
      <c r="F35" s="154"/>
      <c r="G35" s="3455" t="s">
        <v>3503</v>
      </c>
      <c r="H35" s="2544">
        <f ca="1">ROUND(典型户型修正!S25*结果表!D35,0)</f>
        <v>2318</v>
      </c>
      <c r="I35" s="2544">
        <f ca="1">G20-I34</f>
        <v>2480</v>
      </c>
      <c r="J35" s="3465" t="s">
        <v>3525</v>
      </c>
      <c r="K35" s="3465" t="e">
        <f>#REF!</f>
        <v>#REF!</v>
      </c>
      <c r="L35" s="3465" t="e">
        <f>#REF!</f>
        <v>#REF!</v>
      </c>
      <c r="M35" s="3465" t="e">
        <f>#REF!</f>
        <v>#REF!</v>
      </c>
      <c r="N35" s="3465" t="e">
        <f>#REF!</f>
        <v>#REF!</v>
      </c>
      <c r="O35" s="3465" t="e">
        <f>#REF!</f>
        <v>#REF!</v>
      </c>
      <c r="P35" s="3465" t="e">
        <f>#REF!</f>
        <v>#REF!</v>
      </c>
    </row>
    <row r="36" spans="1:16" ht="15.75" thickBot="1">
      <c r="A36" s="3618" t="s">
        <v>1310</v>
      </c>
      <c r="B36" s="1787" t="s">
        <v>1311</v>
      </c>
      <c r="C36" s="145"/>
      <c r="D36" s="1788"/>
      <c r="E36" s="1789"/>
      <c r="F36" s="1790"/>
      <c r="G36" s="129"/>
      <c r="H36" s="129"/>
      <c r="I36" s="129"/>
      <c r="J36" s="3464" t="s">
        <v>3526</v>
      </c>
      <c r="K36" s="2543" t="e">
        <f ca="1">SUM(K33:K35)</f>
        <v>#REF!</v>
      </c>
      <c r="L36" s="2543"/>
      <c r="M36" s="2543" t="e">
        <f ca="1">SUM(M33:M35)</f>
        <v>#REF!</v>
      </c>
      <c r="N36" s="2543"/>
      <c r="O36" s="2543" t="e">
        <f ca="1">SUM(O33:O35)</f>
        <v>#REF!</v>
      </c>
      <c r="P36" s="2543"/>
    </row>
    <row r="37" spans="1:16" ht="15.75" thickBot="1">
      <c r="A37" s="3619"/>
      <c r="B37" s="1674" t="s">
        <v>1312</v>
      </c>
      <c r="C37" s="147"/>
      <c r="D37" s="1139"/>
      <c r="E37" s="1139"/>
      <c r="F37" s="1790"/>
      <c r="G37" s="129"/>
      <c r="H37" s="129"/>
      <c r="I37" s="129"/>
      <c r="J37" s="2543"/>
      <c r="K37" s="2543"/>
      <c r="L37" s="3464" t="s">
        <v>3523</v>
      </c>
      <c r="M37" s="2543"/>
      <c r="N37" s="2543"/>
      <c r="O37" s="2543"/>
      <c r="P37" s="2543"/>
    </row>
    <row r="38" spans="1:16" ht="15.75" thickBot="1">
      <c r="A38" s="3620"/>
      <c r="B38" s="1791" t="s">
        <v>1313</v>
      </c>
      <c r="C38" s="674"/>
      <c r="D38" s="1792" t="s">
        <v>1314</v>
      </c>
      <c r="E38" s="1139"/>
      <c r="F38" s="1790"/>
      <c r="G38" s="129"/>
      <c r="H38" s="129"/>
      <c r="I38" s="129"/>
      <c r="J38" s="3464" t="s">
        <v>3515</v>
      </c>
      <c r="K38" s="2543">
        <f ca="1">ROUND(L38*'数据-汇总表'!E3/10000,0)</f>
        <v>414</v>
      </c>
      <c r="L38" s="2543">
        <f ca="1">ROUND(L33*成本法!C6/成本法!C31,0)</f>
        <v>493</v>
      </c>
      <c r="M38" s="2543">
        <f ca="1">ROUND(N38*'数据-汇总表'!E3/10000,0)</f>
        <v>2277</v>
      </c>
      <c r="N38" s="2543">
        <f ca="1">P38-L38</f>
        <v>2714</v>
      </c>
      <c r="O38" s="2543">
        <f ca="1">ROUND(P38*'数据-汇总表'!E3/10000,0)</f>
        <v>2691</v>
      </c>
      <c r="P38" s="2543">
        <f ca="1">G20</f>
        <v>3207</v>
      </c>
    </row>
    <row r="39" spans="1:16" ht="15">
      <c r="A39" s="1764" t="s">
        <v>1315</v>
      </c>
      <c r="B39" s="1793" t="s">
        <v>1316</v>
      </c>
      <c r="C39" s="1794" t="s">
        <v>1317</v>
      </c>
      <c r="D39" s="1794" t="s">
        <v>1318</v>
      </c>
      <c r="E39" s="1795" t="s">
        <v>1319</v>
      </c>
      <c r="F39" s="1790"/>
      <c r="G39" s="129"/>
      <c r="H39" s="129"/>
      <c r="I39" s="129"/>
      <c r="J39" s="2543" t="s">
        <v>3522</v>
      </c>
      <c r="K39" s="2543">
        <f ca="1">ROUND(L39*'数据-基础表'!I17/10000,0)</f>
        <v>462</v>
      </c>
      <c r="L39" s="2543">
        <f ca="1">L38</f>
        <v>493</v>
      </c>
      <c r="M39" s="2543">
        <f ca="1">ROUND(N39*'数据-基础表'!I17/10000,0)</f>
        <v>2541</v>
      </c>
      <c r="N39" s="2543">
        <f ca="1">P39-L39</f>
        <v>2714</v>
      </c>
      <c r="O39" s="2543">
        <f ca="1">ROUND(P39*'数据-基础表'!I17/10000,0)</f>
        <v>3003</v>
      </c>
      <c r="P39" s="2543">
        <f ca="1">G20</f>
        <v>3207</v>
      </c>
    </row>
    <row r="40" spans="1:16" ht="14.25">
      <c r="A40" s="1796" t="s">
        <v>1320</v>
      </c>
      <c r="B40" s="149"/>
      <c r="C40" s="150"/>
      <c r="D40" s="150"/>
      <c r="E40" s="151"/>
      <c r="F40" s="1790"/>
      <c r="G40" s="129"/>
      <c r="H40" s="129"/>
      <c r="I40" s="129"/>
      <c r="J40" s="3464" t="s">
        <v>3524</v>
      </c>
      <c r="K40" s="2543" t="e">
        <f>ROUND(L40*20903.64/10000,0)</f>
        <v>#REF!</v>
      </c>
      <c r="L40" s="2543" t="e">
        <f>ROUND(L35*[4]成本法!$C$6/[4]成本法!$C$31,0)</f>
        <v>#REF!</v>
      </c>
      <c r="M40" s="2543" t="e">
        <f>ROUND(N40*20903.64/10000,0)</f>
        <v>#REF!</v>
      </c>
      <c r="N40" s="2543" t="e">
        <f>P40-L40</f>
        <v>#REF!</v>
      </c>
      <c r="O40" s="2543" t="e">
        <f>ROUND(P40*20903.64/10000,0)</f>
        <v>#REF!</v>
      </c>
      <c r="P40" s="2543" t="e">
        <f>P35</f>
        <v>#REF!</v>
      </c>
    </row>
    <row r="41" spans="1:16" ht="14.25">
      <c r="A41" s="1796" t="s">
        <v>1321</v>
      </c>
      <c r="B41" s="149"/>
      <c r="C41" s="150"/>
      <c r="D41" s="150"/>
      <c r="E41" s="151"/>
      <c r="F41" s="1790"/>
      <c r="G41" s="129"/>
      <c r="H41" s="129"/>
      <c r="I41" s="129"/>
      <c r="J41" s="2543"/>
    </row>
    <row r="42" spans="1:16" ht="15" thickBot="1">
      <c r="A42" s="1797"/>
      <c r="B42" s="152"/>
      <c r="C42" s="153"/>
      <c r="D42" s="153"/>
      <c r="E42" s="154"/>
      <c r="F42" s="1790"/>
      <c r="G42" s="129"/>
      <c r="H42" s="129"/>
      <c r="I42" s="129"/>
    </row>
    <row r="43" spans="1:16" ht="12.75">
      <c r="A43" s="1577"/>
      <c r="B43" s="1577"/>
      <c r="C43" s="1577"/>
      <c r="D43" s="1577"/>
      <c r="E43" s="1577"/>
      <c r="F43" s="1798"/>
      <c r="G43" s="1798"/>
      <c r="H43" s="1798"/>
      <c r="I43" s="1799"/>
    </row>
    <row r="44" spans="1:16" ht="18.75">
      <c r="A44" s="1800" t="s">
        <v>1322</v>
      </c>
      <c r="B44" s="1801"/>
      <c r="C44" s="1801"/>
      <c r="D44" s="1802"/>
      <c r="E44" s="1802"/>
      <c r="F44" s="1803"/>
      <c r="G44" s="1803"/>
      <c r="H44" s="1803"/>
      <c r="I44" s="1803"/>
      <c r="J44" s="1804" t="s">
        <v>1323</v>
      </c>
      <c r="K44" s="1805"/>
      <c r="L44" s="1805"/>
      <c r="M44" s="1805"/>
      <c r="N44" s="1805"/>
      <c r="O44" s="1805"/>
    </row>
    <row r="45" spans="1:16" ht="14.25" customHeight="1" thickBot="1">
      <c r="A45" s="3638" t="s">
        <v>1324</v>
      </c>
      <c r="B45" s="3639"/>
      <c r="C45" s="3640"/>
      <c r="D45" s="155">
        <f ca="1">ROUND(H101*F45,0)</f>
        <v>2691</v>
      </c>
      <c r="E45" s="156" t="s">
        <v>1325</v>
      </c>
      <c r="F45" s="157">
        <v>1</v>
      </c>
      <c r="G45" s="158" t="s">
        <v>1326</v>
      </c>
      <c r="H45" s="129"/>
      <c r="I45" s="129"/>
      <c r="J45" s="3558" t="s">
        <v>1327</v>
      </c>
      <c r="K45" s="3558"/>
      <c r="L45" s="3558"/>
      <c r="M45" s="3558"/>
      <c r="N45" s="3558"/>
      <c r="O45" s="3558"/>
    </row>
    <row r="46" spans="1:16" ht="14.25" customHeight="1">
      <c r="A46" s="3635" t="s">
        <v>1328</v>
      </c>
      <c r="B46" s="3636"/>
      <c r="C46" s="3636"/>
      <c r="D46" s="3636"/>
      <c r="E46" s="3636"/>
      <c r="F46" s="3636"/>
      <c r="G46" s="3637"/>
      <c r="H46" s="1806"/>
      <c r="I46" s="159"/>
      <c r="J46" s="2523">
        <v>1</v>
      </c>
      <c r="K46" s="3559" t="s">
        <v>1329</v>
      </c>
      <c r="L46" s="3559"/>
      <c r="M46" s="3560"/>
      <c r="N46" s="3560"/>
      <c r="O46" s="3560"/>
    </row>
    <row r="47" spans="1:16" ht="12" customHeight="1">
      <c r="A47" s="160" t="s">
        <v>1330</v>
      </c>
      <c r="B47" s="161"/>
      <c r="C47" s="162"/>
      <c r="D47" s="1087" t="s">
        <v>1331</v>
      </c>
      <c r="E47" s="302" t="s">
        <v>1332</v>
      </c>
      <c r="F47" s="163" t="s">
        <v>1333</v>
      </c>
      <c r="G47" s="2546" t="s">
        <v>1334</v>
      </c>
      <c r="H47" s="2547"/>
      <c r="I47" s="159"/>
      <c r="J47" s="2523">
        <v>2</v>
      </c>
      <c r="K47" s="3559" t="s">
        <v>1335</v>
      </c>
      <c r="L47" s="3559"/>
      <c r="M47" s="3561">
        <f>'数据-取费表'!B2</f>
        <v>45131</v>
      </c>
      <c r="N47" s="3561"/>
      <c r="O47" s="3561"/>
    </row>
    <row r="48" spans="1:16" ht="25.5">
      <c r="A48" s="3621" t="s">
        <v>1336</v>
      </c>
      <c r="B48" s="3622"/>
      <c r="C48" s="3622"/>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1337</v>
      </c>
      <c r="H48" s="2550"/>
      <c r="I48" s="1806"/>
      <c r="J48" s="2523">
        <v>3</v>
      </c>
      <c r="K48" s="3559" t="s">
        <v>1338</v>
      </c>
      <c r="L48" s="3559"/>
      <c r="M48" s="3562">
        <f ca="1">H101</f>
        <v>2691</v>
      </c>
      <c r="N48" s="3562"/>
      <c r="O48" s="3562"/>
    </row>
    <row r="49" spans="1:35" ht="25.5" customHeight="1">
      <c r="A49" s="2333" t="s">
        <v>1339</v>
      </c>
      <c r="B49" s="3607" t="s">
        <v>1340</v>
      </c>
      <c r="C49" s="3607"/>
      <c r="D49" s="1590">
        <v>0</v>
      </c>
      <c r="E49" s="324" t="s">
        <v>1341</v>
      </c>
      <c r="F49" s="2424" t="s">
        <v>28</v>
      </c>
      <c r="G49" s="3590"/>
      <c r="H49" s="2310" t="s">
        <v>2130</v>
      </c>
      <c r="I49" s="2311"/>
      <c r="J49" s="2523">
        <v>4</v>
      </c>
      <c r="K49" s="3559" t="str">
        <f>IF(项目基本情况!E8="房地产抵押价值","房地产抵押价值","抵押担保权已注销时的房地产抵押价值")</f>
        <v>房地产抵押价值</v>
      </c>
      <c r="L49" s="3559"/>
      <c r="M49" s="3562">
        <f ca="1">IF(项目基本情况!E8="房地产抵押价值",H107,H109)</f>
        <v>2691</v>
      </c>
      <c r="N49" s="3562"/>
      <c r="O49" s="3562"/>
    </row>
    <row r="50" spans="1:35" ht="25.5" customHeight="1">
      <c r="A50" s="2551"/>
      <c r="B50" s="3607" t="s">
        <v>1342</v>
      </c>
      <c r="C50" s="3607"/>
      <c r="D50" s="2552"/>
      <c r="E50" s="332"/>
      <c r="F50" s="2424"/>
      <c r="G50" s="3591"/>
      <c r="H50" s="2312" t="s">
        <v>2131</v>
      </c>
      <c r="I50" s="2311"/>
      <c r="J50" s="3558" t="s">
        <v>1343</v>
      </c>
      <c r="K50" s="3558"/>
      <c r="L50" s="3558"/>
      <c r="M50" s="3558"/>
      <c r="N50" s="3558"/>
      <c r="O50" s="3558"/>
    </row>
    <row r="51" spans="1:35" ht="20.45" customHeight="1">
      <c r="A51" s="2553"/>
      <c r="B51" s="3607" t="s">
        <v>1344</v>
      </c>
      <c r="C51" s="3607"/>
      <c r="D51" s="1087"/>
      <c r="E51" s="327"/>
      <c r="F51" s="2424"/>
      <c r="G51" s="3592"/>
      <c r="H51" s="2312" t="s">
        <v>2132</v>
      </c>
      <c r="I51" s="2311"/>
      <c r="J51" s="2524" t="s">
        <v>1345</v>
      </c>
      <c r="K51" s="3559" t="s">
        <v>1346</v>
      </c>
      <c r="L51" s="3559"/>
      <c r="M51" s="2524" t="s">
        <v>1347</v>
      </c>
      <c r="N51" s="2524" t="s">
        <v>1348</v>
      </c>
      <c r="O51" s="2524" t="s">
        <v>1349</v>
      </c>
    </row>
    <row r="52" spans="1:35" ht="24" customHeight="1">
      <c r="A52" s="2335" t="s">
        <v>1350</v>
      </c>
      <c r="B52" s="3607" t="s">
        <v>1351</v>
      </c>
      <c r="C52" s="3607"/>
      <c r="D52" s="1087">
        <f ca="1">ROUND(D45*'数据-取费表'!B41/(1+'数据-取费表'!C42),0)</f>
        <v>141</v>
      </c>
      <c r="E52" s="2334" t="s">
        <v>1352</v>
      </c>
      <c r="F52" s="2554">
        <f>'数据-取费表'!B41</f>
        <v>5.5000000000000007E-2</v>
      </c>
      <c r="G52" s="2555"/>
      <c r="H52" s="2544"/>
      <c r="I52" s="1807"/>
      <c r="J52" s="2523">
        <v>1</v>
      </c>
      <c r="K52" s="3584" t="s">
        <v>1353</v>
      </c>
      <c r="L52" s="3584"/>
      <c r="M52" s="2525" t="b">
        <f>D48</f>
        <v>0</v>
      </c>
      <c r="N52" s="2523" t="str">
        <f>E48</f>
        <v>销售额×税（费）率</v>
      </c>
      <c r="O52" s="2526">
        <f>F48</f>
        <v>5.5000000000000007E-2</v>
      </c>
    </row>
    <row r="53" spans="1:35" ht="12" customHeight="1">
      <c r="A53" s="2335" t="s">
        <v>1354</v>
      </c>
      <c r="B53" s="3608" t="s">
        <v>2285</v>
      </c>
      <c r="C53" s="3609"/>
      <c r="D53" s="1087">
        <f ca="1">ROUND(D45*'数据-取费表'!B41/(1+'数据-取费表'!C42),0)</f>
        <v>141</v>
      </c>
      <c r="E53" s="2334" t="s">
        <v>1352</v>
      </c>
      <c r="F53" s="2554">
        <f>'数据-取费表'!B41</f>
        <v>5.5000000000000007E-2</v>
      </c>
      <c r="G53" s="2555"/>
      <c r="H53" s="2544"/>
      <c r="I53" s="1807"/>
      <c r="J53" s="2523">
        <v>2</v>
      </c>
      <c r="K53" s="3584" t="s">
        <v>1355</v>
      </c>
      <c r="L53" s="3584"/>
      <c r="M53" s="2525">
        <f t="shared" ref="M53:O54" ca="1" si="0">D55</f>
        <v>1</v>
      </c>
      <c r="N53" s="2523" t="str">
        <f t="shared" si="0"/>
        <v>销售额×税（费）率</v>
      </c>
      <c r="O53" s="2526" t="str">
        <f t="shared" si="0"/>
        <v>免征</v>
      </c>
    </row>
    <row r="54" spans="1:35" ht="12" customHeight="1">
      <c r="A54" s="2335" t="s">
        <v>1356</v>
      </c>
      <c r="B54" s="3608" t="s">
        <v>2286</v>
      </c>
      <c r="C54" s="3609"/>
      <c r="D54" s="1087">
        <f ca="1">C68</f>
        <v>141</v>
      </c>
      <c r="E54" s="327" t="s">
        <v>1357</v>
      </c>
      <c r="F54" s="2554">
        <f>'数据-取费表'!B41</f>
        <v>5.5000000000000007E-2</v>
      </c>
      <c r="G54" s="2555"/>
      <c r="H54" s="2556"/>
      <c r="I54" s="1807"/>
      <c r="J54" s="2523">
        <v>3</v>
      </c>
      <c r="K54" s="3584" t="s">
        <v>1358</v>
      </c>
      <c r="L54" s="3584"/>
      <c r="M54" s="2525">
        <f t="shared" ca="1" si="0"/>
        <v>1525</v>
      </c>
      <c r="N54" s="2523" t="str">
        <f t="shared" si="0"/>
        <v>增值额×税（费）率</v>
      </c>
      <c r="O54" s="2527" t="str">
        <f t="shared" si="0"/>
        <v>免征</v>
      </c>
    </row>
    <row r="55" spans="1:35" ht="24" customHeight="1">
      <c r="A55" s="3644" t="s">
        <v>1359</v>
      </c>
      <c r="B55" s="3622"/>
      <c r="C55" s="3622"/>
      <c r="D55" s="2324">
        <f ca="1">IF(H55="个人住宅",0,ROUND(D45*I55,0))</f>
        <v>1</v>
      </c>
      <c r="E55" s="2334" t="s">
        <v>1360</v>
      </c>
      <c r="F55" s="2554" t="str">
        <f>IF(H55="正常",I55,"免征")</f>
        <v>免征</v>
      </c>
      <c r="G55" s="2555"/>
      <c r="H55" s="2550"/>
      <c r="I55" s="165">
        <f>'数据-取费表'!B49</f>
        <v>5.0000000000000001E-4</v>
      </c>
      <c r="J55" s="2523">
        <f>IF(H59="非个人房产","",4)</f>
        <v>4</v>
      </c>
      <c r="K55" s="3584" t="str">
        <f>IF(H59="非个人房产","——","个人所得税")</f>
        <v>个人所得税</v>
      </c>
      <c r="L55" s="3584"/>
      <c r="M55" s="2528">
        <f ca="1">D59</f>
        <v>26</v>
      </c>
      <c r="N55" s="2040" t="str">
        <f>E59</f>
        <v>差额计税</v>
      </c>
      <c r="O55" s="2529">
        <f>F59</f>
        <v>0.01</v>
      </c>
    </row>
    <row r="56" spans="1:35" ht="24.75">
      <c r="A56" s="3644" t="s">
        <v>1361</v>
      </c>
      <c r="B56" s="3622"/>
      <c r="C56" s="3622"/>
      <c r="D56" s="2324">
        <f ca="1">IF(H56="个人住宅",D57,D58)</f>
        <v>1525</v>
      </c>
      <c r="E56" s="2334" t="s">
        <v>1362</v>
      </c>
      <c r="F56" s="2554" t="str">
        <f>IF(H56="正常",F58,"免征")</f>
        <v>免征</v>
      </c>
      <c r="G56" s="2557" t="s">
        <v>1363</v>
      </c>
      <c r="H56" s="2558"/>
      <c r="I56" s="1808"/>
      <c r="J56" s="2523" t="str">
        <f>IF(项目基本情况!K6="上海银行",IF(J55="",4,J55+1),"")</f>
        <v/>
      </c>
      <c r="K56" s="3565" t="str">
        <f>IF(项目基本情况!K6="上海银行","其他处置费用","")</f>
        <v/>
      </c>
      <c r="L56" s="3566"/>
      <c r="M56" s="2525" t="str">
        <f>IF(项目基本情况!K6="上海银行",M69,"")</f>
        <v/>
      </c>
      <c r="N56" s="3565" t="str">
        <f>IF(项目基本情况!K6="上海银行","包含处置中涉及的律师、诉讼、拍卖、评估等费用","")</f>
        <v/>
      </c>
      <c r="O56" s="3568"/>
    </row>
    <row r="57" spans="1:35" ht="12.75">
      <c r="A57" s="2335" t="s">
        <v>1339</v>
      </c>
      <c r="B57" s="3608" t="s">
        <v>1364</v>
      </c>
      <c r="C57" s="3609"/>
      <c r="D57" s="1590">
        <v>0</v>
      </c>
      <c r="E57" s="324" t="s">
        <v>1341</v>
      </c>
      <c r="F57" s="302"/>
      <c r="G57" s="2555"/>
      <c r="H57" s="2559"/>
      <c r="I57" s="1808"/>
      <c r="J57" s="3584">
        <f>IF(AND(J55="",J56=""),4,IF(项目基本情况!K6="上海银行",结果表!J56+1,结果表!J55+1))</f>
        <v>5</v>
      </c>
      <c r="K57" s="3584" t="s">
        <v>1365</v>
      </c>
      <c r="L57" s="2530" t="s">
        <v>1366</v>
      </c>
      <c r="M57" s="2531"/>
      <c r="N57" s="2532">
        <f ca="1">SUMIF(M52:M56,"&lt;9e307")</f>
        <v>1552</v>
      </c>
      <c r="O57" s="2533"/>
      <c r="P57" s="2689">
        <f ca="1">N57/M49</f>
        <v>0.57673727238944628</v>
      </c>
    </row>
    <row r="58" spans="1:35" ht="24.75">
      <c r="A58" s="2335" t="s">
        <v>1350</v>
      </c>
      <c r="B58" s="3608" t="s">
        <v>1367</v>
      </c>
      <c r="C58" s="3607"/>
      <c r="D58" s="2324">
        <f ca="1">IF(H58="转让取得",C81,C97)</f>
        <v>1525</v>
      </c>
      <c r="E58" s="2334" t="s">
        <v>1362</v>
      </c>
      <c r="F58" s="302" t="s">
        <v>28</v>
      </c>
      <c r="G58" s="2555"/>
      <c r="H58" s="2558"/>
      <c r="I58" s="1808"/>
      <c r="J58" s="3584"/>
      <c r="K58" s="3584"/>
      <c r="L58" s="2530" t="s">
        <v>1368</v>
      </c>
      <c r="M58" s="2534"/>
      <c r="N58" s="2535" t="str">
        <f ca="1">NUMBERSTRING(INT(N57*10000),2)&amp;"元整"</f>
        <v>壹仟伍佰伍拾贰万元整</v>
      </c>
      <c r="O58" s="2536"/>
    </row>
    <row r="59" spans="1:35" ht="24.75" thickBot="1">
      <c r="A59" s="3588" t="s">
        <v>1369</v>
      </c>
      <c r="B59" s="3589"/>
      <c r="C59" s="3589"/>
      <c r="D59" s="2560">
        <f ca="1">IF(H59="非个人房产","——",IF(H59="个人住宅（满五唯一有凭证）",0,IF(H59="个人其他（无凭证）",ROUND(D45*F59,0),ROUND(C67*F59,0))))</f>
        <v>26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1363</v>
      </c>
      <c r="H59" s="2314"/>
      <c r="I59" s="2313" t="s">
        <v>2133</v>
      </c>
      <c r="J59" s="3586">
        <f>J57+1</f>
        <v>6</v>
      </c>
      <c r="K59" s="3584" t="s">
        <v>1370</v>
      </c>
      <c r="L59" s="2523" t="s">
        <v>1366</v>
      </c>
      <c r="M59" s="2537"/>
      <c r="N59" s="2538">
        <f ca="1">M49-N57</f>
        <v>1139</v>
      </c>
      <c r="O59" s="2539"/>
    </row>
    <row r="60" spans="1:35" ht="12" customHeight="1">
      <c r="A60" s="1809"/>
      <c r="B60" s="1747"/>
      <c r="C60" s="1747"/>
      <c r="D60" s="1747"/>
      <c r="E60" s="1578"/>
      <c r="F60" s="1808"/>
      <c r="G60" s="1808"/>
      <c r="H60" s="1810"/>
      <c r="I60" s="129"/>
      <c r="J60" s="3587"/>
      <c r="K60" s="3584"/>
      <c r="L60" s="2530" t="s">
        <v>1368</v>
      </c>
      <c r="M60" s="2534"/>
      <c r="N60" s="2535" t="str">
        <f ca="1">NUMBERSTRING(INT(N59*10000),2)&amp;"元整"</f>
        <v>壹仟壹佰叁拾玖万元整</v>
      </c>
      <c r="O60" s="2536"/>
    </row>
    <row r="61" spans="1:35" ht="13.5" thickBot="1">
      <c r="A61" s="3643" t="s">
        <v>1371</v>
      </c>
      <c r="B61" s="3643"/>
      <c r="C61" s="3643"/>
      <c r="D61" s="3643"/>
      <c r="E61" s="3643"/>
      <c r="F61" s="1808"/>
      <c r="G61" s="1808"/>
      <c r="H61" s="1810"/>
      <c r="I61" s="129"/>
      <c r="J61" s="2523">
        <f>J59+1</f>
        <v>7</v>
      </c>
      <c r="K61" s="3584" t="s">
        <v>1372</v>
      </c>
      <c r="L61" s="3584"/>
      <c r="M61" s="2540"/>
      <c r="N61" s="2541">
        <f ca="1">ROUND(N59*10000/'数据-汇总表'!E3,0)</f>
        <v>1357</v>
      </c>
      <c r="O61" s="2542"/>
    </row>
    <row r="62" spans="1:35" ht="12.75">
      <c r="A62" s="3603" t="s">
        <v>1373</v>
      </c>
      <c r="B62" s="3604"/>
      <c r="C62" s="2021"/>
      <c r="D62" s="2021" t="s">
        <v>1374</v>
      </c>
      <c r="E62" s="166" t="s">
        <v>1375</v>
      </c>
      <c r="F62" s="1808"/>
      <c r="G62" s="1808"/>
      <c r="H62" s="1810"/>
      <c r="I62" s="129"/>
    </row>
    <row r="63" spans="1:35" ht="12.75">
      <c r="A63" s="173" t="s">
        <v>330</v>
      </c>
      <c r="B63" s="167" t="s">
        <v>1376</v>
      </c>
      <c r="C63" s="2564">
        <f ca="1">ROUND((C64+C65)/(1+'数据-取费表'!C42),0)</f>
        <v>2563</v>
      </c>
      <c r="D63" s="167"/>
      <c r="E63" s="168"/>
      <c r="F63" s="1808"/>
      <c r="G63" s="1808"/>
      <c r="H63" s="1810"/>
      <c r="I63" s="129"/>
      <c r="J63" s="3567" t="s">
        <v>1377</v>
      </c>
      <c r="K63" s="1332" t="s">
        <v>1378</v>
      </c>
      <c r="L63" s="1332">
        <f ca="1">IF(M49&gt;10000,M49*0.5%,IF(AND(M49&gt;1000,M49&lt;=10000),M49*1%,IF(AND(M49&gt;100,M49&lt;=1000),M49*3%,IF(AND(M49&gt;10,M49&lt;=100),M49*5%,M49*8%))))</f>
        <v>26.91</v>
      </c>
      <c r="M63" s="302">
        <f ca="1">ROUND(L63,1)</f>
        <v>26.9</v>
      </c>
      <c r="N63" s="2543"/>
      <c r="Z63" s="1752"/>
      <c r="AI63" s="1753"/>
    </row>
    <row r="64" spans="1:35" ht="14.25" customHeight="1">
      <c r="A64" s="169" t="s">
        <v>325</v>
      </c>
      <c r="B64" s="170" t="s">
        <v>1379</v>
      </c>
      <c r="C64" s="2565">
        <f ca="1">D45</f>
        <v>2691</v>
      </c>
      <c r="D64" s="170" t="s">
        <v>26</v>
      </c>
      <c r="E64" s="172"/>
      <c r="F64" s="1808"/>
      <c r="G64" s="1808"/>
      <c r="H64" s="1810"/>
      <c r="I64" s="129"/>
      <c r="J64" s="3567"/>
      <c r="K64" s="1332" t="s">
        <v>1380</v>
      </c>
      <c r="L64" s="1332">
        <f ca="1">IF(M49&gt;2000,M49*0.5%,IF(AND(M49&gt;1000,M49&lt;=2000),M49*0.6%,IF(AND(M49&gt;500,M49&lt;=1000),M49*0.7%,IF(AND(M49&gt;200,M49&lt;=500),M49*0.8%,IF(AND(M49&gt;100,M49&lt;=200),M49*0.9%,IF(AND(M49&gt;50,M49&lt;=100),M49*1%,IF(AND(M49&gt;20,M49&lt;=50),M49*1.5%,IF(AND(M49&gt;10,M49&lt;=20),M49*2%,IF(AND(M49&gt;1,M49&lt;=10),M49*2.5%)))))))))</f>
        <v>13.455</v>
      </c>
      <c r="M64" s="302">
        <f t="shared" ref="M64:M65" ca="1" si="1">ROUND(L64,1)</f>
        <v>13.5</v>
      </c>
      <c r="N64" s="2544" t="s">
        <v>1381</v>
      </c>
      <c r="Z64" s="1752"/>
      <c r="AI64" s="1753"/>
    </row>
    <row r="65" spans="1:35" ht="14.25" customHeight="1">
      <c r="A65" s="169" t="s">
        <v>326</v>
      </c>
      <c r="B65" s="170" t="s">
        <v>1382</v>
      </c>
      <c r="C65" s="2566"/>
      <c r="D65" s="170"/>
      <c r="E65" s="172"/>
      <c r="F65" s="1808"/>
      <c r="G65" s="1808"/>
      <c r="H65" s="1810"/>
      <c r="I65" s="129"/>
      <c r="J65" s="3567"/>
      <c r="K65" s="1332" t="s">
        <v>1383</v>
      </c>
      <c r="L65" s="1332">
        <f ca="1">IF(M49&gt;1000,M49*0.1%,IF(AND(M49&gt;500,M49&lt;=1000),M49*0.5%,IF(AND(M49&gt;50,M49&lt;=500),M49*1%,IF(AND(M49&gt;1,M49&lt;=50),M49*1.5%))))</f>
        <v>2.6909999999999998</v>
      </c>
      <c r="M65" s="302">
        <f t="shared" ca="1" si="1"/>
        <v>2.7</v>
      </c>
      <c r="N65" s="2544" t="s">
        <v>1381</v>
      </c>
      <c r="Z65" s="1752"/>
      <c r="AI65" s="1753"/>
    </row>
    <row r="66" spans="1:35" ht="14.25" customHeight="1">
      <c r="A66" s="173" t="s">
        <v>327</v>
      </c>
      <c r="B66" s="174" t="s">
        <v>1384</v>
      </c>
      <c r="C66" s="2567"/>
      <c r="D66" s="174" t="s">
        <v>26</v>
      </c>
      <c r="E66" s="1338" t="s">
        <v>669</v>
      </c>
      <c r="F66" s="1808"/>
      <c r="G66" s="1808"/>
      <c r="H66" s="1810"/>
      <c r="I66" s="129"/>
      <c r="J66" s="3567"/>
      <c r="K66" s="1332" t="s">
        <v>1385</v>
      </c>
      <c r="L66" s="1332">
        <f ca="1">M49*0.5%</f>
        <v>13.455</v>
      </c>
      <c r="M66" s="302">
        <f ca="1">IF(L66&gt;0.5,0.5,ROUND(L66,0))</f>
        <v>0.5</v>
      </c>
      <c r="N66" s="2544" t="s">
        <v>1386</v>
      </c>
      <c r="Z66" s="1752"/>
      <c r="AI66" s="1753"/>
    </row>
    <row r="67" spans="1:35" ht="14.25" customHeight="1">
      <c r="A67" s="173" t="s">
        <v>328</v>
      </c>
      <c r="B67" s="174" t="s">
        <v>1387</v>
      </c>
      <c r="C67" s="2568">
        <f ca="1">C63-C66</f>
        <v>2563</v>
      </c>
      <c r="D67" s="170" t="s">
        <v>26</v>
      </c>
      <c r="E67" s="172"/>
      <c r="F67" s="1808"/>
      <c r="G67" s="1808"/>
      <c r="H67" s="1810"/>
      <c r="I67" s="129"/>
      <c r="J67" s="3567"/>
      <c r="K67" s="1332" t="s">
        <v>1388</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1389</v>
      </c>
      <c r="C68" s="2569">
        <f ca="1">IF(C67&lt;=0,0,ROUND(C67*D68,0))</f>
        <v>141</v>
      </c>
      <c r="D68" s="2570">
        <f>'数据-取费表'!B41</f>
        <v>5.5000000000000007E-2</v>
      </c>
      <c r="E68" s="178"/>
      <c r="F68" s="1808"/>
      <c r="G68" s="1808"/>
      <c r="H68" s="1810"/>
      <c r="I68" s="129"/>
      <c r="J68" s="3567"/>
      <c r="K68" s="1332" t="s">
        <v>1390</v>
      </c>
      <c r="L68" s="1332">
        <f ca="1">IF(M49&gt;10000,M49*0.5%,IF(AND(M49&gt;5000,M49&lt;=10000),M49*1%,IF(AND(M49&gt;1000,M49&lt;=5000),M49*2%,IF(AND(M49&gt;200,M49&lt;=1000),M49*3%,M49*5%))))</f>
        <v>53.82</v>
      </c>
      <c r="M68" s="302">
        <f ca="1">ROUND(L68,1)</f>
        <v>53.8</v>
      </c>
      <c r="N68" s="2543"/>
      <c r="Z68" s="1752"/>
      <c r="AI68" s="1753"/>
    </row>
    <row r="69" spans="1:35" s="1772" customFormat="1" ht="16.5" customHeight="1">
      <c r="A69" s="1811"/>
      <c r="B69" s="1812"/>
      <c r="C69" s="1813"/>
      <c r="D69" s="1814"/>
      <c r="E69" s="1815"/>
      <c r="F69" s="1578"/>
      <c r="G69" s="1578"/>
      <c r="H69" s="1577"/>
      <c r="I69" s="1747"/>
      <c r="J69" s="3567"/>
      <c r="K69" s="1332" t="s">
        <v>1391</v>
      </c>
      <c r="L69" s="1332"/>
      <c r="M69" s="302">
        <f ca="1">ROUND(SUM(M63:M68),0)</f>
        <v>100</v>
      </c>
      <c r="N69" s="2545">
        <f ca="1">M69/M49</f>
        <v>3.716090672612412E-2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1" t="s">
        <v>1392</v>
      </c>
      <c r="B70" s="3612"/>
      <c r="C70" s="3612"/>
      <c r="D70" s="3612"/>
      <c r="E70" s="3612"/>
      <c r="F70" s="3612"/>
      <c r="G70" s="3612"/>
      <c r="H70" s="3612"/>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3" t="s">
        <v>1373</v>
      </c>
      <c r="B71" s="3604"/>
      <c r="C71" s="2021"/>
      <c r="D71" s="2021" t="s">
        <v>1374</v>
      </c>
      <c r="E71" s="179" t="s">
        <v>1375</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8">
        <f ca="1">ROUND(D45/(1+'数据-取费表'!C42),0)</f>
        <v>2563</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8">
        <f ca="1">C74+C78</f>
        <v>13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71"/>
      <c r="D75" s="170" t="s">
        <v>26</v>
      </c>
      <c r="E75" s="184" t="s">
        <v>1397</v>
      </c>
      <c r="F75" s="2572"/>
      <c r="G75" s="184" t="s">
        <v>1398</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4">
        <v>0.05</v>
      </c>
      <c r="E76" s="3608" t="s">
        <v>1400</v>
      </c>
      <c r="F76" s="3607"/>
      <c r="G76" s="3607"/>
      <c r="H76" s="361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0</v>
      </c>
      <c r="D77" s="2575">
        <f>'数据-取费表'!B48+'数据-取费表'!B49</f>
        <v>4.0500000000000001E-2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6">
        <f ca="1">ROUND(D45*D78/(1+'数据-取费表'!C42),0)</f>
        <v>13</v>
      </c>
      <c r="D78" s="2577">
        <f>'数据-取费表'!B43</f>
        <v>5.000000000000001E-3</v>
      </c>
      <c r="E78" s="3600" t="s">
        <v>1404</v>
      </c>
      <c r="F78" s="3601"/>
      <c r="G78" s="3601"/>
      <c r="H78" s="360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8">
        <f ca="1">C72-C73</f>
        <v>2550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8">
        <f ca="1">IF(C79&lt;=0,0,C79/C73)</f>
        <v>196.15384615384616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9">
        <f ca="1">ROUND(IF(C79&lt;=0,0,IF(C80&gt;=200%,C79*60%-C73*35%,IF(C80&gt;=100%,C79*50%-C73*15%,IF(C80&gt;=50%,C79*40%-C73*5%,IF(C80&lt;50%,C79*30%,0))))),0)</f>
        <v>1525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1" t="s">
        <v>1408</v>
      </c>
      <c r="B83" s="3612"/>
      <c r="C83" s="3612"/>
      <c r="D83" s="3612"/>
      <c r="E83" s="3612"/>
      <c r="F83" s="3612"/>
      <c r="G83" s="3612"/>
      <c r="H83" s="361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3" t="s">
        <v>1373</v>
      </c>
      <c r="B84" s="3604"/>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1393</v>
      </c>
      <c r="C85" s="2568">
        <f ca="1">ROUND(D45/(1+'数据-取费表'!C42),0)</f>
        <v>2563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1394</v>
      </c>
      <c r="C86" s="2568">
        <f ca="1">IF(H88="仅含出让金",C87+C90+C91+C92+C93+C94,C87+C91+C92+C93+C94)</f>
        <v>13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1409</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1410</v>
      </c>
      <c r="C88" s="2582"/>
      <c r="D88" s="2577"/>
      <c r="E88" s="193" t="s">
        <v>1411</v>
      </c>
      <c r="F88" s="2327"/>
      <c r="G88" s="194" t="s">
        <v>1412</v>
      </c>
      <c r="H88" s="1824"/>
      <c r="I88" s="1821"/>
      <c r="J88" s="2521" t="s">
        <v>2282</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1401</v>
      </c>
      <c r="C89" s="2576">
        <f>ROUND(C88*D89,0)</f>
        <v>0</v>
      </c>
      <c r="D89" s="2577">
        <f>'数据-取费表'!B48+'数据-取费表'!B49</f>
        <v>4.0500000000000001E-2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1414</v>
      </c>
      <c r="C90" s="2582"/>
      <c r="D90" s="2577"/>
      <c r="E90" s="193" t="str">
        <f>IF(H88="-","土地取得成本中已包含该笔费用"," ")</f>
        <v xml:space="preserve"> </v>
      </c>
      <c r="F90" s="2327"/>
      <c r="G90" s="3569" t="s">
        <v>2125</v>
      </c>
      <c r="H90" s="3570"/>
      <c r="I90" s="1821"/>
      <c r="J90" s="2521" t="s">
        <v>2283</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6">
        <f>IF(H91="——",成本法!C33,I91)</f>
        <v>0</v>
      </c>
      <c r="D91" s="2577"/>
      <c r="E91" s="3600" t="s">
        <v>1417</v>
      </c>
      <c r="F91" s="3601"/>
      <c r="G91" s="360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6">
        <f>ROUND((C87+C90+C91)*D92,0)</f>
        <v>0</v>
      </c>
      <c r="D92" s="2583"/>
      <c r="E92" s="3600" t="s">
        <v>1420</v>
      </c>
      <c r="F92" s="3601"/>
      <c r="G92" s="3601"/>
      <c r="H92" s="3602"/>
      <c r="I92" s="1821"/>
      <c r="J92" s="2522" t="s">
        <v>2284</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6">
        <f ca="1">ROUND(D45*D93/(1+'数据-取费表'!C42),0)</f>
        <v>13</v>
      </c>
      <c r="D93" s="2577">
        <f>'数据-取费表'!B43</f>
        <v>5.000000000000001E-3</v>
      </c>
      <c r="E93" s="3600" t="s">
        <v>1404</v>
      </c>
      <c r="F93" s="3601"/>
      <c r="G93" s="3601"/>
      <c r="H93" s="360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82">
        <f>ROUND((C87+C90+C91)*D94,0)</f>
        <v>0</v>
      </c>
      <c r="D94" s="2577">
        <v>0.2</v>
      </c>
      <c r="E94" s="3645" t="s">
        <v>1424</v>
      </c>
      <c r="F94" s="3646"/>
      <c r="G94" s="3646"/>
      <c r="H94" s="364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1405</v>
      </c>
      <c r="C95" s="2568">
        <f ca="1">ROUND(C85-C86,0)</f>
        <v>2550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8">
        <f ca="1">IF(C95&lt;=0,0,C95/C86)</f>
        <v>196.15384615384616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1407</v>
      </c>
      <c r="C97" s="2579">
        <f ca="1">ROUND(IF(C95&lt;=0,0,IF(C96&gt;=200%,C95*60%-C86*35%,IF(C96&gt;=100%,C95*50%-C86*15%,IF(C96&gt;=50%,C95*40%-C86*5%,IF(C96&lt;50%,C95*30%,0))))),0)</f>
        <v>1525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50" t="s">
        <v>1426</v>
      </c>
      <c r="B100" s="3551"/>
      <c r="C100" s="3551"/>
      <c r="D100" s="3585"/>
      <c r="E100" s="3551" t="s">
        <v>1427</v>
      </c>
      <c r="F100" s="3551"/>
      <c r="G100" s="3551"/>
      <c r="H100" s="3585"/>
      <c r="I100" s="129"/>
    </row>
    <row r="101" spans="1:35" ht="18.75" customHeight="1">
      <c r="A101" s="3593" t="s">
        <v>1428</v>
      </c>
      <c r="B101" s="3594"/>
      <c r="C101" s="2585" t="str">
        <f>C4</f>
        <v>成本法</v>
      </c>
      <c r="D101" s="2586" t="str">
        <f>D4</f>
        <v>收益法</v>
      </c>
      <c r="E101" s="3563" t="s">
        <v>1429</v>
      </c>
      <c r="F101" s="3564"/>
      <c r="G101" s="1827" t="s">
        <v>1430</v>
      </c>
      <c r="H101" s="2595">
        <f ca="1">H118</f>
        <v>2691</v>
      </c>
      <c r="I101" s="129"/>
    </row>
    <row r="102" spans="1:35" ht="18.75" customHeight="1">
      <c r="A102" s="3595" t="s">
        <v>1431</v>
      </c>
      <c r="B102" s="2584" t="s">
        <v>1430</v>
      </c>
      <c r="C102" s="2585">
        <f ca="1">IF(D32="楼面单价",ROUND(C19,0),C19)</f>
        <v>2654</v>
      </c>
      <c r="D102" s="2586">
        <f ca="1">IF(D32="楼面单价",ROUND(D19,0),D19)</f>
        <v>2728</v>
      </c>
      <c r="E102" s="3563"/>
      <c r="F102" s="3564"/>
      <c r="G102" s="1827" t="s">
        <v>1432</v>
      </c>
      <c r="H102" s="2555">
        <f ca="1">I118</f>
        <v>3207</v>
      </c>
      <c r="I102" s="129"/>
    </row>
    <row r="103" spans="1:35" ht="42.75" customHeight="1">
      <c r="A103" s="3595"/>
      <c r="B103" s="2584" t="s">
        <v>1432</v>
      </c>
      <c r="C103" s="2587">
        <f ca="1">C20</f>
        <v>3163</v>
      </c>
      <c r="D103" s="2588">
        <f ca="1">D20</f>
        <v>3251</v>
      </c>
      <c r="E103" s="3556" t="s">
        <v>1433</v>
      </c>
      <c r="F103" s="3557"/>
      <c r="G103" s="1828" t="s">
        <v>1434</v>
      </c>
      <c r="H103" s="2595">
        <f>IF(D36="正常操作",H104+H105+H106,H105+H106)</f>
        <v>0</v>
      </c>
      <c r="I103" s="129"/>
    </row>
    <row r="104" spans="1:35" ht="18.75" customHeight="1">
      <c r="A104" s="3595" t="s">
        <v>1435</v>
      </c>
      <c r="B104" s="2589" t="s">
        <v>1430</v>
      </c>
      <c r="C104" s="2590">
        <f ca="1">H118</f>
        <v>2691</v>
      </c>
      <c r="D104" s="2591"/>
      <c r="E104" s="1674" t="s">
        <v>1436</v>
      </c>
      <c r="F104" s="1666"/>
      <c r="G104" s="1828" t="s">
        <v>1434</v>
      </c>
      <c r="H104" s="2596">
        <f>IF(D36="同一抵押权人同一抵押物续贷",C36&amp;"（续贷，未扣减，详见特别提示）",C36)</f>
        <v>0</v>
      </c>
      <c r="I104" s="129"/>
    </row>
    <row r="105" spans="1:35" ht="18.75" customHeight="1" thickBot="1">
      <c r="A105" s="3605"/>
      <c r="B105" s="2592" t="s">
        <v>1432</v>
      </c>
      <c r="C105" s="2593">
        <f ca="1">I118</f>
        <v>3207</v>
      </c>
      <c r="D105" s="2594"/>
      <c r="E105" s="1674" t="s">
        <v>1437</v>
      </c>
      <c r="F105" s="1666"/>
      <c r="G105" s="1828" t="s">
        <v>1434</v>
      </c>
      <c r="H105" s="2597">
        <f>C37</f>
        <v>0</v>
      </c>
      <c r="I105" s="129"/>
    </row>
    <row r="106" spans="1:35" ht="18.75" customHeight="1">
      <c r="A106" s="1747" t="s">
        <v>1438</v>
      </c>
      <c r="B106" s="1747"/>
      <c r="C106" s="1747"/>
      <c r="D106" s="1747"/>
      <c r="E106" s="1829" t="s">
        <v>1439</v>
      </c>
      <c r="F106" s="1666"/>
      <c r="G106" s="1828" t="s">
        <v>1434</v>
      </c>
      <c r="H106" s="2597">
        <f>C38</f>
        <v>0</v>
      </c>
      <c r="I106" s="129"/>
    </row>
    <row r="107" spans="1:35" ht="18.75" customHeight="1">
      <c r="A107" s="129"/>
      <c r="B107" s="129"/>
      <c r="C107" s="129"/>
      <c r="D107" s="129"/>
      <c r="E107" s="3596" t="str">
        <f>IF(项目基本情况!E8="已注销","——","3.房地产抵押价值")</f>
        <v>3.房地产抵押价值</v>
      </c>
      <c r="F107" s="3564"/>
      <c r="G107" s="1827" t="s">
        <v>1430</v>
      </c>
      <c r="H107" s="2595">
        <f ca="1">IF(E107="——","——",H101-H103)</f>
        <v>2691</v>
      </c>
      <c r="I107" s="129"/>
    </row>
    <row r="108" spans="1:35" ht="18.75" customHeight="1">
      <c r="A108" s="129"/>
      <c r="B108" s="129"/>
      <c r="C108" s="129"/>
      <c r="D108" s="129"/>
      <c r="E108" s="3596"/>
      <c r="F108" s="3564"/>
      <c r="G108" s="1827" t="s">
        <v>1432</v>
      </c>
      <c r="H108" s="2555">
        <f ca="1">IF(H107=H101,H102,ROUND(H107*10000/'数据-汇总表'!E3,0))</f>
        <v>3207</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64"/>
      <c r="G109" s="1827" t="s">
        <v>1430</v>
      </c>
      <c r="H109" s="2598" t="str">
        <f>IF(E109="——","——",H101-H105-H106)</f>
        <v>——</v>
      </c>
      <c r="I109" s="129"/>
    </row>
    <row r="110" spans="1:35" ht="18.75" customHeight="1">
      <c r="A110" s="129"/>
      <c r="B110" s="129"/>
      <c r="C110" s="129"/>
      <c r="D110" s="129"/>
      <c r="E110" s="3596"/>
      <c r="F110" s="3564"/>
      <c r="G110" s="1827" t="s">
        <v>1432</v>
      </c>
      <c r="H110" s="2555" t="str">
        <f>IF(H109="——","——",ROUND(H109*10000/'数据-汇总表'!E3,0))</f>
        <v>——</v>
      </c>
      <c r="I110" s="129"/>
    </row>
    <row r="111" spans="1:35" ht="18.75" customHeight="1">
      <c r="A111" s="129"/>
      <c r="B111" s="129"/>
      <c r="C111" s="129"/>
      <c r="D111" s="129"/>
      <c r="E111" s="3597" t="str">
        <f>IF(项目基本情况!E9="抵押净值",IF(OR(项目基本情况!E8="已注销",项目基本情况!E8="房地产抵押价值"),"4.抵押净值","5.抵押净值"),"——")</f>
        <v>——</v>
      </c>
      <c r="F111" s="3583"/>
      <c r="G111" s="1827" t="s">
        <v>1430</v>
      </c>
      <c r="H111" s="2595" t="str">
        <f>IF(E111="——","——",N59)</f>
        <v>——</v>
      </c>
      <c r="I111" s="129"/>
    </row>
    <row r="112" spans="1:35" ht="18.75" customHeight="1" thickBot="1">
      <c r="A112" s="129"/>
      <c r="B112" s="129"/>
      <c r="C112" s="129"/>
      <c r="D112" s="129"/>
      <c r="E112" s="3598"/>
      <c r="F112" s="3599"/>
      <c r="G112" s="1830" t="s">
        <v>1432</v>
      </c>
      <c r="H112" s="2599" t="str">
        <f>IF(E111="——","——",N61)</f>
        <v>——</v>
      </c>
      <c r="I112" s="129"/>
    </row>
    <row r="113" spans="1:27" ht="18.75" customHeight="1">
      <c r="A113" s="129"/>
      <c r="B113" s="129"/>
      <c r="C113" s="129"/>
      <c r="D113" s="129"/>
      <c r="E113" s="3606" t="s">
        <v>1438</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4" t="s">
        <v>1440</v>
      </c>
      <c r="B115" s="3615"/>
      <c r="C115" s="3615"/>
      <c r="D115" s="3615"/>
      <c r="E115" s="3615"/>
      <c r="F115" s="3615"/>
      <c r="G115" s="3615"/>
      <c r="H115" s="3615"/>
      <c r="I115" s="3616"/>
    </row>
    <row r="116" spans="1:27" ht="27" customHeight="1">
      <c r="A116" s="3571" t="s">
        <v>1441</v>
      </c>
      <c r="B116" s="3575" t="s">
        <v>1442</v>
      </c>
      <c r="C116" s="3575" t="s">
        <v>1443</v>
      </c>
      <c r="D116" s="3581" t="s">
        <v>1444</v>
      </c>
      <c r="E116" s="3582"/>
      <c r="F116" s="3613" t="s">
        <v>1445</v>
      </c>
      <c r="G116" s="3613"/>
      <c r="H116" s="3571" t="s">
        <v>1446</v>
      </c>
      <c r="I116" s="3571"/>
    </row>
    <row r="117" spans="1:27" ht="18.75" customHeight="1">
      <c r="A117" s="3571"/>
      <c r="B117" s="3576"/>
      <c r="C117" s="3576"/>
      <c r="D117" s="2329" t="s">
        <v>1447</v>
      </c>
      <c r="E117" s="2329" t="s">
        <v>1448</v>
      </c>
      <c r="F117" s="2329" t="s">
        <v>1447</v>
      </c>
      <c r="G117" s="2329" t="s">
        <v>1449</v>
      </c>
      <c r="H117" s="2329" t="s">
        <v>1447</v>
      </c>
      <c r="I117" s="2329" t="s">
        <v>1449</v>
      </c>
    </row>
    <row r="118" spans="1:27" ht="24.75" customHeight="1">
      <c r="A118" s="2600" t="str">
        <f>项目基本情况!S2</f>
        <v>房地产</v>
      </c>
      <c r="B118" s="2329">
        <f>M18</f>
        <v>8390.83</v>
      </c>
      <c r="C118" s="2329">
        <f>M19</f>
        <v>5753.84</v>
      </c>
      <c r="D118" s="2329">
        <f ca="1">ROUND(IF(D32="总价",C34,E118*B118/10000),0)</f>
        <v>613</v>
      </c>
      <c r="E118" s="2329">
        <f ca="1">ROUND(IF(C33="自定义",IF(D32="楼面单价",C34,D118*10000/B118),I118-G118),0)</f>
        <v>731</v>
      </c>
      <c r="F118" s="2329">
        <f ca="1">ROUND(IF(D32="总价",C35,G118*B118/10000),0)</f>
        <v>2078</v>
      </c>
      <c r="G118" s="2329">
        <f ca="1">ROUND(IF(D32="楼面单价",C35,F118*10000/B118),0)</f>
        <v>2476</v>
      </c>
      <c r="H118" s="2329">
        <f ca="1">ROUND(IF(D32="总价",C32,I118*B118/10000),0)</f>
        <v>2691</v>
      </c>
      <c r="I118" s="2329">
        <f ca="1">ROUND(IF(D32="楼面单价",C32,H118*10000/B118),0)</f>
        <v>3207</v>
      </c>
    </row>
    <row r="119" spans="1:27" ht="18.75" customHeight="1">
      <c r="A119" s="3571" t="s">
        <v>1450</v>
      </c>
      <c r="B119" s="3571"/>
      <c r="C119" s="3571"/>
      <c r="D119" s="3577" t="str">
        <f ca="1">NUMBERSTRING(INT(D118*10000),2)&amp;"元整"</f>
        <v>陆佰壹拾叁万元整</v>
      </c>
      <c r="E119" s="3578"/>
      <c r="F119" s="3577" t="str">
        <f ca="1">NUMBERSTRING(INT(F118*10000),2)&amp;"元整"</f>
        <v>贰仟零柒拾捌万元整</v>
      </c>
      <c r="G119" s="3578"/>
      <c r="H119" s="3577" t="str">
        <f ca="1">NUMBERSTRING(INT(H118*10000),2)&amp;"元整"</f>
        <v>贰仟陆佰玖拾壹万元整</v>
      </c>
      <c r="I119" s="3578"/>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7" t="s">
        <v>1450</v>
      </c>
      <c r="B121" s="3579"/>
      <c r="C121" s="3578"/>
      <c r="D121" s="3577" t="str">
        <f>IF(D120=0,"零元整",NUMBERSTRING(INT(D120*10000),2)&amp;"元整")</f>
        <v>零元整</v>
      </c>
      <c r="E121" s="3579"/>
      <c r="F121" s="3579"/>
      <c r="G121" s="3579"/>
      <c r="H121" s="3579"/>
      <c r="I121" s="3578"/>
      <c r="AA121" s="725"/>
    </row>
    <row r="122" spans="1:27" ht="18.75" customHeight="1">
      <c r="A122" s="3583" t="str">
        <f>IF(项目基本情况!B9="房地产市场价值","",MID(E107,3,LEN(E107)-2))</f>
        <v>房地产抵押价值</v>
      </c>
      <c r="B122" s="3583"/>
      <c r="C122" s="3583"/>
      <c r="D122" s="3572">
        <f ca="1">H107</f>
        <v>2691</v>
      </c>
      <c r="E122" s="3573"/>
      <c r="F122" s="3573"/>
      <c r="G122" s="3573"/>
      <c r="H122" s="3573"/>
      <c r="I122" s="3574"/>
      <c r="AA122" s="725"/>
    </row>
    <row r="123" spans="1:27" ht="18.75" customHeight="1">
      <c r="A123" s="3571" t="s">
        <v>1450</v>
      </c>
      <c r="B123" s="3571"/>
      <c r="C123" s="3571"/>
      <c r="D123" s="3577" t="str">
        <f ca="1">NUMBERSTRING(INT(D122*10000),2)&amp;"元整"</f>
        <v>贰仟陆佰玖拾壹万元整</v>
      </c>
      <c r="E123" s="3579"/>
      <c r="F123" s="3579"/>
      <c r="G123" s="3579"/>
      <c r="H123" s="3579"/>
      <c r="I123" s="3578"/>
      <c r="AA123" s="725"/>
    </row>
    <row r="124" spans="1:27" ht="18.75" customHeight="1">
      <c r="A124" s="3583" t="str">
        <f>IF(项目基本情况!B9="房地产市场价值","",MID(E109,3,LEN(E109)-2))</f>
        <v/>
      </c>
      <c r="B124" s="3583"/>
      <c r="C124" s="3583"/>
      <c r="D124" s="3572" t="str">
        <f>H109</f>
        <v>——</v>
      </c>
      <c r="E124" s="3573"/>
      <c r="F124" s="3573"/>
      <c r="G124" s="3573"/>
      <c r="H124" s="3573"/>
      <c r="I124" s="3574"/>
      <c r="AA124" s="725"/>
    </row>
    <row r="125" spans="1:27" ht="18.75" customHeight="1">
      <c r="A125" s="3571" t="s">
        <v>1450</v>
      </c>
      <c r="B125" s="3571"/>
      <c r="C125" s="3571"/>
      <c r="D125" s="3577" t="e">
        <f>NUMBERSTRING(INT(D124*10000),2)&amp;"元整"</f>
        <v>#VALUE!</v>
      </c>
      <c r="E125" s="3579"/>
      <c r="F125" s="3579"/>
      <c r="G125" s="3579"/>
      <c r="H125" s="3579"/>
      <c r="I125" s="3578"/>
      <c r="AA125" s="725"/>
    </row>
    <row r="126" spans="1:27" ht="18.75" customHeight="1">
      <c r="A126" s="3583" t="str">
        <f>IF(项目基本情况!B9="房地产市场价值","",MID(E111,3,LEN(E111)-2))</f>
        <v/>
      </c>
      <c r="B126" s="3583"/>
      <c r="C126" s="3583"/>
      <c r="D126" s="3572" t="str">
        <f>H111</f>
        <v>——</v>
      </c>
      <c r="E126" s="3573"/>
      <c r="F126" s="3573"/>
      <c r="G126" s="3573"/>
      <c r="H126" s="3573"/>
      <c r="I126" s="3574"/>
      <c r="AA126" s="725"/>
    </row>
    <row r="127" spans="1:27" ht="18.75" customHeight="1">
      <c r="A127" s="3571" t="s">
        <v>1450</v>
      </c>
      <c r="B127" s="3571"/>
      <c r="C127" s="3571"/>
      <c r="D127" s="3577" t="e">
        <f>NUMBERSTRING(INT(D126*10000),2)&amp;"元整"</f>
        <v>#VALUE!</v>
      </c>
      <c r="E127" s="3579"/>
      <c r="F127" s="3579"/>
      <c r="G127" s="3579"/>
      <c r="H127" s="3579"/>
      <c r="I127" s="3578"/>
      <c r="AA127" s="725"/>
    </row>
    <row r="128" spans="1:27" ht="21.75" customHeight="1">
      <c r="A128" s="3580" t="s">
        <v>1451</v>
      </c>
      <c r="B128" s="3580"/>
      <c r="C128" s="3580"/>
      <c r="D128" s="3580"/>
      <c r="E128" s="3580"/>
      <c r="F128" s="3580"/>
      <c r="G128" s="3580"/>
      <c r="H128" s="3580"/>
      <c r="I128" s="3580"/>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25" sqref="E2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2654</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3163</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499</v>
      </c>
      <c r="D5" s="211" t="s">
        <v>1467</v>
      </c>
      <c r="E5" s="212" t="s">
        <v>1468</v>
      </c>
      <c r="F5" s="212" t="s">
        <v>1469</v>
      </c>
      <c r="G5" s="213"/>
    </row>
    <row r="6" spans="1:9" s="214" customFormat="1" ht="13.5" customHeight="1">
      <c r="A6" s="778" t="s">
        <v>1470</v>
      </c>
      <c r="B6" s="215" t="s">
        <v>1471</v>
      </c>
      <c r="C6" s="216">
        <f>'土地比较法-工业'!B2</f>
        <v>409</v>
      </c>
      <c r="D6" s="217"/>
      <c r="E6" s="218"/>
      <c r="F6" s="218"/>
      <c r="G6" s="219"/>
    </row>
    <row r="7" spans="1:9" s="214" customFormat="1" ht="13.5" customHeight="1">
      <c r="A7" s="778" t="s">
        <v>1472</v>
      </c>
      <c r="B7" s="215" t="s">
        <v>1473</v>
      </c>
      <c r="C7" s="220">
        <f>ROUND(C6*F7,0)</f>
        <v>17</v>
      </c>
      <c r="D7" s="220"/>
      <c r="E7" s="218"/>
      <c r="F7" s="221">
        <f>IF(项目基本情况!B8="出让",0,'数据-取费表'!B48+'数据-取费表'!B49)</f>
        <v>4.0500000000000001E-2</v>
      </c>
      <c r="G7" s="219"/>
    </row>
    <row r="8" spans="1:9" s="223" customFormat="1">
      <c r="A8" s="778" t="s">
        <v>1474</v>
      </c>
      <c r="B8" s="215" t="s">
        <v>1475</v>
      </c>
      <c r="C8" s="220">
        <f ca="1">IF(G8="已包含在土地购买价格中","0",IF(B1="",'数据-取费表'!B29,IF(G9="全部缴纳",C9+C10,H9)))</f>
        <v>73</v>
      </c>
      <c r="D8" s="222"/>
      <c r="E8" s="220"/>
      <c r="F8" s="221"/>
      <c r="G8" s="1856" t="s">
        <v>3494</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113</v>
      </c>
      <c r="F9" s="221"/>
      <c r="G9" s="1857" t="s">
        <v>3495</v>
      </c>
      <c r="H9" s="1137"/>
      <c r="I9" s="1858" t="s">
        <v>1477</v>
      </c>
    </row>
    <row r="10" spans="1:9" s="214" customFormat="1" ht="13.5" customHeight="1">
      <c r="A10" s="779" t="s">
        <v>356</v>
      </c>
      <c r="B10" s="224" t="s">
        <v>1478</v>
      </c>
      <c r="C10" s="225">
        <f ca="1">ROUND(D10*E10/10000,0)</f>
        <v>73</v>
      </c>
      <c r="D10" s="845">
        <f ca="1">IF(B1="",'数据-汇总表'!E6,IF(INDIRECT("'数据-取费表'!c"&amp;$G$1)="住宅",INDIRECT("'数据-取费表'!s"&amp;$G$1),INDIRECT("'数据-取费表'!k"&amp;$G$1)+INDIRECT("'数据-取费表'!s"&amp;$G$1)))</f>
        <v>8390.83</v>
      </c>
      <c r="E10" s="225">
        <f>'数据-取费表'!B28</f>
        <v>87</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8390.83</v>
      </c>
      <c r="E19" s="211">
        <f>'数据-取费表'!B31</f>
        <v>200</v>
      </c>
      <c r="F19" s="231"/>
      <c r="G19" s="1856" t="s">
        <v>3496</v>
      </c>
    </row>
    <row r="20" spans="1:7" s="214" customFormat="1" ht="13.5" customHeight="1">
      <c r="A20" s="255" t="s">
        <v>1491</v>
      </c>
      <c r="B20" s="210" t="s">
        <v>1492</v>
      </c>
      <c r="C20" s="232">
        <f ca="1">ROUND((C5+C19)*F20,0)</f>
        <v>10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27</v>
      </c>
      <c r="D22" s="235">
        <f ca="1">C26</f>
        <v>5.0000000000000001E-4</v>
      </c>
      <c r="E22" s="236" t="s">
        <v>1496</v>
      </c>
      <c r="F22" s="237">
        <f ca="1">'数据-取费表'!B40</f>
        <v>3.5499999999999997E-2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27</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5.0000000000000001E-4</v>
      </c>
      <c r="D26" s="238"/>
      <c r="E26" s="241"/>
      <c r="F26" s="239"/>
      <c r="G26" s="243"/>
    </row>
    <row r="27" spans="1:7" s="214" customFormat="1" ht="24.75">
      <c r="A27" s="255" t="s">
        <v>1510</v>
      </c>
      <c r="B27" s="244" t="s">
        <v>1511</v>
      </c>
      <c r="C27" s="245">
        <f ca="1">C28</f>
        <v>25</v>
      </c>
      <c r="D27" s="235">
        <f ca="1">C29</f>
        <v>1E-3</v>
      </c>
      <c r="E27" s="236" t="s">
        <v>1512</v>
      </c>
      <c r="F27" s="246">
        <f ca="1">IF(B1="",'数据-取费表'!Q16,INDIRECT("'数据-取费表'!q"&amp;$G$1))</f>
        <v>0.05</v>
      </c>
      <c r="G27" s="247" t="s">
        <v>1513</v>
      </c>
    </row>
    <row r="28" spans="1:7" s="214" customFormat="1" ht="13.5" customHeight="1">
      <c r="A28" s="780" t="s">
        <v>346</v>
      </c>
      <c r="B28" s="248" t="s">
        <v>1514</v>
      </c>
      <c r="C28" s="249">
        <f ca="1">ROUND((C5+C19+C20)*F27*'数据-取费表'!B21/'数据-取费表'!B20,0)</f>
        <v>25</v>
      </c>
      <c r="D28" s="235"/>
      <c r="E28" s="236"/>
      <c r="F28" s="246"/>
      <c r="G28" s="247"/>
    </row>
    <row r="29" spans="1:7" s="214" customFormat="1" ht="13.5" customHeight="1">
      <c r="A29" s="780" t="s">
        <v>347</v>
      </c>
      <c r="B29" s="248" t="s">
        <v>1515</v>
      </c>
      <c r="C29" s="238">
        <f ca="1">ROUND(C21*F27*'数据-取费表'!B21/'数据-取费表'!B20,4)</f>
        <v>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606</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1798</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1552</v>
      </c>
      <c r="D34" s="217"/>
      <c r="E34" s="220"/>
      <c r="F34" s="257">
        <f ca="1">IF('数据-取费表'!B24=0,1,IF(B1="",'数据-取费表'!N16,INDIRECT("'数据-取费表'!n"&amp;$G$1)))</f>
        <v>1</v>
      </c>
      <c r="G34" s="219" t="s">
        <v>1524</v>
      </c>
    </row>
    <row r="35" spans="1:7" ht="13.5" customHeight="1">
      <c r="A35" s="780" t="s">
        <v>351</v>
      </c>
      <c r="B35" s="215" t="s">
        <v>1525</v>
      </c>
      <c r="C35" s="220">
        <f ca="1">ROUND(C34*F35,0)</f>
        <v>47</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168</v>
      </c>
      <c r="D37" s="217">
        <f ca="1">D19</f>
        <v>8390.83</v>
      </c>
      <c r="E37" s="249">
        <f>'数据-取费表'!B35</f>
        <v>200</v>
      </c>
      <c r="F37" s="259"/>
      <c r="G37" s="261" t="s">
        <v>1530</v>
      </c>
    </row>
    <row r="38" spans="1:7" ht="13.5" customHeight="1">
      <c r="A38" s="780" t="s">
        <v>354</v>
      </c>
      <c r="B38" s="215" t="s">
        <v>1531</v>
      </c>
      <c r="C38" s="220">
        <f ca="1">ROUND(C34*F38,0)</f>
        <v>31</v>
      </c>
      <c r="D38" s="220"/>
      <c r="E38" s="220"/>
      <c r="F38" s="259">
        <f>'数据-取费表'!B36</f>
        <v>0.02</v>
      </c>
      <c r="G38" s="219" t="s">
        <v>1526</v>
      </c>
    </row>
    <row r="39" spans="1:7" s="214" customFormat="1" ht="13.5" customHeight="1">
      <c r="A39" s="255" t="s">
        <v>1532</v>
      </c>
      <c r="B39" s="210" t="s">
        <v>1533</v>
      </c>
      <c r="C39" s="232">
        <f ca="1">ROUND(C33*F20,0)</f>
        <v>36</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49</v>
      </c>
      <c r="D41" s="235">
        <f ca="1">C44</f>
        <v>5.0000000000000001E-4</v>
      </c>
      <c r="E41" s="236" t="s">
        <v>1537</v>
      </c>
      <c r="F41" s="237">
        <f ca="1">F22</f>
        <v>3.5499999999999997E-2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48</v>
      </c>
      <c r="D42" s="238"/>
      <c r="E42" s="238"/>
      <c r="F42" s="239"/>
      <c r="G42" s="3650" t="s">
        <v>1542</v>
      </c>
    </row>
    <row r="43" spans="1:7" ht="13.5" customHeight="1">
      <c r="A43" s="780" t="s">
        <v>347</v>
      </c>
      <c r="B43" s="215" t="s">
        <v>1543</v>
      </c>
      <c r="C43" s="238">
        <f ca="1">ROUND(IF('数据-取费表'!B22&lt;=1,C39*F22*'数据-取费表'!B21/2,C39*(POWER((1+F22),'数据-取费表'!B21/2)-1)),0)</f>
        <v>1</v>
      </c>
      <c r="D43" s="238"/>
      <c r="E43" s="238"/>
      <c r="F43" s="239"/>
      <c r="G43" s="3651"/>
    </row>
    <row r="44" spans="1:7" ht="13.5" customHeight="1">
      <c r="A44" s="780" t="s">
        <v>348</v>
      </c>
      <c r="B44" s="215" t="s">
        <v>1544</v>
      </c>
      <c r="C44" s="238">
        <f ca="1">ROUND(IF('数据-取费表'!B22&lt;=1,C40*F22*'数据-取费表'!B21/2,C40*(POWER((1+F22),'数据-取费表'!B21/2)-1)),4)</f>
        <v>5.0000000000000001E-4</v>
      </c>
      <c r="D44" s="238"/>
      <c r="E44" s="238"/>
      <c r="F44" s="239"/>
      <c r="G44" s="3652"/>
    </row>
    <row r="45" spans="1:7" s="214" customFormat="1" ht="13.5" customHeight="1">
      <c r="A45" s="255" t="s">
        <v>1545</v>
      </c>
      <c r="B45" s="244" t="s">
        <v>1511</v>
      </c>
      <c r="C45" s="245">
        <f ca="1">C46</f>
        <v>92</v>
      </c>
      <c r="D45" s="235">
        <f ca="1">C47</f>
        <v>1E-3</v>
      </c>
      <c r="E45" s="236" t="s">
        <v>1537</v>
      </c>
      <c r="F45" s="246">
        <f ca="1">F27</f>
        <v>0.05</v>
      </c>
      <c r="G45" s="247" t="s">
        <v>1546</v>
      </c>
    </row>
    <row r="46" spans="1:7" s="214" customFormat="1" ht="13.5" customHeight="1">
      <c r="A46" s="780" t="s">
        <v>346</v>
      </c>
      <c r="B46" s="248" t="s">
        <v>1547</v>
      </c>
      <c r="C46" s="249">
        <f ca="1">ROUND((C33+C39)*F27,0)</f>
        <v>92</v>
      </c>
      <c r="D46" s="263"/>
      <c r="E46" s="236"/>
      <c r="F46" s="246"/>
      <c r="G46" s="247"/>
    </row>
    <row r="47" spans="1:7" s="214" customFormat="1" ht="13.5" customHeight="1">
      <c r="A47" s="780" t="s">
        <v>347</v>
      </c>
      <c r="B47" s="248" t="s">
        <v>1548</v>
      </c>
      <c r="C47" s="238">
        <f ca="1">ROUND(C40*F27,4)</f>
        <v>1E-3</v>
      </c>
      <c r="D47" s="263"/>
      <c r="E47" s="236"/>
      <c r="F47" s="246"/>
      <c r="G47" s="247"/>
    </row>
    <row r="48" spans="1:7" s="214" customFormat="1" ht="13.5" customHeight="1">
      <c r="A48" s="255" t="s">
        <v>1510</v>
      </c>
      <c r="B48" s="210" t="s">
        <v>1549</v>
      </c>
      <c r="C48" s="1327">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2133</v>
      </c>
      <c r="D49" s="232"/>
      <c r="E49" s="232"/>
      <c r="F49" s="264"/>
      <c r="G49" s="234" t="s">
        <v>1552</v>
      </c>
    </row>
    <row r="50" spans="1:7" s="258" customFormat="1" ht="24">
      <c r="A50" s="255" t="s">
        <v>1553</v>
      </c>
      <c r="B50" s="210" t="s">
        <v>1554</v>
      </c>
      <c r="C50" s="232"/>
      <c r="D50" s="232"/>
      <c r="E50" s="232"/>
      <c r="F50" s="264">
        <f>IF('数据-取费表'!B24=0,'数据-取费表'!N16,1)</f>
        <v>0.96</v>
      </c>
      <c r="G50" s="247" t="s">
        <v>1555</v>
      </c>
    </row>
    <row r="51" spans="1:7" ht="16.5" customHeight="1">
      <c r="A51" s="255" t="s">
        <v>1556</v>
      </c>
      <c r="B51" s="210" t="s">
        <v>1557</v>
      </c>
      <c r="C51" s="232">
        <f ca="1">ROUND(C49*F50,0)</f>
        <v>2048</v>
      </c>
      <c r="D51" s="232"/>
      <c r="E51" s="232"/>
      <c r="F51" s="264"/>
      <c r="G51" s="234" t="s">
        <v>1558</v>
      </c>
    </row>
    <row r="52" spans="1:7" s="208" customFormat="1" ht="16.5" thickBot="1">
      <c r="A52" s="265" t="s">
        <v>1559</v>
      </c>
      <c r="B52" s="266"/>
      <c r="C52" s="267">
        <f ca="1">C31+C51</f>
        <v>2654</v>
      </c>
      <c r="D52" s="266"/>
      <c r="E52" s="266"/>
      <c r="F52" s="266"/>
      <c r="G52" s="268"/>
    </row>
    <row r="55" spans="1:7" ht="15">
      <c r="B55" s="270" t="s">
        <v>1560</v>
      </c>
      <c r="C55" s="271"/>
    </row>
    <row r="56" spans="1:7">
      <c r="B56" s="273" t="s">
        <v>800</v>
      </c>
      <c r="C56" s="275">
        <f ca="1">1-C57</f>
        <v>0.22799999999999998</v>
      </c>
    </row>
    <row r="57" spans="1:7">
      <c r="B57" s="273" t="s">
        <v>801</v>
      </c>
      <c r="C57" s="274">
        <f ca="1">ROUND(C51/C52,3)</f>
        <v>0.77200000000000002</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房地产抵押价值预评估</v>
      </c>
      <c r="C37" s="3467"/>
      <c r="D37" s="3467"/>
      <c r="E37" s="3467"/>
      <c r="F37" s="3467"/>
      <c r="G37" s="3467"/>
      <c r="H37" s="3467"/>
      <c r="I37" s="34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23">
        <f ca="1">ROUND(IF(D2="——",C52/10000,C52/10000-E2),4)</f>
        <v>2338.8434999999999</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2787</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730002</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4.0500000000000001E-2</v>
      </c>
      <c r="G7" s="219"/>
    </row>
    <row r="8" spans="1:8" s="223" customFormat="1">
      <c r="A8" s="778" t="s">
        <v>1474</v>
      </c>
      <c r="B8" s="215" t="s">
        <v>1475</v>
      </c>
      <c r="C8" s="220">
        <f ca="1">IF(G8="已包含在土地购买价格中",0,C9+C10)</f>
        <v>730002</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113</v>
      </c>
      <c r="F9" s="221"/>
      <c r="G9" s="226"/>
    </row>
    <row r="10" spans="1:8" s="214" customFormat="1" ht="13.5" customHeight="1">
      <c r="A10" s="779" t="s">
        <v>356</v>
      </c>
      <c r="B10" s="224" t="s">
        <v>1478</v>
      </c>
      <c r="C10" s="225">
        <f ca="1">ROUND(D10*E10,0)</f>
        <v>730002</v>
      </c>
      <c r="D10" s="845">
        <f ca="1">IF(B1="",'数据-汇总表'!E6,IF(INDIRECT("'数据-取费表'!c"&amp;$G$1)="住宅",INDIRECT("'数据-取费表'!s"&amp;$G$1),INDIRECT("'数据-取费表'!k"&amp;$G$1)+INDIRECT("'数据-取费表'!s"&amp;$G$1)))</f>
        <v>8390.83</v>
      </c>
      <c r="E10" s="225">
        <f>'数据-取费表'!B28</f>
        <v>87</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1678166</v>
      </c>
      <c r="D19" s="849">
        <f ca="1">D9+D10</f>
        <v>8390.83</v>
      </c>
      <c r="E19" s="211">
        <f>'数据-取费表'!B31</f>
        <v>200</v>
      </c>
      <c r="F19" s="231"/>
      <c r="G19" s="1856"/>
    </row>
    <row r="20" spans="1:7" s="214" customFormat="1" ht="13.5" customHeight="1">
      <c r="A20" s="255" t="s">
        <v>1572</v>
      </c>
      <c r="B20" s="210" t="s">
        <v>1573</v>
      </c>
      <c r="C20" s="232">
        <f ca="1">ROUND((C5+C19)*F20,0)</f>
        <v>48163</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130644</v>
      </c>
      <c r="D22" s="235">
        <f ca="1">C26</f>
        <v>5.0000000000000001E-4</v>
      </c>
      <c r="E22" s="236" t="s">
        <v>1577</v>
      </c>
      <c r="F22" s="237">
        <f ca="1">'数据-取费表'!B40</f>
        <v>3.5499999999999997E-2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39216</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90151</v>
      </c>
      <c r="D24" s="238"/>
      <c r="E24" s="238"/>
      <c r="F24" s="239"/>
      <c r="G24" s="240" t="s">
        <v>1584</v>
      </c>
    </row>
    <row r="25" spans="1:7" s="214" customFormat="1" ht="24">
      <c r="A25" s="780" t="s">
        <v>1474</v>
      </c>
      <c r="B25" s="215" t="s">
        <v>1585</v>
      </c>
      <c r="C25" s="1128">
        <f ca="1">ROUND(IF('数据-取费表'!B22&lt;=1,C20*F22*'数据-取费表'!B22/2,C20*(POWER((1+F22),'数据-取费表'!B22/2)-1)),0)</f>
        <v>1277</v>
      </c>
      <c r="D25" s="238"/>
      <c r="E25" s="241"/>
      <c r="F25" s="239"/>
      <c r="G25" s="242" t="s">
        <v>1586</v>
      </c>
    </row>
    <row r="26" spans="1:7" s="214" customFormat="1">
      <c r="A26" s="780" t="s">
        <v>350</v>
      </c>
      <c r="B26" s="215" t="s">
        <v>1509</v>
      </c>
      <c r="C26" s="238">
        <f ca="1">ROUND(IF('数据-取费表'!B22&lt;=1,F21*F22*'数据-取费表'!B22/2,F21*(POWER((1+F22),'数据-取费表'!B22/2)-1)),4)</f>
        <v>5.0000000000000001E-4</v>
      </c>
      <c r="D26" s="238"/>
      <c r="E26" s="241"/>
      <c r="F26" s="239"/>
      <c r="G26" s="243"/>
    </row>
    <row r="27" spans="1:7" s="214" customFormat="1" ht="24.75">
      <c r="A27" s="255" t="s">
        <v>1510</v>
      </c>
      <c r="B27" s="244" t="s">
        <v>1511</v>
      </c>
      <c r="C27" s="245">
        <f ca="1">C28</f>
        <v>122817</v>
      </c>
      <c r="D27" s="235">
        <f ca="1">C29</f>
        <v>1E-3</v>
      </c>
      <c r="E27" s="236" t="s">
        <v>1512</v>
      </c>
      <c r="F27" s="246">
        <f ca="1">IF(B1="",'数据-取费表'!Q16,INDIRECT("'数据-取费表'!q"&amp;$G$1))</f>
        <v>0.05</v>
      </c>
      <c r="G27" s="247" t="s">
        <v>1513</v>
      </c>
    </row>
    <row r="28" spans="1:7" s="214" customFormat="1" ht="13.5" customHeight="1">
      <c r="A28" s="780" t="s">
        <v>346</v>
      </c>
      <c r="B28" s="248" t="s">
        <v>1514</v>
      </c>
      <c r="C28" s="249">
        <f ca="1">ROUND((C5+C19+C20)*F27,0)</f>
        <v>122817</v>
      </c>
      <c r="D28" s="235"/>
      <c r="E28" s="236"/>
      <c r="F28" s="246"/>
      <c r="G28" s="247"/>
    </row>
    <row r="29" spans="1:7" s="214" customFormat="1" ht="13.5" customHeight="1">
      <c r="A29" s="780" t="s">
        <v>347</v>
      </c>
      <c r="B29" s="248" t="s">
        <v>1515</v>
      </c>
      <c r="C29" s="238">
        <f ca="1">ROUND(C21*F27,4)</f>
        <v>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2926025</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17977354</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15523036</v>
      </c>
      <c r="D34" s="217"/>
      <c r="E34" s="220"/>
      <c r="F34" s="257"/>
      <c r="G34" s="219"/>
    </row>
    <row r="35" spans="1:7" ht="13.5" customHeight="1">
      <c r="A35" s="780" t="s">
        <v>351</v>
      </c>
      <c r="B35" s="215" t="s">
        <v>1525</v>
      </c>
      <c r="C35" s="220">
        <f ca="1">ROUND(C34*F35,0)</f>
        <v>465691</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1678166</v>
      </c>
      <c r="D37" s="217">
        <f ca="1">D19</f>
        <v>8390.83</v>
      </c>
      <c r="E37" s="249">
        <f>'数据-取费表'!B35</f>
        <v>200</v>
      </c>
      <c r="F37" s="259"/>
      <c r="G37" s="261"/>
    </row>
    <row r="38" spans="1:7" ht="13.5" customHeight="1">
      <c r="A38" s="780" t="s">
        <v>354</v>
      </c>
      <c r="B38" s="215" t="s">
        <v>1531</v>
      </c>
      <c r="C38" s="220">
        <f ca="1">ROUND(C34*F38,0)</f>
        <v>310461</v>
      </c>
      <c r="D38" s="220"/>
      <c r="E38" s="220"/>
      <c r="F38" s="259">
        <f>'数据-取费表'!B36</f>
        <v>0.02</v>
      </c>
      <c r="G38" s="219" t="s">
        <v>1526</v>
      </c>
    </row>
    <row r="39" spans="1:7" s="214" customFormat="1" ht="13.5" customHeight="1">
      <c r="A39" s="255" t="s">
        <v>1532</v>
      </c>
      <c r="B39" s="210" t="s">
        <v>1533</v>
      </c>
      <c r="C39" s="232">
        <f ca="1">ROUND(C33*F20,0)</f>
        <v>359547</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486085</v>
      </c>
      <c r="D41" s="235">
        <f ca="1">C44</f>
        <v>5.0000000000000001E-4</v>
      </c>
      <c r="E41" s="236" t="s">
        <v>1537</v>
      </c>
      <c r="F41" s="237">
        <f ca="1">F22</f>
        <v>3.5499999999999997E-2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476554</v>
      </c>
      <c r="D42" s="238"/>
      <c r="E42" s="238"/>
      <c r="F42" s="239"/>
      <c r="G42" s="3650" t="s">
        <v>1589</v>
      </c>
    </row>
    <row r="43" spans="1:7" ht="13.5" customHeight="1">
      <c r="A43" s="780" t="s">
        <v>347</v>
      </c>
      <c r="B43" s="215" t="s">
        <v>1543</v>
      </c>
      <c r="C43" s="238">
        <f ca="1">ROUND(IF('数据-取费表'!B22&lt;=1,C39*F22*'数据-取费表'!B20/2,C39*(POWER((1+F22),'数据-取费表'!B20/2)-1)),0)</f>
        <v>9531</v>
      </c>
      <c r="D43" s="238"/>
      <c r="E43" s="238"/>
      <c r="F43" s="239"/>
      <c r="G43" s="3651"/>
    </row>
    <row r="44" spans="1:7" ht="13.5" customHeight="1">
      <c r="A44" s="780" t="s">
        <v>348</v>
      </c>
      <c r="B44" s="215" t="s">
        <v>1544</v>
      </c>
      <c r="C44" s="238">
        <f ca="1">ROUND(IF('数据-取费表'!B22&lt;=1,C40*F22*'数据-取费表'!B20/2,C40*(POWER((1+F22),'数据-取费表'!B20/2)-1)),4)</f>
        <v>5.0000000000000001E-4</v>
      </c>
      <c r="D44" s="238"/>
      <c r="E44" s="238"/>
      <c r="F44" s="239"/>
      <c r="G44" s="3652"/>
    </row>
    <row r="45" spans="1:7" s="214" customFormat="1" ht="13.5" customHeight="1">
      <c r="A45" s="255" t="s">
        <v>1545</v>
      </c>
      <c r="B45" s="244" t="s">
        <v>1511</v>
      </c>
      <c r="C45" s="245">
        <f ca="1">C46</f>
        <v>916845</v>
      </c>
      <c r="D45" s="235">
        <f ca="1">C47</f>
        <v>1E-3</v>
      </c>
      <c r="E45" s="236" t="s">
        <v>1537</v>
      </c>
      <c r="F45" s="246">
        <f ca="1">F27</f>
        <v>0.05</v>
      </c>
      <c r="G45" s="247" t="s">
        <v>1546</v>
      </c>
    </row>
    <row r="46" spans="1:7" s="214" customFormat="1" ht="13.5" customHeight="1">
      <c r="A46" s="780" t="s">
        <v>346</v>
      </c>
      <c r="B46" s="248" t="s">
        <v>1547</v>
      </c>
      <c r="C46" s="249">
        <f ca="1">ROUND((C33+C39)*F27,0)</f>
        <v>916845</v>
      </c>
      <c r="D46" s="263"/>
      <c r="E46" s="236"/>
      <c r="F46" s="246"/>
      <c r="G46" s="247"/>
    </row>
    <row r="47" spans="1:7" s="214" customFormat="1" ht="13.5" customHeight="1">
      <c r="A47" s="780" t="s">
        <v>347</v>
      </c>
      <c r="B47" s="248" t="s">
        <v>1548</v>
      </c>
      <c r="C47" s="238">
        <f ca="1">ROUND(C40*F27,4)</f>
        <v>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21315010</v>
      </c>
      <c r="D49" s="232"/>
      <c r="E49" s="232"/>
      <c r="F49" s="264"/>
      <c r="G49" s="234" t="s">
        <v>1552</v>
      </c>
    </row>
    <row r="50" spans="1:7" s="258" customFormat="1">
      <c r="A50" s="255" t="s">
        <v>1553</v>
      </c>
      <c r="B50" s="210" t="s">
        <v>1554</v>
      </c>
      <c r="C50" s="232"/>
      <c r="D50" s="232"/>
      <c r="E50" s="232"/>
      <c r="F50" s="264">
        <f>IF('数据-取费表'!B24=0,'数据-取费表'!N16,1)</f>
        <v>0.96</v>
      </c>
      <c r="G50" s="247"/>
    </row>
    <row r="51" spans="1:7" ht="16.5" customHeight="1">
      <c r="A51" s="255" t="s">
        <v>1556</v>
      </c>
      <c r="B51" s="210" t="s">
        <v>1591</v>
      </c>
      <c r="C51" s="232">
        <f ca="1">ROUND(C49*F50,0)</f>
        <v>20462410</v>
      </c>
      <c r="D51" s="232"/>
      <c r="E51" s="232"/>
      <c r="F51" s="264"/>
      <c r="G51" s="234" t="s">
        <v>1558</v>
      </c>
    </row>
    <row r="52" spans="1:7" s="208" customFormat="1" ht="16.5" thickBot="1">
      <c r="A52" s="265" t="s">
        <v>1559</v>
      </c>
      <c r="B52" s="266"/>
      <c r="C52" s="267">
        <f ca="1">C31+C51</f>
        <v>23388435</v>
      </c>
      <c r="D52" s="266"/>
      <c r="E52" s="266"/>
      <c r="F52" s="266"/>
      <c r="G52" s="268"/>
    </row>
    <row r="55" spans="1:7" ht="15">
      <c r="B55" s="270" t="s">
        <v>1560</v>
      </c>
      <c r="C55" s="271"/>
    </row>
    <row r="56" spans="1:7">
      <c r="B56" s="273" t="s">
        <v>800</v>
      </c>
      <c r="C56" s="275">
        <f ca="1">1-C57</f>
        <v>0.125</v>
      </c>
    </row>
    <row r="57" spans="1:7">
      <c r="B57" s="273" t="s">
        <v>801</v>
      </c>
      <c r="C57" s="274">
        <f ca="1">ROUND(C51/C52,3)</f>
        <v>0.875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5"/>
      <c r="F1" s="2805"/>
      <c r="G1" s="2670"/>
      <c r="H1" s="2805"/>
      <c r="I1" s="2805"/>
      <c r="J1" s="2805"/>
      <c r="K1" s="2806">
        <f>MATCH(C1,'数据-取费表'!A6:A16,0)+5</f>
        <v>7</v>
      </c>
    </row>
    <row r="2" spans="1:33" ht="18" customHeight="1">
      <c r="A2" s="201" t="s">
        <v>1460</v>
      </c>
      <c r="B2" s="204">
        <f ca="1">C32</f>
        <v>0</v>
      </c>
      <c r="C2" s="276" t="s">
        <v>1593</v>
      </c>
      <c r="D2" s="276"/>
      <c r="E2" s="2805"/>
      <c r="F2" s="2805"/>
      <c r="G2" s="2805"/>
      <c r="H2" s="2805"/>
      <c r="I2" s="2805"/>
      <c r="J2" s="2805"/>
      <c r="K2" s="2805"/>
    </row>
    <row r="3" spans="1:33" ht="18" customHeight="1" thickBot="1">
      <c r="A3" s="203" t="s">
        <v>1462</v>
      </c>
      <c r="B3" s="204">
        <f ca="1">ROUND(B2*10000/IF(C1="",'数据-汇总表'!E3,INDIRECT("'数据-取费表'!K"&amp;$K$1)),0)</f>
        <v>0</v>
      </c>
      <c r="C3" s="276" t="s">
        <v>1594</v>
      </c>
      <c r="D3" s="276"/>
      <c r="E3" s="2805"/>
      <c r="F3" s="2805"/>
      <c r="G3" s="2805"/>
      <c r="H3" s="2805"/>
      <c r="I3" s="2805"/>
      <c r="J3" s="2805"/>
      <c r="K3" s="2805"/>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8390.83</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0.02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8390.83</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113</v>
      </c>
      <c r="F19" s="804"/>
      <c r="G19" s="12"/>
      <c r="H19" s="1189"/>
      <c r="I19" s="809"/>
      <c r="J19" s="809"/>
      <c r="K19" s="810"/>
    </row>
    <row r="20" spans="1:33" s="803" customFormat="1" ht="13.5" customHeight="1">
      <c r="A20" s="800" t="s">
        <v>361</v>
      </c>
      <c r="B20" s="801" t="s">
        <v>1625</v>
      </c>
      <c r="C20" s="21">
        <f ca="1">ROUND(D20*E20/10000,0)</f>
        <v>73</v>
      </c>
      <c r="D20" s="846">
        <f ca="1">IF(C1="",'数据-汇总表'!E6,IF(INDIRECT("'数据-取费表'!c"&amp;$K$1)="住宅",INDIRECT("'数据-取费表'!s"&amp;$K$1),INDIRECT("'数据-取费表'!k"&amp;$K$1)+INDIRECT("'数据-取费表'!s"&amp;$K$1)))</f>
        <v>8390.83</v>
      </c>
      <c r="E20" s="21">
        <f>'数据-取费表'!B28</f>
        <v>87</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3.8600000000000002E-2</v>
      </c>
      <c r="D24" s="281" t="s">
        <v>12</v>
      </c>
      <c r="E24" s="281"/>
      <c r="F24" s="816">
        <f>IF(项目基本情况!B8="出让",0,'数据-取费表'!B48+'数据-取费表'!B49)</f>
        <v>4.0500000000000001E-2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5.5000000000000007E-2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c r="D1" s="1362" t="s">
        <v>43</v>
      </c>
      <c r="E1" s="1363" t="s">
        <v>676</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876</v>
      </c>
      <c r="B2" s="3424" t="e">
        <f ca="1">ROUND(D2/10000,4)</f>
        <v>#DIV/0!</v>
      </c>
      <c r="C2" s="1387" t="s">
        <v>877</v>
      </c>
      <c r="D2" s="1471" t="e">
        <f ca="1">C40+J29+L46</f>
        <v>#DIV/0!</v>
      </c>
      <c r="E2" s="1388" t="s">
        <v>878</v>
      </c>
      <c r="F2" s="1389"/>
      <c r="G2" s="2705"/>
      <c r="H2" s="2694"/>
      <c r="I2" s="2694"/>
      <c r="J2" s="2694"/>
      <c r="K2" s="2695"/>
      <c r="L2" s="2694"/>
      <c r="M2" s="2694"/>
    </row>
    <row r="3" spans="1:37" ht="18" customHeight="1" thickBot="1">
      <c r="A3" s="1390" t="s">
        <v>879</v>
      </c>
      <c r="B3" s="1391">
        <f ca="1">IF(ISERROR(D2/F43),0,ROUND(D2/F43,0))</f>
        <v>0</v>
      </c>
      <c r="C3" s="1387" t="s">
        <v>880</v>
      </c>
      <c r="D3" s="1387"/>
      <c r="E3" s="1388"/>
      <c r="F3" s="1389"/>
      <c r="G3" s="2705"/>
      <c r="H3" s="683" t="s">
        <v>874</v>
      </c>
      <c r="I3" s="1382"/>
      <c r="J3" s="1382"/>
      <c r="K3" s="1383"/>
      <c r="L3" s="1382"/>
      <c r="M3" s="1382"/>
    </row>
    <row r="4" spans="1:37" ht="18" customHeight="1">
      <c r="A4" s="295" t="s">
        <v>881</v>
      </c>
      <c r="B4" s="296" t="s">
        <v>882</v>
      </c>
      <c r="C4" s="296" t="s">
        <v>883</v>
      </c>
      <c r="D4" s="296" t="s">
        <v>884</v>
      </c>
      <c r="E4" s="297" t="s">
        <v>885</v>
      </c>
      <c r="F4" s="298"/>
      <c r="G4" s="1384"/>
      <c r="H4" s="295" t="s">
        <v>881</v>
      </c>
      <c r="I4" s="296" t="s">
        <v>882</v>
      </c>
      <c r="J4" s="296" t="s">
        <v>883</v>
      </c>
      <c r="K4" s="296" t="s">
        <v>884</v>
      </c>
      <c r="L4" s="297" t="s">
        <v>885</v>
      </c>
      <c r="M4" s="298"/>
    </row>
    <row r="5" spans="1:37" ht="18" customHeight="1">
      <c r="A5" s="299">
        <v>1</v>
      </c>
      <c r="B5" s="300" t="s">
        <v>886</v>
      </c>
      <c r="C5" s="1070">
        <f ca="1">C6+C10+C12</f>
        <v>0</v>
      </c>
      <c r="D5" s="1364" t="s">
        <v>887</v>
      </c>
      <c r="E5" s="1071"/>
      <c r="F5" s="1072"/>
      <c r="G5" s="1384"/>
      <c r="H5" s="299">
        <v>1</v>
      </c>
      <c r="I5" s="300" t="s">
        <v>886</v>
      </c>
      <c r="J5" s="1070">
        <f ca="1">J6+J10+J12</f>
        <v>0</v>
      </c>
      <c r="K5" s="1364" t="s">
        <v>887</v>
      </c>
      <c r="L5" s="1071"/>
      <c r="M5" s="1072"/>
    </row>
    <row r="6" spans="1:37" ht="18" customHeight="1">
      <c r="A6" s="1069" t="s">
        <v>398</v>
      </c>
      <c r="B6" s="3653" t="s">
        <v>692</v>
      </c>
      <c r="C6" s="1074">
        <f ca="1">ROUND(F6*F8*F7*(1-F9),0)</f>
        <v>0</v>
      </c>
      <c r="D6" s="155" t="s">
        <v>2102</v>
      </c>
      <c r="E6" s="302" t="s">
        <v>694</v>
      </c>
      <c r="F6" s="303">
        <f ca="1">INDIRECT("'数据-取费表'!u"&amp;$G$1)</f>
        <v>0</v>
      </c>
      <c r="G6" s="1384"/>
      <c r="H6" s="1069" t="s">
        <v>398</v>
      </c>
      <c r="I6" s="3653" t="s">
        <v>692</v>
      </c>
      <c r="J6" s="301">
        <f ca="1">ROUND(M6*M8*M7*(1-M9),0)</f>
        <v>0</v>
      </c>
      <c r="K6" s="1376" t="s">
        <v>2103</v>
      </c>
      <c r="L6" s="302" t="s">
        <v>694</v>
      </c>
      <c r="M6" s="303">
        <f ca="1">INDIRECT("'数据-取费表'!z"&amp;$G$1)</f>
        <v>0</v>
      </c>
    </row>
    <row r="7" spans="1:37" ht="18" customHeight="1">
      <c r="A7" s="1073"/>
      <c r="B7" s="3654"/>
      <c r="C7" s="1075"/>
      <c r="D7" s="307"/>
      <c r="E7" s="1076" t="s">
        <v>695</v>
      </c>
      <c r="F7" s="303">
        <f ca="1">IF(INDIRECT("'数据-取费表'!ah"&amp;$G$1)="",INDIRECT("'数据-取费表'!k"&amp;$G$1),INDIRECT("'数据-取费表'!ah"&amp;$G$1))</f>
        <v>0</v>
      </c>
      <c r="G7" s="1384"/>
      <c r="H7" s="304"/>
      <c r="I7" s="3654"/>
      <c r="J7" s="306"/>
      <c r="K7" s="307"/>
      <c r="L7" s="302" t="s">
        <v>695</v>
      </c>
      <c r="M7" s="303">
        <f ca="1">F7</f>
        <v>0</v>
      </c>
    </row>
    <row r="8" spans="1:37" ht="18" customHeight="1">
      <c r="A8" s="304"/>
      <c r="B8" s="3654"/>
      <c r="C8" s="306"/>
      <c r="D8" s="307"/>
      <c r="E8" s="302" t="s">
        <v>696</v>
      </c>
      <c r="F8" s="303">
        <f ca="1">INDIRECT("'数据-取费表'!ai"&amp;$G$1)</f>
        <v>0</v>
      </c>
      <c r="G8" s="1384"/>
      <c r="H8" s="304"/>
      <c r="I8" s="3654"/>
      <c r="J8" s="306"/>
      <c r="K8" s="307"/>
      <c r="L8" s="302" t="s">
        <v>696</v>
      </c>
      <c r="M8" s="303">
        <f ca="1">INDIRECT("'数据-取费表'!ai"&amp;$G$1)</f>
        <v>0</v>
      </c>
    </row>
    <row r="9" spans="1:37" ht="18" customHeight="1">
      <c r="A9" s="304"/>
      <c r="B9" s="3655"/>
      <c r="C9" s="306"/>
      <c r="D9" s="307"/>
      <c r="E9" s="302" t="s">
        <v>697</v>
      </c>
      <c r="F9" s="312">
        <f ca="1">INDIRECT("'数据-取费表'!w"&amp;$G$1)</f>
        <v>0</v>
      </c>
      <c r="G9" s="1384"/>
      <c r="H9" s="304"/>
      <c r="I9" s="3655"/>
      <c r="J9" s="306"/>
      <c r="K9" s="307"/>
      <c r="L9" s="313" t="s">
        <v>697</v>
      </c>
      <c r="M9" s="314">
        <f ca="1">INDIRECT("'数据-取费表'!ab"&amp;$G$1)</f>
        <v>0</v>
      </c>
    </row>
    <row r="10" spans="1:37" ht="18" customHeight="1">
      <c r="A10" s="1069" t="s">
        <v>402</v>
      </c>
      <c r="B10" s="1365" t="s">
        <v>698</v>
      </c>
      <c r="C10" s="316">
        <f ca="1">ROUND(IF(F10="押一",C6/12*F11,IF(F10="押二",C6/12*2*F11,IF(F10="押三",C6/12*3*F11,C11*F11))),0)</f>
        <v>0</v>
      </c>
      <c r="D10" s="1366" t="s">
        <v>2112</v>
      </c>
      <c r="E10" s="313" t="s">
        <v>699</v>
      </c>
      <c r="F10" s="1116"/>
      <c r="G10" s="1384"/>
      <c r="H10" s="1069" t="s">
        <v>402</v>
      </c>
      <c r="I10" s="1365" t="s">
        <v>698</v>
      </c>
      <c r="J10" s="301">
        <f ca="1">ROUND(IF(M10="押一",J6/12*M11,IF(M10="押二",J6/12*2*M11,IF(M10="押三",J6/12*3*M11,J11*M11))),0)</f>
        <v>0</v>
      </c>
      <c r="K10" s="1377" t="s">
        <v>2114</v>
      </c>
      <c r="L10" s="313" t="s">
        <v>699</v>
      </c>
      <c r="M10" s="1116"/>
    </row>
    <row r="11" spans="1:37" ht="18" customHeight="1">
      <c r="A11" s="308"/>
      <c r="B11" s="1367" t="s">
        <v>888</v>
      </c>
      <c r="C11" s="959"/>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0</v>
      </c>
      <c r="D13" s="1081" t="s">
        <v>703</v>
      </c>
      <c r="E13" s="1081" t="s">
        <v>704</v>
      </c>
      <c r="F13" s="1082">
        <f ca="1">INDIRECT("'数据-取费表'!y"&amp;$G$1)</f>
        <v>0</v>
      </c>
      <c r="G13" s="1384"/>
      <c r="H13" s="1079">
        <v>2</v>
      </c>
      <c r="I13" s="1080" t="s">
        <v>702</v>
      </c>
      <c r="J13" s="1068">
        <f ca="1">ROUND(J14*J15,0)</f>
        <v>0</v>
      </c>
      <c r="K13" s="1087" t="s">
        <v>703</v>
      </c>
      <c r="L13" s="1392"/>
      <c r="M13" s="1393"/>
    </row>
    <row r="14" spans="1:37" ht="18" customHeight="1">
      <c r="A14" s="982" t="s">
        <v>397</v>
      </c>
      <c r="B14" s="302" t="s">
        <v>705</v>
      </c>
      <c r="C14" s="318">
        <f ca="1">ROUND(INDIRECT("'数据-取费表'!l"&amp;$G$1)*F43+'数据-取费表'!L14*INDIRECT("'数据-取费表'!S"&amp;$G$1),0)</f>
        <v>0</v>
      </c>
      <c r="D14" s="1345" t="s">
        <v>706</v>
      </c>
      <c r="E14" s="1342"/>
      <c r="F14" s="319"/>
      <c r="G14" s="1384"/>
      <c r="H14" s="982" t="s">
        <v>398</v>
      </c>
      <c r="I14" s="302" t="s">
        <v>707</v>
      </c>
      <c r="J14" s="21">
        <f ca="1">C29</f>
        <v>0</v>
      </c>
      <c r="K14" s="12"/>
      <c r="L14" s="807"/>
      <c r="M14" s="808"/>
    </row>
    <row r="15" spans="1:37" s="1397" customFormat="1" ht="18" customHeight="1" thickBot="1">
      <c r="A15" s="982" t="s">
        <v>399</v>
      </c>
      <c r="B15" s="302" t="s">
        <v>708</v>
      </c>
      <c r="C15" s="21">
        <f ca="1">ROUND(C14*F15,0)</f>
        <v>0</v>
      </c>
      <c r="D15" s="320" t="s">
        <v>709</v>
      </c>
      <c r="E15" s="320"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0</v>
      </c>
      <c r="D16" s="302" t="s">
        <v>709</v>
      </c>
      <c r="E16" s="302" t="s">
        <v>710</v>
      </c>
      <c r="F16" s="322">
        <f ca="1">IF(INDIRECT("'数据-取费表'!c"&amp;$G$1)="住宅",'数据-取费表'!B34,0)</f>
        <v>0</v>
      </c>
      <c r="G16" s="1384"/>
      <c r="H16" s="1079" t="s">
        <v>393</v>
      </c>
      <c r="I16" s="1080" t="s">
        <v>712</v>
      </c>
      <c r="J16" s="310">
        <f ca="1">ROUND(J17+J22+J23+J24,0)</f>
        <v>0</v>
      </c>
      <c r="K16" s="1087" t="s">
        <v>713</v>
      </c>
      <c r="L16" s="1088"/>
      <c r="M16" s="1072"/>
    </row>
    <row r="17" spans="1:37" s="1397" customFormat="1" ht="18" customHeight="1">
      <c r="A17" s="982" t="s">
        <v>679</v>
      </c>
      <c r="B17" s="302" t="s">
        <v>714</v>
      </c>
      <c r="C17" s="21">
        <f ca="1">ROUND(F17*(F43+INDIRECT("'数据-取费表'!S"&amp;$G$1)),0)</f>
        <v>0</v>
      </c>
      <c r="D17" s="302" t="s">
        <v>715</v>
      </c>
      <c r="E17" s="302" t="s">
        <v>716</v>
      </c>
      <c r="F17" s="23">
        <f>'数据-取费表'!B35</f>
        <v>200</v>
      </c>
      <c r="G17" s="1396"/>
      <c r="H17" s="982" t="s">
        <v>398</v>
      </c>
      <c r="I17" s="302" t="s">
        <v>717</v>
      </c>
      <c r="J17" s="2316">
        <f ca="1">ROUND(IF(AND(项目基本情况!B11="自然人",项目基本情况!B10="北京市"),J6*M17/(1+'数据-取费表'!C42),J18+J19+J20),0)</f>
        <v>0</v>
      </c>
      <c r="K17" s="1345" t="s">
        <v>718</v>
      </c>
      <c r="L17" s="1344" t="s">
        <v>719</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0</v>
      </c>
      <c r="D18" s="302" t="s">
        <v>709</v>
      </c>
      <c r="E18" s="302" t="s">
        <v>710</v>
      </c>
      <c r="F18" s="322">
        <f>'数据-取费表'!B36</f>
        <v>0.02</v>
      </c>
      <c r="G18" s="1396"/>
      <c r="H18" s="982" t="s">
        <v>397</v>
      </c>
      <c r="I18" s="302" t="s">
        <v>721</v>
      </c>
      <c r="J18" s="21">
        <f ca="1">ROUND(J6*M18/(1+'数据-取费表'!C42),0)</f>
        <v>0</v>
      </c>
      <c r="K18" s="1344" t="s">
        <v>722</v>
      </c>
      <c r="L18" s="302" t="s">
        <v>710</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0</v>
      </c>
      <c r="D19" s="131" t="s">
        <v>724</v>
      </c>
      <c r="E19" s="1360"/>
      <c r="F19" s="23"/>
      <c r="G19" s="1384"/>
      <c r="H19" s="982" t="s">
        <v>399</v>
      </c>
      <c r="I19" s="302" t="s">
        <v>725</v>
      </c>
      <c r="J19" s="21">
        <f ca="1">IF(K19="按租金收入计税",ROUND(J6*M19/(1+'数据-取费表'!C42),0),ROUND(C29*M19*0.7,0))</f>
        <v>0</v>
      </c>
      <c r="K19" s="1370" t="s">
        <v>3336</v>
      </c>
      <c r="L19" s="302" t="s">
        <v>710</v>
      </c>
      <c r="M19" s="322">
        <f>IF(K19="按租金收入计税",'数据-取费表'!B51,'数据-取费表'!B50)</f>
        <v>0.12</v>
      </c>
    </row>
    <row r="20" spans="1:37" s="1397" customFormat="1" ht="18" customHeight="1">
      <c r="A20" s="982" t="s">
        <v>402</v>
      </c>
      <c r="B20" s="302" t="s">
        <v>726</v>
      </c>
      <c r="C20" s="21">
        <f ca="1">ROUND(C19*F20,0)</f>
        <v>0</v>
      </c>
      <c r="D20" s="323" t="s">
        <v>727</v>
      </c>
      <c r="E20" s="302" t="s">
        <v>710</v>
      </c>
      <c r="F20" s="322">
        <f>'数据-取费表'!B37</f>
        <v>0.02</v>
      </c>
      <c r="G20" s="1396"/>
      <c r="H20" s="982" t="s">
        <v>678</v>
      </c>
      <c r="I20" s="155" t="s">
        <v>728</v>
      </c>
      <c r="J20" s="22">
        <f ca="1">ROUND(M20*M21,0)</f>
        <v>0</v>
      </c>
      <c r="K20" s="324" t="s">
        <v>729</v>
      </c>
      <c r="L20" s="302" t="s">
        <v>730</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323"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ROUND(J14*M22,0)</f>
        <v>0</v>
      </c>
      <c r="K22" s="1344" t="s">
        <v>737</v>
      </c>
      <c r="L22" s="302" t="s">
        <v>710</v>
      </c>
      <c r="M22" s="328">
        <f ca="1">INDIRECT("'数据-取费表'!Ak"&amp;$G$1)</f>
        <v>0</v>
      </c>
    </row>
    <row r="23" spans="1:37" s="1397" customFormat="1" ht="18" customHeight="1">
      <c r="A23" s="982"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1.5</v>
      </c>
      <c r="G23" s="1396"/>
      <c r="H23" s="982" t="s">
        <v>437</v>
      </c>
      <c r="I23" s="302" t="s">
        <v>740</v>
      </c>
      <c r="J23" s="21">
        <f ca="1">ROUND(J13*M23,0)</f>
        <v>0</v>
      </c>
      <c r="K23" s="1344" t="s">
        <v>741</v>
      </c>
      <c r="L23" s="302" t="s">
        <v>742</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5.0000000000000001E-4</v>
      </c>
      <c r="D24" s="329" t="str">
        <f>IF(F23&lt;=1,"销售费用×利率×(建设周期÷2)","销售费用×((1+利率)^(建设周期÷2)-1)")</f>
        <v>销售费用×((1+利率)^(建设周期÷2)-1)</v>
      </c>
      <c r="E24" s="302" t="s">
        <v>745</v>
      </c>
      <c r="F24" s="331">
        <f ca="1">'数据-取费表'!B40</f>
        <v>3.5499999999999997E-2</v>
      </c>
      <c r="G24" s="1396"/>
      <c r="H24" s="1089" t="s">
        <v>682</v>
      </c>
      <c r="I24" s="1090" t="s">
        <v>726</v>
      </c>
      <c r="J24" s="1091">
        <f ca="1">ROUND(J5*M24,0)</f>
        <v>0</v>
      </c>
      <c r="K24" s="1092" t="s">
        <v>746</v>
      </c>
      <c r="L24" s="1090" t="s">
        <v>742</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1360"/>
      <c r="F25" s="23"/>
      <c r="G25" s="1384"/>
      <c r="H25" s="1079" t="s">
        <v>394</v>
      </c>
      <c r="I25" s="1094" t="s">
        <v>750</v>
      </c>
      <c r="J25" s="310">
        <f ca="1">J5-J16</f>
        <v>0</v>
      </c>
      <c r="K25" s="1095" t="s">
        <v>751</v>
      </c>
      <c r="L25" s="1096"/>
      <c r="M25" s="1097"/>
    </row>
    <row r="26" spans="1:37" ht="18" customHeight="1">
      <c r="A26" s="982" t="s">
        <v>397</v>
      </c>
      <c r="B26" s="302" t="s">
        <v>752</v>
      </c>
      <c r="C26" s="21">
        <f ca="1">ROUND((C19+C20)*F26,0)</f>
        <v>0</v>
      </c>
      <c r="D26" s="323" t="s">
        <v>753</v>
      </c>
      <c r="E26" s="313" t="s">
        <v>754</v>
      </c>
      <c r="F26" s="312">
        <f ca="1">INDIRECT("'数据-取费表'!q"&amp;$G$1)</f>
        <v>0</v>
      </c>
      <c r="G26" s="1384"/>
      <c r="H26" s="299" t="s">
        <v>395</v>
      </c>
      <c r="I26" s="300" t="s">
        <v>755</v>
      </c>
      <c r="J26" s="301">
        <f ca="1">IF(J5&lt;&gt;0,ROUND(J25*(1-((1+M28)/(1+M26))^M27)/(M26-M28),0),0)</f>
        <v>0</v>
      </c>
      <c r="K26" s="324" t="s">
        <v>756</v>
      </c>
      <c r="L26" s="302" t="s">
        <v>757</v>
      </c>
      <c r="M26" s="312">
        <f ca="1">INDIRECT("'数据-取费表'!I"&amp;$G$1)</f>
        <v>0</v>
      </c>
    </row>
    <row r="27" spans="1:37" ht="18" customHeight="1">
      <c r="A27" s="982" t="s">
        <v>399</v>
      </c>
      <c r="B27" s="302" t="s">
        <v>758</v>
      </c>
      <c r="C27" s="21">
        <f ca="1">ROUND(F21*F26,4)</f>
        <v>0</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5.2400000000000002E-2</v>
      </c>
      <c r="D28" s="323" t="s">
        <v>763</v>
      </c>
      <c r="E28" s="302" t="s">
        <v>710</v>
      </c>
      <c r="F28" s="322">
        <f>'数据-取费表'!B41</f>
        <v>5.5000000000000007E-2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0</v>
      </c>
      <c r="D29" s="1092"/>
      <c r="E29" s="1090"/>
      <c r="F29" s="1093"/>
      <c r="G29" s="1396"/>
      <c r="H29" s="334" t="s">
        <v>396</v>
      </c>
      <c r="I29" s="335" t="s">
        <v>766</v>
      </c>
      <c r="J29" s="336">
        <f ca="1">ROUND(J26/(1+F40)^F41,0)</f>
        <v>0</v>
      </c>
      <c r="K29" s="337" t="s">
        <v>767</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0</v>
      </c>
      <c r="D30" s="1087" t="s">
        <v>713</v>
      </c>
      <c r="E30" s="1088"/>
      <c r="F30" s="1072"/>
      <c r="G30" s="1384"/>
      <c r="H30" s="2696"/>
      <c r="I30" s="1398"/>
      <c r="J30" s="1399"/>
      <c r="K30" s="2475"/>
      <c r="L30" s="2697"/>
      <c r="M30" s="2698"/>
    </row>
    <row r="31" spans="1:37" ht="18" customHeight="1">
      <c r="A31" s="982" t="s">
        <v>398</v>
      </c>
      <c r="B31" s="302" t="s">
        <v>717</v>
      </c>
      <c r="C31" s="2316">
        <f ca="1">ROUND(IF(AND(项目基本情况!B11="自然人",项目基本情况!B10="北京市"),C6*F31/(1+'数据-取费表'!C42),C32+C33+C34),0)</f>
        <v>0</v>
      </c>
      <c r="D31" s="1345" t="s">
        <v>718</v>
      </c>
      <c r="E31" s="1344" t="s">
        <v>768</v>
      </c>
      <c r="F31" s="2315" t="str">
        <f>IF(项目基本情况!B11="企业","——",IF(M47="住宅",IF(F6*F7*F8/12/(1+'数据-取费表'!F30)&gt;100000,4%,2.5%),IF(F6*F7*F8/12/(1+'数据-取费表'!F30)&gt;100000,12%,7%)))</f>
        <v>——</v>
      </c>
      <c r="G31" s="1384"/>
      <c r="H31" s="2807" t="s">
        <v>2304</v>
      </c>
      <c r="I31" s="1398"/>
      <c r="J31" s="1399"/>
      <c r="K31" s="2475"/>
      <c r="L31" s="2697"/>
      <c r="M31" s="2698"/>
    </row>
    <row r="32" spans="1:37" ht="18" customHeight="1">
      <c r="A32" s="982" t="s">
        <v>397</v>
      </c>
      <c r="B32" s="302" t="s">
        <v>721</v>
      </c>
      <c r="C32" s="21">
        <f ca="1">IF(项目基本情况!B11="自然人","——",ROUND(C6*F32/(1+'数据-取费表'!C42),0))</f>
        <v>0</v>
      </c>
      <c r="D32" s="1344" t="s">
        <v>722</v>
      </c>
      <c r="E32" s="302" t="s">
        <v>710</v>
      </c>
      <c r="F32" s="331">
        <f>'数据-取费表'!B41</f>
        <v>5.5000000000000007E-2</v>
      </c>
      <c r="G32" s="1384"/>
      <c r="H32" s="2696"/>
      <c r="I32" s="1398"/>
      <c r="J32" s="1399"/>
      <c r="K32" s="2475"/>
      <c r="L32" s="2697"/>
      <c r="M32" s="2698"/>
    </row>
    <row r="33" spans="1:18" ht="18" customHeight="1">
      <c r="A33" s="982" t="s">
        <v>399</v>
      </c>
      <c r="B33" s="302" t="s">
        <v>725</v>
      </c>
      <c r="C33" s="21">
        <f ca="1">IF(项目基本情况!B11="自然人","——",IF(D33="按租金收入计税",ROUND(C6*F33/(1+'数据-取费表'!C42),0),IF(D33="按房产原值计税",ROUND(C29*F33*0.7,0),INDIRECT("'数据-取费表'!Aj"&amp;$G$1))))</f>
        <v>0</v>
      </c>
      <c r="D33" s="1370" t="s">
        <v>3336</v>
      </c>
      <c r="E33" s="302" t="s">
        <v>710</v>
      </c>
      <c r="F33" s="322">
        <f>IF(D33="按票据","——",IF(D33="按租金收入计税",'数据-取费表'!B51,'数据-取费表'!B50))</f>
        <v>0.12</v>
      </c>
      <c r="G33" s="1384"/>
      <c r="H33" s="2699"/>
      <c r="I33" s="1398"/>
      <c r="J33" s="1399"/>
      <c r="K33" s="2700"/>
      <c r="L33" s="2699"/>
      <c r="M33" s="2699"/>
    </row>
    <row r="34" spans="1:18" ht="18" customHeight="1">
      <c r="A34" s="1069" t="s">
        <v>678</v>
      </c>
      <c r="B34" s="155" t="s">
        <v>728</v>
      </c>
      <c r="C34" s="22">
        <f ca="1">IF(项目基本情况!B11="自然人","——",ROUND(F34*F35,0))</f>
        <v>0</v>
      </c>
      <c r="D34" s="324" t="s">
        <v>729</v>
      </c>
      <c r="E34" s="302" t="s">
        <v>730</v>
      </c>
      <c r="F34" s="325">
        <f>'数据-取费表'!B52</f>
        <v>3</v>
      </c>
      <c r="G34" s="1384"/>
      <c r="H34" s="2696"/>
      <c r="I34" s="1398"/>
      <c r="J34" s="1399"/>
      <c r="K34" s="2701"/>
      <c r="L34" s="2702"/>
      <c r="M34" s="2702"/>
    </row>
    <row r="35" spans="1:18" ht="18" customHeight="1">
      <c r="A35" s="1103"/>
      <c r="B35" s="1101"/>
      <c r="C35" s="26"/>
      <c r="D35" s="327"/>
      <c r="E35" s="302" t="s">
        <v>734</v>
      </c>
      <c r="F35" s="303">
        <f ca="1">INDIRECT("'数据-取费表'!r"&amp;$G$1)</f>
        <v>0</v>
      </c>
      <c r="G35" s="1384"/>
      <c r="H35" s="2696"/>
      <c r="I35" s="1398"/>
      <c r="J35" s="1399"/>
      <c r="K35" s="2700"/>
      <c r="L35" s="2699"/>
      <c r="M35" s="2699"/>
    </row>
    <row r="36" spans="1:18" ht="18" customHeight="1">
      <c r="A36" s="1102" t="s">
        <v>402</v>
      </c>
      <c r="B36" s="302" t="s">
        <v>736</v>
      </c>
      <c r="C36" s="21">
        <f ca="1">ROUND(C29*F36,0)</f>
        <v>0</v>
      </c>
      <c r="D36" s="1344" t="s">
        <v>769</v>
      </c>
      <c r="E36" s="302" t="s">
        <v>710</v>
      </c>
      <c r="F36" s="328">
        <f ca="1">INDIRECT("'数据-取费表'!Ak"&amp;$G$1)</f>
        <v>0</v>
      </c>
      <c r="G36" s="1384"/>
      <c r="H36" s="2699"/>
      <c r="I36" s="1398"/>
      <c r="J36" s="1399"/>
      <c r="K36" s="2544"/>
      <c r="L36" s="2699"/>
      <c r="M36" s="2699"/>
    </row>
    <row r="37" spans="1:18" ht="18" customHeight="1">
      <c r="A37" s="982" t="s">
        <v>437</v>
      </c>
      <c r="B37" s="302" t="s">
        <v>740</v>
      </c>
      <c r="C37" s="21">
        <f ca="1">ROUND(C13*F37,0)</f>
        <v>0</v>
      </c>
      <c r="D37" s="1344" t="s">
        <v>741</v>
      </c>
      <c r="E37" s="302" t="s">
        <v>742</v>
      </c>
      <c r="F37" s="330">
        <f ca="1">INDIRECT("'数据-取费表'!Al"&amp;$G$1)</f>
        <v>0</v>
      </c>
      <c r="G37" s="1384"/>
      <c r="H37" s="2699"/>
      <c r="I37" s="1398"/>
      <c r="J37" s="1399"/>
      <c r="K37" s="2544"/>
      <c r="L37" s="2699"/>
      <c r="M37" s="2699"/>
    </row>
    <row r="38" spans="1:18" ht="18" customHeight="1" thickBot="1">
      <c r="A38" s="1089" t="s">
        <v>682</v>
      </c>
      <c r="B38" s="1090" t="s">
        <v>726</v>
      </c>
      <c r="C38" s="1091">
        <f ca="1">ROUND(C5*F38,0)</f>
        <v>0</v>
      </c>
      <c r="D38" s="1092" t="s">
        <v>746</v>
      </c>
      <c r="E38" s="1090" t="s">
        <v>742</v>
      </c>
      <c r="F38" s="1086">
        <f ca="1">INDIRECT("'数据-取费表'!Am"&amp;$G$1)</f>
        <v>0</v>
      </c>
      <c r="G38" s="1384"/>
      <c r="H38" s="2699"/>
      <c r="I38" s="1398"/>
      <c r="J38" s="1399"/>
      <c r="K38" s="2703"/>
      <c r="L38" s="2699"/>
      <c r="M38" s="2699"/>
    </row>
    <row r="39" spans="1:18" ht="24.6" customHeight="1" thickTop="1">
      <c r="A39" s="1079" t="s">
        <v>394</v>
      </c>
      <c r="B39" s="1094" t="s">
        <v>770</v>
      </c>
      <c r="C39" s="310">
        <f ca="1">C5-C30</f>
        <v>0</v>
      </c>
      <c r="D39" s="1095" t="s">
        <v>771</v>
      </c>
      <c r="E39" s="1096"/>
      <c r="F39" s="1097"/>
      <c r="G39" s="1384"/>
      <c r="H39" s="2699"/>
      <c r="I39" s="1398"/>
      <c r="J39" s="1399"/>
      <c r="K39" s="2703"/>
      <c r="L39" s="2699"/>
      <c r="M39" s="2699"/>
    </row>
    <row r="40" spans="1:18" ht="18" customHeight="1">
      <c r="A40" s="299" t="s">
        <v>395</v>
      </c>
      <c r="B40" s="300" t="s">
        <v>772</v>
      </c>
      <c r="C40" s="301" t="e">
        <f ca="1">ROUND(C39*(1-((1+F42)/(1+F40))^F41)/(F40-F42),0)</f>
        <v>#DIV/0!</v>
      </c>
      <c r="D40" s="324" t="s">
        <v>756</v>
      </c>
      <c r="E40" s="302" t="s">
        <v>757</v>
      </c>
      <c r="F40" s="312">
        <f ca="1">INDIRECT("'数据-取费表'!I"&amp;$G$1)</f>
        <v>0</v>
      </c>
      <c r="G40" s="1384"/>
      <c r="H40" s="1461"/>
      <c r="I40" s="1398"/>
      <c r="J40" s="1399"/>
      <c r="K40" s="2703"/>
      <c r="L40" s="1461"/>
      <c r="M40" s="1461"/>
    </row>
    <row r="41" spans="1:18" ht="18" customHeight="1">
      <c r="A41" s="304"/>
      <c r="B41" s="305"/>
      <c r="C41" s="306"/>
      <c r="D41" s="332" t="s">
        <v>773</v>
      </c>
      <c r="E41" s="302" t="s">
        <v>761</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764</v>
      </c>
      <c r="F42" s="312">
        <f ca="1">INDIRECT("'数据-取费表'!v"&amp;$G$1)</f>
        <v>0</v>
      </c>
      <c r="G42" s="1384"/>
      <c r="H42" s="1191"/>
      <c r="I42" s="1398"/>
      <c r="J42" s="1399"/>
      <c r="K42" s="2544"/>
      <c r="L42" s="1191"/>
      <c r="M42" s="1191"/>
    </row>
    <row r="43" spans="1:18" ht="18" customHeight="1" thickBot="1">
      <c r="A43" s="334" t="s">
        <v>396</v>
      </c>
      <c r="B43" s="335" t="s">
        <v>774</v>
      </c>
      <c r="C43" s="336" t="e">
        <f ca="1">ROUND(C40/F43,0)</f>
        <v>#DIV/0!</v>
      </c>
      <c r="D43" s="337" t="s">
        <v>775</v>
      </c>
      <c r="E43" s="338" t="s">
        <v>776</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t="e">
        <f ca="1">ROUND((C68-C40)/10000,4)</f>
        <v>#DIV/0!</v>
      </c>
      <c r="D45" s="3431" t="s">
        <v>3353</v>
      </c>
      <c r="E45" s="1400"/>
      <c r="F45" s="1400"/>
      <c r="O45" s="1403" t="s">
        <v>806</v>
      </c>
      <c r="P45" s="1461"/>
      <c r="Q45" s="1461"/>
      <c r="R45" s="1461"/>
    </row>
    <row r="46" spans="1:18" s="1384" customFormat="1" ht="13.5" thickBot="1">
      <c r="A46" s="1404" t="s">
        <v>807</v>
      </c>
      <c r="C46" s="1405" t="e">
        <f ca="1">ROUND(C45,0)</f>
        <v>#DIV/0!</v>
      </c>
      <c r="D46" s="1406" t="str">
        <f>C2</f>
        <v>万元</v>
      </c>
      <c r="I46" s="1407" t="s">
        <v>808</v>
      </c>
      <c r="J46" s="1408"/>
      <c r="K46" s="1409"/>
      <c r="L46" s="1410" t="e">
        <f ca="1">IF(M47="住宅",0,IF(L48&gt;J51,L60,J60))</f>
        <v>#DIV/0!</v>
      </c>
      <c r="O46" s="1411" t="s">
        <v>809</v>
      </c>
      <c r="P46" s="1412" t="s">
        <v>810</v>
      </c>
      <c r="Q46" s="1413" t="s">
        <v>811</v>
      </c>
      <c r="R46" s="1413" t="s">
        <v>812</v>
      </c>
    </row>
    <row r="47" spans="1:18" s="1384" customFormat="1" ht="13.5" thickBot="1">
      <c r="A47" s="946" t="s">
        <v>685</v>
      </c>
      <c r="B47" s="978" t="s">
        <v>686</v>
      </c>
      <c r="C47" s="978" t="s">
        <v>687</v>
      </c>
      <c r="D47" s="978" t="s">
        <v>688</v>
      </c>
      <c r="E47" s="1058" t="s">
        <v>689</v>
      </c>
      <c r="F47" s="1059"/>
      <c r="G47" s="722"/>
      <c r="I47" s="1414" t="s">
        <v>813</v>
      </c>
      <c r="J47" s="1415"/>
      <c r="K47" s="1416" t="s">
        <v>814</v>
      </c>
      <c r="L47" s="1417">
        <f ca="1">INDIRECT("'数据-取费表'!d"&amp;$G$1)</f>
        <v>0</v>
      </c>
      <c r="M47" s="1380" t="str">
        <f>IF(ISNUMBER(FIND("住宅",C1)),"住宅","非住宅")</f>
        <v>非住宅</v>
      </c>
      <c r="O47" s="1418" t="s">
        <v>403</v>
      </c>
      <c r="P47" s="1419" t="s">
        <v>815</v>
      </c>
      <c r="Q47" s="1420" t="e">
        <f ca="1">C40+J29</f>
        <v>#DIV/0!</v>
      </c>
      <c r="R47" s="1420" t="s">
        <v>816</v>
      </c>
    </row>
    <row r="48" spans="1:18" s="1384" customFormat="1" ht="28.5" thickBot="1">
      <c r="A48" s="1110" t="s">
        <v>438</v>
      </c>
      <c r="B48" s="300" t="s">
        <v>690</v>
      </c>
      <c r="C48" s="1359">
        <f ca="1">C49+C53+C55</f>
        <v>0</v>
      </c>
      <c r="D48" s="1112"/>
      <c r="E48" s="1113"/>
      <c r="F48" s="962"/>
      <c r="G48" s="722"/>
      <c r="H48" s="723"/>
      <c r="I48" s="1421" t="s">
        <v>817</v>
      </c>
      <c r="J48" s="1422"/>
      <c r="K48" s="1423" t="s">
        <v>818</v>
      </c>
      <c r="L48" s="1424">
        <f ca="1">INDIRECT("'数据-取费表'!f"&amp;$G$1)</f>
        <v>0</v>
      </c>
      <c r="O48" s="1418" t="s">
        <v>404</v>
      </c>
      <c r="P48" s="1419" t="s">
        <v>819</v>
      </c>
      <c r="Q48" s="1420" t="e">
        <f ca="1">J60</f>
        <v>#DIV/0!</v>
      </c>
      <c r="R48" s="1420" t="s">
        <v>820</v>
      </c>
    </row>
    <row r="49" spans="1:18" s="1384" customFormat="1" ht="13.5" thickBot="1">
      <c r="A49" s="975" t="s">
        <v>439</v>
      </c>
      <c r="B49" s="1371" t="s">
        <v>777</v>
      </c>
      <c r="C49" s="1114">
        <f ca="1">ROUND(F49*F51*F50*(1-F52),0)</f>
        <v>0</v>
      </c>
      <c r="D49" s="1055" t="s">
        <v>693</v>
      </c>
      <c r="E49" s="1372" t="s">
        <v>778</v>
      </c>
      <c r="F49" s="1060"/>
      <c r="G49" s="1425"/>
      <c r="H49" s="723"/>
      <c r="I49" s="1421" t="s">
        <v>821</v>
      </c>
      <c r="J49" s="1426"/>
      <c r="K49" s="1423" t="s">
        <v>822</v>
      </c>
      <c r="L49" s="1427"/>
      <c r="O49" s="1428" t="s">
        <v>405</v>
      </c>
      <c r="P49" s="1419" t="s">
        <v>823</v>
      </c>
      <c r="Q49" s="1420">
        <f ca="1">C29</f>
        <v>0</v>
      </c>
      <c r="R49" s="1420" t="s">
        <v>816</v>
      </c>
    </row>
    <row r="50" spans="1:18" s="1384" customFormat="1" ht="13.5" thickBot="1">
      <c r="A50" s="976"/>
      <c r="B50" s="979"/>
      <c r="C50" s="980"/>
      <c r="D50" s="953"/>
      <c r="E50" s="1056" t="s">
        <v>695</v>
      </c>
      <c r="F50" s="1057">
        <f ca="1">F7</f>
        <v>0</v>
      </c>
      <c r="H50" s="723"/>
      <c r="I50" s="1421" t="s">
        <v>824</v>
      </c>
      <c r="J50" s="1429">
        <f>SUMPRODUCT((I63:I65=J47)*(J62:L62=J48)*(J63:L65))</f>
        <v>0</v>
      </c>
      <c r="K50" s="1423" t="s">
        <v>825</v>
      </c>
      <c r="L50" s="1427"/>
      <c r="M50" s="1430"/>
      <c r="O50" s="1428" t="s">
        <v>406</v>
      </c>
      <c r="P50" s="1419" t="s">
        <v>826</v>
      </c>
      <c r="Q50" s="1431" t="e">
        <f ca="1">J58</f>
        <v>#DIV/0!</v>
      </c>
      <c r="R50" s="1420"/>
    </row>
    <row r="51" spans="1:18" s="1384" customFormat="1" ht="13.5" thickBot="1">
      <c r="A51" s="977"/>
      <c r="B51" s="979"/>
      <c r="C51" s="980"/>
      <c r="D51" s="953"/>
      <c r="E51" s="981" t="s">
        <v>696</v>
      </c>
      <c r="F51" s="303">
        <f ca="1">F8</f>
        <v>0</v>
      </c>
      <c r="I51" s="1432" t="s">
        <v>827</v>
      </c>
      <c r="J51" s="1433">
        <f>IF(J49="",J50,J49+J50-YEAR('数据-取费表'!B2))</f>
        <v>0</v>
      </c>
      <c r="K51" s="1434" t="s">
        <v>828</v>
      </c>
      <c r="L51" s="1435">
        <f ca="1">ROUND(-PV(INDIRECT("'数据-取费表'!h"&amp;$G$1),J51,(C39-C13*C76),0),0)</f>
        <v>0</v>
      </c>
      <c r="M51" s="1436"/>
      <c r="O51" s="1428" t="s">
        <v>407</v>
      </c>
      <c r="P51" s="1419" t="s">
        <v>829</v>
      </c>
      <c r="Q51" s="1431">
        <f>J52</f>
        <v>0</v>
      </c>
      <c r="R51" s="1420"/>
    </row>
    <row r="52" spans="1:18" s="1384" customFormat="1" ht="13.5" thickBot="1">
      <c r="A52" s="977"/>
      <c r="B52" s="979"/>
      <c r="C52" s="980"/>
      <c r="D52" s="953"/>
      <c r="E52" s="981" t="s">
        <v>697</v>
      </c>
      <c r="F52" s="1054"/>
      <c r="I52" s="1437" t="s">
        <v>830</v>
      </c>
      <c r="J52" s="1438"/>
      <c r="K52" s="1437" t="s">
        <v>831</v>
      </c>
      <c r="L52" s="1438"/>
      <c r="O52" s="1428" t="s">
        <v>408</v>
      </c>
      <c r="P52" s="1419" t="s">
        <v>832</v>
      </c>
      <c r="Q52" s="1420">
        <f ca="1">J53</f>
        <v>0</v>
      </c>
      <c r="R52" s="1420" t="s">
        <v>833</v>
      </c>
    </row>
    <row r="53" spans="1:18" s="1384" customFormat="1" ht="30.75" customHeight="1" thickBot="1">
      <c r="A53" s="1111" t="s">
        <v>440</v>
      </c>
      <c r="B53" s="323" t="s">
        <v>698</v>
      </c>
      <c r="C53" s="316">
        <f ca="1">ROUND(IF(F53="押一",C49/12*F11,IF(F53="押二",C49/12*2*F11,IF(F53="押三",C49/12*3*F11,C54*F11))),0)</f>
        <v>0</v>
      </c>
      <c r="D53" s="1366" t="s">
        <v>2115</v>
      </c>
      <c r="E53" s="313" t="s">
        <v>699</v>
      </c>
      <c r="F53" s="1116"/>
      <c r="I53" s="1439" t="s">
        <v>834</v>
      </c>
      <c r="J53" s="2168">
        <f ca="1">IF(M47="住宅",IF(D1="——",MAX(J51,L48),MAX(J51,L48-'数据-取费表'!B24)),IF(D1="——",MIN(J51,L48),MIN(J51,L48-'数据-取费表'!B24)))</f>
        <v>0</v>
      </c>
      <c r="K53" s="3656" t="s">
        <v>835</v>
      </c>
      <c r="L53" s="3657"/>
      <c r="O53" s="1418" t="s">
        <v>409</v>
      </c>
      <c r="P53" s="1419" t="s">
        <v>836</v>
      </c>
      <c r="Q53" s="1420" t="e">
        <f ca="1">Q47+Q48</f>
        <v>#DIV/0!</v>
      </c>
      <c r="R53" s="1420" t="s">
        <v>410</v>
      </c>
    </row>
    <row r="54" spans="1:18" s="1384" customFormat="1" ht="13.5" thickBot="1">
      <c r="A54" s="975"/>
      <c r="B54" s="1473" t="s">
        <v>889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t="e">
        <f ca="1">ROUND(IF(J47="钢混",J57/J50,1-(1-2%)*(J50-J57)/J50),3)</f>
        <v>#DIV/0!</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0</v>
      </c>
      <c r="D56" s="1447"/>
      <c r="E56" s="1448"/>
      <c r="F56" s="1440"/>
      <c r="I56" s="1449" t="s">
        <v>840</v>
      </c>
      <c r="J56" s="1450"/>
      <c r="K56" s="1421" t="s">
        <v>841</v>
      </c>
      <c r="L56" s="1424">
        <f ca="1">IF(L48&lt;J51,"——",L48-J51)</f>
        <v>0</v>
      </c>
      <c r="O56" s="1418" t="s">
        <v>403</v>
      </c>
      <c r="P56" s="1419" t="s">
        <v>815</v>
      </c>
      <c r="Q56" s="1420" t="e">
        <f ca="1">C40+J29</f>
        <v>#DIV/0!</v>
      </c>
      <c r="R56" s="1420" t="s">
        <v>816</v>
      </c>
    </row>
    <row r="57" spans="1:18" s="1384" customFormat="1" ht="24.75" thickBot="1">
      <c r="A57" s="1451"/>
      <c r="B57" s="950" t="s">
        <v>765</v>
      </c>
      <c r="C57" s="238">
        <f ca="1">C29</f>
        <v>0</v>
      </c>
      <c r="D57" s="1452"/>
      <c r="E57" s="1453"/>
      <c r="F57" s="1454"/>
      <c r="I57" s="1455" t="s">
        <v>842</v>
      </c>
      <c r="J57" s="1456">
        <f ca="1">IF(OR(M47="住宅",J51&lt;L48,J56="是"),"——",J51-L48)</f>
        <v>0</v>
      </c>
      <c r="K57" s="1421" t="s">
        <v>890</v>
      </c>
      <c r="L57" s="1424">
        <f ca="1">IF(L48&lt;J51,"——",IF(L55="比较法",L49,IF(L55="基准地价",L50,L51)))</f>
        <v>0</v>
      </c>
      <c r="O57" s="1418" t="s">
        <v>404</v>
      </c>
      <c r="P57" s="1419" t="s">
        <v>891</v>
      </c>
      <c r="Q57" s="1420" t="e">
        <f ca="1">L60</f>
        <v>#DIV/0!</v>
      </c>
      <c r="R57" s="1420" t="s">
        <v>892</v>
      </c>
    </row>
    <row r="58" spans="1:18" s="1384" customFormat="1" ht="24.75" thickBot="1">
      <c r="A58" s="315" t="s">
        <v>393</v>
      </c>
      <c r="B58" s="958" t="s">
        <v>712</v>
      </c>
      <c r="C58" s="316">
        <f ca="1">ROUND(C59+C64+C65+C66,0)</f>
        <v>0</v>
      </c>
      <c r="D58" s="960" t="s">
        <v>713</v>
      </c>
      <c r="E58" s="961"/>
      <c r="F58" s="962"/>
      <c r="I58" s="1455" t="s">
        <v>846</v>
      </c>
      <c r="J58" s="1457" t="e">
        <f ca="1">IF(J55&lt;0.4,0.4,J55)</f>
        <v>#DIV/0!</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t="str">
        <f>IF(项目基本情况!B11="企业","——",IF('数据-取费表'!B10="住宅",IF(F49*F50*F51/12/(1+'数据-取费表'!F30)&gt;100000,4%,2.5%),IF(F49*F50*F51/12/(1+'数据-取费表'!F30)&gt;100000,12%,7%)))</f>
        <v>——</v>
      </c>
      <c r="I59" s="1455" t="s">
        <v>849</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f ca="1">IF(项目基本情况!B11="自然人","——",ROUND(C48*F60/(1+'数据-取费表'!C42),0))</f>
        <v>0</v>
      </c>
      <c r="D60" s="964" t="s">
        <v>722</v>
      </c>
      <c r="E60" s="950" t="s">
        <v>710</v>
      </c>
      <c r="F60" s="331">
        <f t="shared" ref="F60:F66" si="0">F32</f>
        <v>5.5000000000000007E-2</v>
      </c>
      <c r="I60" s="1458" t="s">
        <v>851</v>
      </c>
      <c r="J60" s="1459" t="e">
        <f ca="1">IF(OR(M47="住宅",J51&lt;L48,J56="是"),"0",ROUND(J59/(1+J52)^J53,0))</f>
        <v>#DIV/0!</v>
      </c>
      <c r="K60" s="1460" t="s">
        <v>852</v>
      </c>
      <c r="L60" s="1459" t="e">
        <f ca="1">IF(OR(M47="住宅",L48&lt;J51),0,ROUND(L57*(L58/L59-1),0))</f>
        <v>#DIV/0!</v>
      </c>
      <c r="O60" s="1428" t="s">
        <v>407</v>
      </c>
      <c r="P60" s="1419" t="s">
        <v>853</v>
      </c>
      <c r="Q60" s="1420" t="e">
        <f ca="1">L58</f>
        <v>#DIV/0!</v>
      </c>
      <c r="R60" s="1420" t="s">
        <v>854</v>
      </c>
    </row>
    <row r="61" spans="1:18" s="1384" customFormat="1" ht="13.5" thickBot="1">
      <c r="A61" s="982" t="s">
        <v>779</v>
      </c>
      <c r="B61" s="950" t="s">
        <v>780</v>
      </c>
      <c r="C61" s="21">
        <f ca="1">IF(项目基本情况!B11="自然人","——",IF(D61="按租金收入计税",ROUND(C49*F61/(1+'数据-取费表'!C42),0),IF(D61="按房产原值计税",ROUND(C57*F61*0.7,0),INDIRECT("'数据-取费表'!Aj"&amp;$G$1))))</f>
        <v>0</v>
      </c>
      <c r="D61" s="1370" t="s">
        <v>3336</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f ca="1">IF(项目基本情况!B11="自然人","——",ROUND(F62*F63,0))</f>
        <v>0</v>
      </c>
      <c r="D62" s="965" t="s">
        <v>784</v>
      </c>
      <c r="E62" s="950" t="s">
        <v>785</v>
      </c>
      <c r="F62" s="325">
        <f t="shared" si="0"/>
        <v>3</v>
      </c>
      <c r="I62" s="1462" t="s">
        <v>856</v>
      </c>
      <c r="J62" s="1463" t="s">
        <v>857</v>
      </c>
      <c r="K62" s="1463" t="s">
        <v>858</v>
      </c>
      <c r="L62" s="1463" t="s">
        <v>859</v>
      </c>
      <c r="M62" s="1464" t="s">
        <v>860</v>
      </c>
      <c r="O62" s="1418" t="s">
        <v>409</v>
      </c>
      <c r="P62" s="1419" t="s">
        <v>861</v>
      </c>
      <c r="Q62" s="1420" t="e">
        <f ca="1">Q56+Q57</f>
        <v>#DIV/0!</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ROUND(C57*F64,0)</f>
        <v>0</v>
      </c>
      <c r="D64" s="964" t="s">
        <v>789</v>
      </c>
      <c r="E64" s="950" t="s">
        <v>781</v>
      </c>
      <c r="F64" s="328">
        <f t="shared" ca="1" si="0"/>
        <v>0</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ROUND(C56*F65,0)</f>
        <v>0</v>
      </c>
      <c r="D65" s="964" t="s">
        <v>741</v>
      </c>
      <c r="E65" s="950" t="s">
        <v>742</v>
      </c>
      <c r="F65" s="330">
        <f t="shared" ca="1" si="0"/>
        <v>0</v>
      </c>
      <c r="I65" s="1462" t="s">
        <v>865</v>
      </c>
      <c r="J65" s="1463">
        <v>40</v>
      </c>
      <c r="K65" s="1463">
        <v>30</v>
      </c>
      <c r="L65" s="1463">
        <v>50</v>
      </c>
      <c r="M65" s="1465">
        <v>0.02</v>
      </c>
      <c r="O65" s="1418" t="s">
        <v>403</v>
      </c>
      <c r="P65" s="1419" t="s">
        <v>866</v>
      </c>
      <c r="Q65" s="1420" t="e">
        <f ca="1">C40+J29</f>
        <v>#DIV/0!</v>
      </c>
      <c r="R65" s="1420" t="s">
        <v>816</v>
      </c>
    </row>
    <row r="66" spans="1:18" s="1384" customFormat="1" ht="16.5" thickBot="1">
      <c r="A66" s="982" t="s">
        <v>791</v>
      </c>
      <c r="B66" s="950" t="s">
        <v>726</v>
      </c>
      <c r="C66" s="21">
        <f ca="1">ROUND(C48*F66,0)</f>
        <v>0</v>
      </c>
      <c r="D66" s="964" t="s">
        <v>792</v>
      </c>
      <c r="E66" s="950" t="s">
        <v>710</v>
      </c>
      <c r="F66" s="312">
        <f t="shared" ca="1" si="0"/>
        <v>0</v>
      </c>
      <c r="O66" s="1418" t="s">
        <v>404</v>
      </c>
      <c r="P66" s="1419" t="s">
        <v>844</v>
      </c>
      <c r="Q66" s="1420" t="e">
        <f ca="1">L60</f>
        <v>#DIV/0!</v>
      </c>
      <c r="R66" s="1420" t="s">
        <v>867</v>
      </c>
    </row>
    <row r="67" spans="1:18" s="1384" customFormat="1" ht="16.5" thickBot="1">
      <c r="A67" s="957" t="s">
        <v>394</v>
      </c>
      <c r="B67" s="967" t="s">
        <v>750</v>
      </c>
      <c r="C67" s="316">
        <f ca="1">C48-C58</f>
        <v>0</v>
      </c>
      <c r="D67" s="963" t="s">
        <v>751</v>
      </c>
      <c r="E67" s="968"/>
      <c r="F67" s="969"/>
      <c r="O67" s="1428" t="s">
        <v>405</v>
      </c>
      <c r="P67" s="1419" t="s">
        <v>848</v>
      </c>
      <c r="Q67" s="1466">
        <f ca="1">L51</f>
        <v>0</v>
      </c>
      <c r="R67" s="1420" t="s">
        <v>868</v>
      </c>
    </row>
    <row r="68" spans="1:18" s="1384" customFormat="1" ht="16.5" thickBot="1">
      <c r="A68" s="947" t="s">
        <v>395</v>
      </c>
      <c r="B68" s="948" t="s">
        <v>772</v>
      </c>
      <c r="C68" s="301" t="e">
        <f ca="1">ROUND(C67*(1-((1+F70)/(1+F68))^F69)/(F68-F70),0)</f>
        <v>#DIV/0!</v>
      </c>
      <c r="D68" s="965" t="s">
        <v>756</v>
      </c>
      <c r="E68" s="950" t="s">
        <v>757</v>
      </c>
      <c r="F68" s="312">
        <f ca="1">F40</f>
        <v>0</v>
      </c>
      <c r="O68" s="1428" t="s">
        <v>406</v>
      </c>
      <c r="P68" s="1467" t="s">
        <v>869</v>
      </c>
      <c r="Q68" s="1420">
        <f ca="1">ROUND(Q69-Q70*Q71,0)</f>
        <v>0</v>
      </c>
      <c r="R68" s="1420" t="s">
        <v>414</v>
      </c>
    </row>
    <row r="69" spans="1:18" s="1384" customFormat="1" ht="13.5" thickBot="1">
      <c r="A69" s="951"/>
      <c r="B69" s="952"/>
      <c r="C69" s="306"/>
      <c r="D69" s="970" t="s">
        <v>760</v>
      </c>
      <c r="E69" s="950" t="s">
        <v>761</v>
      </c>
      <c r="F69" s="333">
        <f ca="1">F41</f>
        <v>0</v>
      </c>
      <c r="O69" s="1428" t="s">
        <v>411</v>
      </c>
      <c r="P69" s="1467" t="s">
        <v>870</v>
      </c>
      <c r="Q69" s="1420">
        <f ca="1">C39</f>
        <v>0</v>
      </c>
      <c r="R69" s="1420" t="s">
        <v>816</v>
      </c>
    </row>
    <row r="70" spans="1:18" s="1384" customFormat="1" ht="13.5" thickBot="1">
      <c r="A70" s="954"/>
      <c r="B70" s="955"/>
      <c r="C70" s="310"/>
      <c r="D70" s="966"/>
      <c r="E70" s="950" t="s">
        <v>764</v>
      </c>
      <c r="F70" s="1054"/>
      <c r="O70" s="1428" t="s">
        <v>412</v>
      </c>
      <c r="P70" s="1467" t="s">
        <v>871</v>
      </c>
      <c r="Q70" s="1420">
        <f ca="1">C13</f>
        <v>0</v>
      </c>
      <c r="R70" s="1420" t="s">
        <v>816</v>
      </c>
    </row>
    <row r="71" spans="1:18" s="1384" customFormat="1" ht="13.5" thickBot="1">
      <c r="A71" s="971" t="s">
        <v>396</v>
      </c>
      <c r="B71" s="972" t="s">
        <v>774</v>
      </c>
      <c r="C71" s="336" t="e">
        <f ca="1">ROUND(C68/F71,0)</f>
        <v>#DIV/0!</v>
      </c>
      <c r="D71" s="973" t="s">
        <v>775</v>
      </c>
      <c r="E71" s="974" t="s">
        <v>776</v>
      </c>
      <c r="F71" s="339">
        <f ca="1">F43</f>
        <v>0</v>
      </c>
      <c r="O71" s="1428" t="s">
        <v>413</v>
      </c>
      <c r="P71" s="1467" t="s">
        <v>872</v>
      </c>
      <c r="Q71" s="1431">
        <f ca="1">C76</f>
        <v>0</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0</v>
      </c>
      <c r="D75" s="1384"/>
      <c r="E75" s="1384"/>
      <c r="F75" s="1384"/>
      <c r="K75" s="1402"/>
      <c r="L75" s="1384"/>
      <c r="O75" s="1418" t="s">
        <v>409</v>
      </c>
      <c r="P75" s="1419" t="s">
        <v>836</v>
      </c>
      <c r="Q75" s="1420" t="e">
        <f ca="1">Q65+Q66</f>
        <v>#DIV/0!</v>
      </c>
      <c r="R75" s="1420" t="s">
        <v>410</v>
      </c>
    </row>
    <row r="76" spans="1:18">
      <c r="B76" s="342" t="s">
        <v>794</v>
      </c>
      <c r="C76" s="343">
        <f ca="1">INDIRECT("'数据-取费表'!j"&amp;$G$1)</f>
        <v>0</v>
      </c>
      <c r="I76" s="1384"/>
      <c r="J76" s="1384"/>
      <c r="K76" s="1402"/>
      <c r="L76" s="1384"/>
    </row>
    <row r="77" spans="1:18">
      <c r="B77" s="344" t="s">
        <v>795</v>
      </c>
      <c r="C77" s="345"/>
      <c r="I77" s="1384"/>
      <c r="J77" s="1384"/>
      <c r="K77" s="1402"/>
      <c r="L77" s="1384"/>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2433</v>
      </c>
      <c r="B1" s="2831"/>
      <c r="C1" s="2843"/>
      <c r="D1" s="2843"/>
      <c r="E1" s="2832"/>
      <c r="F1" s="2833"/>
      <c r="G1" s="2834"/>
      <c r="J1" s="2837" t="s">
        <v>2312</v>
      </c>
      <c r="K1" s="2838"/>
      <c r="L1" s="2838"/>
      <c r="M1" s="2838"/>
      <c r="N1" s="2838"/>
      <c r="O1" s="2838"/>
      <c r="P1" s="2838"/>
      <c r="Q1" s="2838"/>
      <c r="R1" s="2839"/>
      <c r="S1" s="2840"/>
      <c r="T1" s="2840"/>
      <c r="U1" s="2840"/>
    </row>
    <row r="2" spans="1:22" s="2852" customFormat="1" ht="13.15" customHeight="1">
      <c r="A2" s="1385" t="s">
        <v>2313</v>
      </c>
      <c r="B2" s="2842" t="e">
        <f>IF(D2="——",C40,C40+E2)</f>
        <v>#DIV/0!</v>
      </c>
      <c r="C2" s="2843" t="s">
        <v>2314</v>
      </c>
      <c r="D2" s="3442" t="s">
        <v>3359</v>
      </c>
      <c r="E2" s="3443"/>
      <c r="F2" s="2845"/>
      <c r="G2" s="2846"/>
      <c r="H2" s="2847"/>
      <c r="I2" s="2848"/>
      <c r="J2" s="3658" t="s">
        <v>2315</v>
      </c>
      <c r="K2" s="3659"/>
      <c r="L2" s="2849" t="s">
        <v>2316</v>
      </c>
      <c r="M2" s="2849" t="s">
        <v>2317</v>
      </c>
      <c r="N2" s="2849" t="s">
        <v>2318</v>
      </c>
      <c r="O2" s="2849" t="s">
        <v>2319</v>
      </c>
      <c r="P2" s="2849" t="s">
        <v>2320</v>
      </c>
      <c r="Q2" s="2850" t="s">
        <v>2321</v>
      </c>
      <c r="R2" s="2851" t="s">
        <v>2322</v>
      </c>
      <c r="S2" s="2840"/>
      <c r="T2" s="2840"/>
      <c r="U2" s="2840"/>
      <c r="V2" s="2848"/>
    </row>
    <row r="3" spans="1:22" s="2852" customFormat="1" ht="13.15" customHeight="1">
      <c r="A3" s="2853" t="s">
        <v>2323</v>
      </c>
      <c r="B3" s="2854" t="e">
        <f>ROUND(B2*10000/B4,0)</f>
        <v>#DIV/0!</v>
      </c>
      <c r="C3" s="2843" t="s">
        <v>2324</v>
      </c>
      <c r="D3" s="2843"/>
      <c r="E3" s="2844"/>
      <c r="F3" s="2845"/>
      <c r="G3" s="2846"/>
      <c r="H3" s="2847"/>
      <c r="I3" s="2848"/>
      <c r="J3" s="3660" t="s">
        <v>2325</v>
      </c>
      <c r="K3" s="3661"/>
      <c r="L3" s="2855"/>
      <c r="M3" s="2855"/>
      <c r="N3" s="2855"/>
      <c r="O3" s="2855"/>
      <c r="P3" s="2855"/>
      <c r="Q3" s="2856"/>
      <c r="R3" s="2857">
        <f>SUM(L3:Q3)</f>
        <v>0</v>
      </c>
      <c r="S3" s="2840"/>
      <c r="T3" s="2840"/>
      <c r="U3" s="2840"/>
      <c r="V3" s="2848"/>
    </row>
    <row r="4" spans="1:22" s="2852" customFormat="1" ht="13.15" customHeight="1">
      <c r="A4" s="2858" t="s">
        <v>2326</v>
      </c>
      <c r="B4" s="2859"/>
      <c r="C4" s="2843"/>
      <c r="D4" s="2843"/>
      <c r="E4" s="2844"/>
      <c r="F4" s="2845"/>
      <c r="G4" s="2846"/>
      <c r="H4" s="2847"/>
      <c r="I4" s="2848"/>
      <c r="J4" s="3660" t="s">
        <v>2327</v>
      </c>
      <c r="K4" s="3661"/>
      <c r="L4" s="2860"/>
      <c r="M4" s="2860"/>
      <c r="N4" s="2860"/>
      <c r="O4" s="2860"/>
      <c r="P4" s="2860"/>
      <c r="Q4" s="2861"/>
      <c r="R4" s="2862">
        <f>SUM(L4:Q4)</f>
        <v>0</v>
      </c>
      <c r="S4" s="2840"/>
      <c r="T4" s="2840"/>
      <c r="U4" s="2840"/>
      <c r="V4" s="2848"/>
    </row>
    <row r="5" spans="1:22" s="2852" customFormat="1" ht="13.15" customHeight="1" thickBot="1">
      <c r="A5" s="2863" t="s">
        <v>2328</v>
      </c>
      <c r="B5" s="2864"/>
      <c r="C5" s="2843"/>
      <c r="D5" s="2865"/>
      <c r="E5" s="2845"/>
      <c r="F5" s="2845"/>
      <c r="G5" s="2846"/>
      <c r="H5" s="2847"/>
      <c r="I5" s="2848"/>
      <c r="J5" s="2866" t="s">
        <v>2329</v>
      </c>
      <c r="K5" s="2867"/>
      <c r="L5" s="2867"/>
      <c r="M5" s="2868"/>
      <c r="N5" s="2868"/>
      <c r="O5" s="2868"/>
      <c r="P5" s="2868"/>
      <c r="Q5" s="2868"/>
      <c r="R5" s="2851">
        <f>SUM(R14,R19,R24,R25,R27,R28)</f>
        <v>0</v>
      </c>
      <c r="S5" s="2840"/>
      <c r="T5" s="2840" t="s">
        <v>2330</v>
      </c>
      <c r="U5" s="2840" t="e">
        <f>ROUND(R5*10000/365/R3,1)</f>
        <v>#DIV/0!</v>
      </c>
      <c r="V5" s="2848"/>
    </row>
    <row r="6" spans="1:22" s="2852" customFormat="1" ht="13.15" customHeight="1" thickBot="1">
      <c r="A6" s="3662" t="s">
        <v>2331</v>
      </c>
      <c r="B6" s="3663"/>
      <c r="C6" s="3664"/>
      <c r="D6" s="2869"/>
      <c r="E6" s="2870"/>
      <c r="F6" s="2871"/>
      <c r="G6" s="2872"/>
      <c r="H6" s="2847"/>
      <c r="I6" s="2848"/>
      <c r="J6" s="3665">
        <v>1</v>
      </c>
      <c r="K6" s="3666" t="s">
        <v>2332</v>
      </c>
      <c r="L6" s="2873" t="s">
        <v>2333</v>
      </c>
      <c r="M6" s="2874" t="s">
        <v>2334</v>
      </c>
      <c r="N6" s="2874" t="s">
        <v>2335</v>
      </c>
      <c r="O6" s="2874" t="s">
        <v>2336</v>
      </c>
      <c r="P6" s="2874" t="s">
        <v>2337</v>
      </c>
      <c r="Q6" s="2874" t="s">
        <v>2338</v>
      </c>
      <c r="R6" s="2857" t="s">
        <v>2339</v>
      </c>
      <c r="S6" s="2840"/>
      <c r="T6" s="2840" t="s">
        <v>2340</v>
      </c>
      <c r="U6" s="2840"/>
      <c r="V6" s="2848"/>
    </row>
    <row r="7" spans="1:22" s="2852" customFormat="1" ht="13.15" customHeight="1">
      <c r="A7" s="2875" t="s">
        <v>2341</v>
      </c>
      <c r="B7" s="2876"/>
      <c r="C7" s="2877"/>
      <c r="D7" s="2878">
        <f>SUM(D9,D10,D11,D17,0)</f>
        <v>0</v>
      </c>
      <c r="E7" s="2879" t="e">
        <f>E9+E10+E11+E17</f>
        <v>#DIV/0!</v>
      </c>
      <c r="F7" s="2880"/>
      <c r="G7" s="2881"/>
      <c r="H7" s="2847"/>
      <c r="I7" s="2848"/>
      <c r="J7" s="3665"/>
      <c r="K7" s="3667"/>
      <c r="L7" s="2882" t="s">
        <v>2342</v>
      </c>
      <c r="M7" s="2883"/>
      <c r="N7" s="2859"/>
      <c r="O7" s="2884"/>
      <c r="P7" s="2884"/>
      <c r="Q7" s="2885">
        <v>365</v>
      </c>
      <c r="R7" s="2886">
        <f>ROUND(M7*N7*O7*P7*Q7/10000,0)</f>
        <v>0</v>
      </c>
      <c r="S7" s="2840"/>
      <c r="T7" s="2840" t="s">
        <v>2343</v>
      </c>
      <c r="U7" s="2840"/>
      <c r="V7" s="2848"/>
    </row>
    <row r="8" spans="1:22" s="2852" customFormat="1" ht="13.15" customHeight="1">
      <c r="A8" s="2887" t="s">
        <v>2344</v>
      </c>
      <c r="B8" s="3669" t="s">
        <v>2345</v>
      </c>
      <c r="C8" s="3670"/>
      <c r="D8" s="2888" t="s">
        <v>2346</v>
      </c>
      <c r="E8" s="2889" t="s">
        <v>2347</v>
      </c>
      <c r="F8" s="2890" t="s">
        <v>2348</v>
      </c>
      <c r="G8" s="2891"/>
      <c r="H8" s="2847"/>
      <c r="I8" s="2848"/>
      <c r="J8" s="3665"/>
      <c r="K8" s="3667"/>
      <c r="L8" s="2882" t="s">
        <v>2349</v>
      </c>
      <c r="M8" s="2883"/>
      <c r="N8" s="2859"/>
      <c r="O8" s="2884"/>
      <c r="P8" s="2884"/>
      <c r="Q8" s="2885">
        <v>365</v>
      </c>
      <c r="R8" s="2886">
        <f t="shared" ref="R8:R13" si="0">ROUND(M8*N8*O8*P8*Q8/10000,0)</f>
        <v>0</v>
      </c>
      <c r="S8" s="2840"/>
      <c r="T8" s="2840" t="s">
        <v>2350</v>
      </c>
      <c r="U8" s="2840"/>
      <c r="V8" s="2848"/>
    </row>
    <row r="9" spans="1:22" s="2852" customFormat="1" ht="13.15" customHeight="1">
      <c r="A9" s="2887">
        <v>1</v>
      </c>
      <c r="B9" s="3669" t="s">
        <v>2351</v>
      </c>
      <c r="C9" s="3670"/>
      <c r="D9" s="2888">
        <f>ROUND(D6*E9,0)</f>
        <v>0</v>
      </c>
      <c r="E9" s="2892"/>
      <c r="F9" s="2893" t="s">
        <v>2352</v>
      </c>
      <c r="G9" s="2872"/>
      <c r="H9" s="2847"/>
      <c r="I9" s="2848"/>
      <c r="J9" s="3665"/>
      <c r="K9" s="3667"/>
      <c r="L9" s="2882" t="s">
        <v>2353</v>
      </c>
      <c r="M9" s="2883"/>
      <c r="N9" s="2859"/>
      <c r="O9" s="2884"/>
      <c r="P9" s="2884"/>
      <c r="Q9" s="2885">
        <v>365</v>
      </c>
      <c r="R9" s="2886">
        <f t="shared" si="0"/>
        <v>0</v>
      </c>
      <c r="S9" s="2840"/>
      <c r="T9" s="2840"/>
      <c r="U9" s="2840"/>
      <c r="V9" s="2848"/>
    </row>
    <row r="10" spans="1:22" s="2852" customFormat="1" ht="13.15" customHeight="1">
      <c r="A10" s="2887">
        <v>2</v>
      </c>
      <c r="B10" s="3669" t="s">
        <v>2354</v>
      </c>
      <c r="C10" s="3670"/>
      <c r="D10" s="2888">
        <f>ROUND(D6*E10,0)</f>
        <v>0</v>
      </c>
      <c r="E10" s="2892"/>
      <c r="F10" s="2893" t="s">
        <v>2355</v>
      </c>
      <c r="G10" s="2872"/>
      <c r="H10" s="2847"/>
      <c r="I10" s="2848"/>
      <c r="J10" s="3665"/>
      <c r="K10" s="3667"/>
      <c r="L10" s="2882" t="s">
        <v>2356</v>
      </c>
      <c r="M10" s="2883"/>
      <c r="N10" s="2859"/>
      <c r="O10" s="2884"/>
      <c r="P10" s="2884"/>
      <c r="Q10" s="2885">
        <v>365</v>
      </c>
      <c r="R10" s="2886">
        <f t="shared" si="0"/>
        <v>0</v>
      </c>
      <c r="S10" s="2840"/>
      <c r="T10" s="2840"/>
      <c r="U10" s="2840"/>
      <c r="V10" s="2848"/>
    </row>
    <row r="11" spans="1:22" s="2852" customFormat="1" ht="13.15" customHeight="1">
      <c r="A11" s="2887">
        <v>3</v>
      </c>
      <c r="B11" s="3669" t="s">
        <v>2357</v>
      </c>
      <c r="C11" s="3670"/>
      <c r="D11" s="2888">
        <f>D12+D14+D15+D16</f>
        <v>0</v>
      </c>
      <c r="E11" s="2894" t="e">
        <f>D11/D6</f>
        <v>#DIV/0!</v>
      </c>
      <c r="F11" s="2890"/>
      <c r="G11" s="2891"/>
      <c r="H11" s="2847"/>
      <c r="I11" s="2848"/>
      <c r="J11" s="3665"/>
      <c r="K11" s="3667"/>
      <c r="L11" s="2882" t="s">
        <v>2358</v>
      </c>
      <c r="M11" s="2883"/>
      <c r="N11" s="2859"/>
      <c r="O11" s="2884"/>
      <c r="P11" s="2884"/>
      <c r="Q11" s="2885">
        <v>365</v>
      </c>
      <c r="R11" s="2886">
        <f t="shared" si="0"/>
        <v>0</v>
      </c>
      <c r="S11" s="2840"/>
      <c r="T11" s="2840"/>
      <c r="U11" s="2840"/>
      <c r="V11" s="2848"/>
    </row>
    <row r="12" spans="1:22" s="2852" customFormat="1" ht="13.15" customHeight="1">
      <c r="A12" s="2895" t="s">
        <v>2359</v>
      </c>
      <c r="B12" s="3671" t="s">
        <v>2360</v>
      </c>
      <c r="C12" s="3672"/>
      <c r="D12" s="2896">
        <f>ROUND(D13*1.2%*(1-30%),0)</f>
        <v>0</v>
      </c>
      <c r="E12" s="2897">
        <v>1.2E-2</v>
      </c>
      <c r="F12" s="2890" t="s">
        <v>2361</v>
      </c>
      <c r="G12" s="2891"/>
      <c r="H12" s="2847"/>
      <c r="I12" s="2848"/>
      <c r="J12" s="3665"/>
      <c r="K12" s="3667"/>
      <c r="L12" s="2882" t="s">
        <v>2362</v>
      </c>
      <c r="M12" s="2883"/>
      <c r="N12" s="2859"/>
      <c r="O12" s="2884"/>
      <c r="P12" s="2884"/>
      <c r="Q12" s="2885">
        <v>365</v>
      </c>
      <c r="R12" s="2886">
        <f t="shared" si="0"/>
        <v>0</v>
      </c>
      <c r="S12" s="2840"/>
      <c r="T12" s="2840"/>
      <c r="U12" s="2840"/>
      <c r="V12" s="2848"/>
    </row>
    <row r="13" spans="1:22" s="2852" customFormat="1" ht="13.15" customHeight="1">
      <c r="A13" s="2895"/>
      <c r="B13" s="2898"/>
      <c r="C13" s="2899" t="s">
        <v>2363</v>
      </c>
      <c r="D13" s="2900"/>
      <c r="E13" s="2901"/>
      <c r="F13" s="2890"/>
      <c r="G13" s="2891"/>
      <c r="H13" s="2847"/>
      <c r="I13" s="2848"/>
      <c r="J13" s="3665"/>
      <c r="K13" s="3667"/>
      <c r="L13" s="2882" t="s">
        <v>2364</v>
      </c>
      <c r="M13" s="2883"/>
      <c r="N13" s="2859"/>
      <c r="O13" s="2884"/>
      <c r="P13" s="2884"/>
      <c r="Q13" s="2885">
        <v>365</v>
      </c>
      <c r="R13" s="2886">
        <f t="shared" si="0"/>
        <v>0</v>
      </c>
      <c r="S13" s="2840"/>
      <c r="T13" s="2840"/>
      <c r="U13" s="2840"/>
      <c r="V13" s="2848"/>
    </row>
    <row r="14" spans="1:22" s="2852" customFormat="1" ht="13.15" customHeight="1">
      <c r="A14" s="2895" t="s">
        <v>2365</v>
      </c>
      <c r="B14" s="3671" t="s">
        <v>2366</v>
      </c>
      <c r="C14" s="3672"/>
      <c r="D14" s="2896">
        <f>ROUND(E14*B5/10000,0)</f>
        <v>0</v>
      </c>
      <c r="E14" s="2885"/>
      <c r="F14" s="2890" t="s">
        <v>2367</v>
      </c>
      <c r="G14" s="2891"/>
      <c r="H14" s="2847"/>
      <c r="I14" s="2848"/>
      <c r="J14" s="3665"/>
      <c r="K14" s="3668"/>
      <c r="L14" s="2902" t="s">
        <v>2368</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2369</v>
      </c>
      <c r="B15" s="3671" t="s">
        <v>2370</v>
      </c>
      <c r="C15" s="3672"/>
      <c r="D15" s="2896">
        <f>ROUND(D6*E15,0)</f>
        <v>0</v>
      </c>
      <c r="E15" s="2897">
        <v>5.5E-2</v>
      </c>
      <c r="F15" s="2890" t="s">
        <v>2371</v>
      </c>
      <c r="G15" s="2872"/>
      <c r="H15" s="2847"/>
      <c r="I15" s="2848"/>
      <c r="J15" s="3665">
        <v>2</v>
      </c>
      <c r="K15" s="3666" t="s">
        <v>2372</v>
      </c>
      <c r="L15" s="2882" t="s">
        <v>2373</v>
      </c>
      <c r="M15" s="2883" t="s">
        <v>2374</v>
      </c>
      <c r="N15" s="2883" t="s">
        <v>2375</v>
      </c>
      <c r="O15" s="2884" t="s">
        <v>2376</v>
      </c>
      <c r="P15" s="2884" t="s">
        <v>2338</v>
      </c>
      <c r="Q15" s="2859" t="s">
        <v>2377</v>
      </c>
      <c r="R15" s="2906" t="s">
        <v>2339</v>
      </c>
      <c r="S15" s="2840"/>
      <c r="T15" s="2840"/>
      <c r="U15" s="2840"/>
      <c r="V15" s="2848"/>
    </row>
    <row r="16" spans="1:22" s="2852" customFormat="1" ht="13.15" customHeight="1">
      <c r="A16" s="2895" t="s">
        <v>2378</v>
      </c>
      <c r="B16" s="3671" t="s">
        <v>2379</v>
      </c>
      <c r="C16" s="3672"/>
      <c r="D16" s="2907">
        <f>D6*E16</f>
        <v>0</v>
      </c>
      <c r="E16" s="2908"/>
      <c r="F16" s="2893" t="s">
        <v>2380</v>
      </c>
      <c r="G16" s="2872"/>
      <c r="H16" s="2847"/>
      <c r="I16" s="2848"/>
      <c r="J16" s="3665"/>
      <c r="K16" s="3667"/>
      <c r="L16" s="2882" t="s">
        <v>2381</v>
      </c>
      <c r="M16" s="2883"/>
      <c r="N16" s="2883"/>
      <c r="O16" s="2884"/>
      <c r="P16" s="2885">
        <v>365</v>
      </c>
      <c r="Q16" s="2859"/>
      <c r="R16" s="2906">
        <f>ROUND(M16*N16*O16*P16/10000,0)</f>
        <v>0</v>
      </c>
      <c r="S16" s="2840"/>
      <c r="T16" s="2840"/>
      <c r="U16" s="2840"/>
      <c r="V16" s="2848"/>
    </row>
    <row r="17" spans="1:22" s="2852" customFormat="1" ht="13.15" customHeight="1" thickBot="1">
      <c r="A17" s="2909">
        <v>4</v>
      </c>
      <c r="B17" s="3673" t="s">
        <v>2382</v>
      </c>
      <c r="C17" s="3674"/>
      <c r="D17" s="2910">
        <f>ROUND(D6*E17,0)</f>
        <v>0</v>
      </c>
      <c r="E17" s="2911"/>
      <c r="F17" s="2912" t="s">
        <v>2383</v>
      </c>
      <c r="G17" s="2872"/>
      <c r="H17" s="2847"/>
      <c r="I17" s="2848"/>
      <c r="J17" s="3665"/>
      <c r="K17" s="3667"/>
      <c r="L17" s="2882" t="s">
        <v>2384</v>
      </c>
      <c r="M17" s="2883"/>
      <c r="N17" s="2883"/>
      <c r="O17" s="2884"/>
      <c r="P17" s="2885">
        <v>365</v>
      </c>
      <c r="Q17" s="2859"/>
      <c r="R17" s="2906">
        <f>ROUND(M17*N17*O17*P17/10000,0)</f>
        <v>0</v>
      </c>
      <c r="S17" s="2840"/>
      <c r="T17" s="2840"/>
      <c r="U17" s="2840"/>
      <c r="V17" s="2848"/>
    </row>
    <row r="18" spans="1:22" s="2852" customFormat="1" ht="13.15" customHeight="1" thickBot="1">
      <c r="A18" s="2875" t="s">
        <v>2385</v>
      </c>
      <c r="B18" s="2876"/>
      <c r="C18" s="2876"/>
      <c r="D18" s="2913">
        <f>ROUND(D6*E18,0)</f>
        <v>0</v>
      </c>
      <c r="E18" s="2914"/>
      <c r="F18" s="2915" t="s">
        <v>2386</v>
      </c>
      <c r="G18" s="2872"/>
      <c r="H18" s="2847"/>
      <c r="I18" s="2848"/>
      <c r="J18" s="3665"/>
      <c r="K18" s="3667"/>
      <c r="L18" s="2882" t="s">
        <v>2387</v>
      </c>
      <c r="M18" s="2883"/>
      <c r="N18" s="2883"/>
      <c r="O18" s="2884"/>
      <c r="P18" s="2885">
        <v>365</v>
      </c>
      <c r="Q18" s="2859"/>
      <c r="R18" s="2906">
        <f>ROUND(M18*N18*O18*P18/10000,0)</f>
        <v>0</v>
      </c>
      <c r="S18" s="2840"/>
      <c r="T18" s="2840"/>
      <c r="U18" s="2840"/>
      <c r="V18" s="2848"/>
    </row>
    <row r="19" spans="1:22" s="2852" customFormat="1" ht="13.15" customHeight="1" thickBot="1">
      <c r="A19" s="2916" t="s">
        <v>2388</v>
      </c>
      <c r="B19" s="2870"/>
      <c r="C19" s="2870"/>
      <c r="D19" s="2870"/>
      <c r="E19" s="2870"/>
      <c r="F19" s="2871"/>
      <c r="G19" s="2891"/>
      <c r="H19" s="2847"/>
      <c r="I19" s="2848"/>
      <c r="J19" s="3665"/>
      <c r="K19" s="3668"/>
      <c r="L19" s="2902" t="s">
        <v>2368</v>
      </c>
      <c r="M19" s="2903"/>
      <c r="N19" s="2903">
        <f>SUM(N16:N18)</f>
        <v>0</v>
      </c>
      <c r="O19" s="2904"/>
      <c r="P19" s="2917" t="s">
        <v>2432</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5">
        <v>3</v>
      </c>
      <c r="K20" s="3666" t="s">
        <v>2389</v>
      </c>
      <c r="L20" s="2882" t="s">
        <v>2390</v>
      </c>
      <c r="M20" s="2883" t="s">
        <v>2391</v>
      </c>
      <c r="N20" s="2920" t="s">
        <v>2392</v>
      </c>
      <c r="O20" s="2884" t="s">
        <v>2393</v>
      </c>
      <c r="P20" s="2885" t="s">
        <v>2394</v>
      </c>
      <c r="Q20" s="2859" t="s">
        <v>2395</v>
      </c>
      <c r="R20" s="2906" t="s">
        <v>2396</v>
      </c>
      <c r="S20" s="2921"/>
      <c r="T20" s="2921"/>
      <c r="U20" s="2921"/>
      <c r="V20" s="2848"/>
    </row>
    <row r="21" spans="1:22" s="2852" customFormat="1" ht="13.15" customHeight="1">
      <c r="A21" s="2875"/>
      <c r="B21" s="2876"/>
      <c r="C21" s="2922" t="s">
        <v>2397</v>
      </c>
      <c r="D21" s="2923" t="s">
        <v>2398</v>
      </c>
      <c r="E21" s="2924" t="s">
        <v>2399</v>
      </c>
      <c r="F21" s="2919"/>
      <c r="G21" s="2891"/>
      <c r="H21" s="2847"/>
      <c r="I21" s="2848"/>
      <c r="J21" s="3665"/>
      <c r="K21" s="3667"/>
      <c r="L21" s="2882" t="s">
        <v>2400</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2401</v>
      </c>
      <c r="D22" s="2927" t="s">
        <v>2402</v>
      </c>
      <c r="E22" s="2928" t="s">
        <v>2403</v>
      </c>
      <c r="F22" s="2919"/>
      <c r="G22" s="2929"/>
      <c r="H22" s="2847"/>
      <c r="I22" s="2848"/>
      <c r="J22" s="3665"/>
      <c r="K22" s="3667"/>
      <c r="L22" s="2882" t="s">
        <v>2404</v>
      </c>
      <c r="M22" s="2883"/>
      <c r="N22" s="2883"/>
      <c r="O22" s="2884"/>
      <c r="P22" s="2885">
        <v>365</v>
      </c>
      <c r="Q22" s="2859"/>
      <c r="R22" s="2925">
        <f>ROUND(M22*N22*O22*P22/10000,0)</f>
        <v>0</v>
      </c>
      <c r="S22" s="2921"/>
      <c r="T22" s="2921"/>
      <c r="U22" s="2921"/>
      <c r="V22" s="2848"/>
    </row>
    <row r="23" spans="1:22" s="2852" customFormat="1" ht="13.15" customHeight="1">
      <c r="A23" s="2930">
        <v>1</v>
      </c>
      <c r="B23" s="2931" t="s">
        <v>2405</v>
      </c>
      <c r="C23" s="2932">
        <f>D6</f>
        <v>0</v>
      </c>
      <c r="D23" s="2933">
        <f>C23*(1+D24)</f>
        <v>0</v>
      </c>
      <c r="E23" s="2934">
        <f>D23*(1+E24)</f>
        <v>0</v>
      </c>
      <c r="F23" s="2935"/>
      <c r="G23" s="2936"/>
      <c r="H23" s="2847"/>
      <c r="I23" s="2848"/>
      <c r="J23" s="3665"/>
      <c r="K23" s="3667"/>
      <c r="L23" s="2882" t="s">
        <v>2406</v>
      </c>
      <c r="M23" s="2883"/>
      <c r="N23" s="2883"/>
      <c r="O23" s="2884"/>
      <c r="P23" s="2885">
        <v>365</v>
      </c>
      <c r="Q23" s="2859"/>
      <c r="R23" s="2925">
        <f>ROUND(M23*N23*O23*P23/10000,0)</f>
        <v>0</v>
      </c>
      <c r="S23" s="2840"/>
      <c r="T23" s="2840"/>
      <c r="U23" s="2840"/>
      <c r="V23" s="2848"/>
    </row>
    <row r="24" spans="1:22" s="2852" customFormat="1" ht="13.15" customHeight="1">
      <c r="A24" s="2937"/>
      <c r="B24" s="2938" t="s">
        <v>2407</v>
      </c>
      <c r="C24" s="2939"/>
      <c r="D24" s="2940"/>
      <c r="E24" s="2941"/>
      <c r="F24" s="2942"/>
      <c r="G24" s="2936"/>
      <c r="H24" s="2847"/>
      <c r="I24" s="2848"/>
      <c r="J24" s="3665"/>
      <c r="K24" s="3668"/>
      <c r="L24" s="2902" t="s">
        <v>2368</v>
      </c>
      <c r="M24" s="2903">
        <f>SUM(M21:M23)</f>
        <v>0</v>
      </c>
      <c r="N24" s="2903"/>
      <c r="O24" s="2904"/>
      <c r="P24" s="2917" t="s">
        <v>2432</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2408</v>
      </c>
      <c r="L25" s="2945"/>
      <c r="M25" s="2945"/>
      <c r="N25" s="2945"/>
      <c r="O25" s="2945"/>
      <c r="P25" s="2946"/>
      <c r="Q25" s="2947">
        <v>0</v>
      </c>
      <c r="R25" s="2918">
        <f>ROUND(R14*Q25,0)</f>
        <v>0</v>
      </c>
      <c r="S25" s="2840"/>
      <c r="T25" s="2840"/>
      <c r="U25" s="2840"/>
      <c r="V25" s="2948"/>
    </row>
    <row r="26" spans="1:22" s="2949" customFormat="1" ht="13.15" customHeight="1">
      <c r="A26" s="2930">
        <v>2</v>
      </c>
      <c r="B26" s="2931" t="s">
        <v>2409</v>
      </c>
      <c r="C26" s="2932">
        <f>D7</f>
        <v>0</v>
      </c>
      <c r="D26" s="2933">
        <f>D23*D27</f>
        <v>0</v>
      </c>
      <c r="E26" s="2934">
        <f>E23*E27</f>
        <v>0</v>
      </c>
      <c r="F26" s="2935"/>
      <c r="G26" s="2936"/>
      <c r="H26" s="2847"/>
      <c r="I26" s="2848"/>
      <c r="J26" s="3675">
        <v>5</v>
      </c>
      <c r="K26" s="2950" t="s">
        <v>2410</v>
      </c>
      <c r="L26" s="2951"/>
      <c r="M26" s="2952"/>
      <c r="N26" s="2953" t="s">
        <v>2411</v>
      </c>
      <c r="O26" s="2953" t="s">
        <v>2412</v>
      </c>
      <c r="P26" s="2954" t="s">
        <v>2413</v>
      </c>
      <c r="Q26" s="2954" t="s">
        <v>2414</v>
      </c>
      <c r="R26" s="2857" t="s">
        <v>2339</v>
      </c>
      <c r="S26" s="2955"/>
      <c r="T26" s="2955"/>
      <c r="U26" s="2955"/>
      <c r="V26" s="2948"/>
    </row>
    <row r="27" spans="1:22" s="2852" customFormat="1" ht="13.15" customHeight="1">
      <c r="A27" s="2937"/>
      <c r="B27" s="2938" t="s">
        <v>2415</v>
      </c>
      <c r="C27" s="2956" t="e">
        <f>E7</f>
        <v>#DIV/0!</v>
      </c>
      <c r="D27" s="2940"/>
      <c r="E27" s="2941"/>
      <c r="F27" s="2942"/>
      <c r="G27" s="2936"/>
      <c r="H27" s="2957"/>
      <c r="I27" s="2948"/>
      <c r="J27" s="367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2416</v>
      </c>
      <c r="F28" s="2942"/>
      <c r="G28" s="2929"/>
      <c r="H28" s="2957"/>
      <c r="I28" s="2948"/>
      <c r="J28" s="2963">
        <v>6</v>
      </c>
      <c r="K28" s="2964" t="s">
        <v>2417</v>
      </c>
      <c r="L28" s="2965" t="s">
        <v>2418</v>
      </c>
      <c r="M28" s="2966"/>
      <c r="N28" s="2965" t="s">
        <v>2419</v>
      </c>
      <c r="O28" s="2967"/>
      <c r="P28" s="2965" t="s">
        <v>2420</v>
      </c>
      <c r="Q28" s="2968">
        <v>1.4999999999999999E-2</v>
      </c>
      <c r="R28" s="2969"/>
      <c r="S28" s="2921"/>
      <c r="T28" s="2921"/>
      <c r="U28" s="2921"/>
      <c r="V28" s="2948"/>
    </row>
    <row r="29" spans="1:22" s="2949" customFormat="1" ht="13.15" customHeight="1">
      <c r="A29" s="2930">
        <v>3</v>
      </c>
      <c r="B29" s="2931" t="s">
        <v>2421</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2415</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2422</v>
      </c>
      <c r="K31" s="2838"/>
      <c r="L31" s="2838"/>
      <c r="M31" s="2838"/>
      <c r="N31" s="2838"/>
      <c r="O31" s="2838"/>
      <c r="P31" s="2838"/>
      <c r="Q31" s="2838"/>
      <c r="R31" s="2839"/>
      <c r="S31" s="2921"/>
      <c r="T31" s="2840"/>
      <c r="U31" s="2840"/>
      <c r="V31" s="2948"/>
    </row>
    <row r="32" spans="1:22" s="2949" customFormat="1" ht="13.15" customHeight="1">
      <c r="A32" s="2930">
        <v>4</v>
      </c>
      <c r="B32" s="2931" t="s">
        <v>2423</v>
      </c>
      <c r="C32" s="2932">
        <f>C23-C26-C29</f>
        <v>0</v>
      </c>
      <c r="D32" s="2933">
        <f>D23-D26-D29</f>
        <v>0</v>
      </c>
      <c r="E32" s="2934">
        <f>E23-E26-E29</f>
        <v>0</v>
      </c>
      <c r="F32" s="2935"/>
      <c r="G32" s="2929"/>
      <c r="H32" s="2847"/>
      <c r="I32" s="2848"/>
      <c r="J32" s="3658" t="s">
        <v>2315</v>
      </c>
      <c r="K32" s="3659"/>
      <c r="L32" s="2849" t="s">
        <v>2316</v>
      </c>
      <c r="M32" s="2849" t="s">
        <v>2317</v>
      </c>
      <c r="N32" s="2849" t="s">
        <v>2318</v>
      </c>
      <c r="O32" s="2849" t="s">
        <v>2319</v>
      </c>
      <c r="P32" s="2849" t="s">
        <v>2320</v>
      </c>
      <c r="Q32" s="2850" t="s">
        <v>2321</v>
      </c>
      <c r="R32" s="2972" t="s">
        <v>2322</v>
      </c>
      <c r="S32" s="2921"/>
      <c r="T32" s="2840"/>
      <c r="U32" s="2840"/>
      <c r="V32" s="2948"/>
    </row>
    <row r="33" spans="1:23" s="2852" customFormat="1" ht="13.15" customHeight="1">
      <c r="A33" s="2930"/>
      <c r="B33" s="2931"/>
      <c r="C33" s="2932"/>
      <c r="D33" s="2973"/>
      <c r="E33" s="2974"/>
      <c r="F33" s="2935"/>
      <c r="G33" s="2929"/>
      <c r="H33" s="2957"/>
      <c r="I33" s="2948"/>
      <c r="J33" s="3660" t="s">
        <v>2325</v>
      </c>
      <c r="K33" s="3661"/>
      <c r="L33" s="2855"/>
      <c r="M33" s="2855"/>
      <c r="N33" s="2855"/>
      <c r="O33" s="2855"/>
      <c r="P33" s="2855"/>
      <c r="Q33" s="2856"/>
      <c r="R33" s="2975">
        <f>SUM(L33:Q33)</f>
        <v>0</v>
      </c>
      <c r="S33" s="2921"/>
      <c r="T33" s="2840"/>
      <c r="U33" s="2840"/>
      <c r="V33" s="2848"/>
    </row>
    <row r="34" spans="1:23" s="2852" customFormat="1" ht="13.15" customHeight="1">
      <c r="A34" s="2930">
        <v>5</v>
      </c>
      <c r="B34" s="2931" t="s">
        <v>2424</v>
      </c>
      <c r="C34" s="2976"/>
      <c r="D34" s="2977"/>
      <c r="E34" s="2978"/>
      <c r="F34" s="2935"/>
      <c r="G34" s="2929"/>
      <c r="H34" s="2957"/>
      <c r="I34" s="2948"/>
      <c r="J34" s="3660" t="s">
        <v>2327</v>
      </c>
      <c r="K34" s="366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2425</v>
      </c>
      <c r="C35" s="2980"/>
      <c r="D35" s="2981"/>
      <c r="E35" s="2982"/>
      <c r="F35" s="2935"/>
      <c r="G35" s="2983"/>
      <c r="H35" s="2847"/>
      <c r="I35" s="2948"/>
      <c r="J35" s="2866" t="s">
        <v>2329</v>
      </c>
      <c r="K35" s="2867"/>
      <c r="L35" s="2867"/>
      <c r="M35" s="2868"/>
      <c r="N35" s="2868"/>
      <c r="O35" s="2868"/>
      <c r="P35" s="2868"/>
      <c r="Q35" s="2868"/>
      <c r="R35" s="2984">
        <f>R40+R41+R43</f>
        <v>0</v>
      </c>
      <c r="S35" s="2921"/>
      <c r="T35" s="2840" t="s">
        <v>2330</v>
      </c>
      <c r="U35" s="2840"/>
      <c r="V35" s="2848"/>
    </row>
    <row r="36" spans="1:23" s="2852" customFormat="1" ht="13.15" customHeight="1" thickBot="1">
      <c r="A36" s="2930">
        <v>7</v>
      </c>
      <c r="B36" s="2985" t="s">
        <v>2426</v>
      </c>
      <c r="C36" s="2986"/>
      <c r="D36" s="2987"/>
      <c r="E36" s="2988"/>
      <c r="F36" s="2989">
        <f>C36+D36+E36</f>
        <v>0</v>
      </c>
      <c r="G36" s="2929"/>
      <c r="H36" s="2847"/>
      <c r="I36" s="2848"/>
      <c r="J36" s="3665">
        <v>1</v>
      </c>
      <c r="K36" s="3666" t="s">
        <v>2427</v>
      </c>
      <c r="L36" s="2873"/>
      <c r="M36" s="2874"/>
      <c r="N36" s="2874"/>
      <c r="O36" s="2874"/>
      <c r="P36" s="2874"/>
      <c r="Q36" s="2874"/>
      <c r="R36" s="2857" t="s">
        <v>2339</v>
      </c>
      <c r="S36" s="2921"/>
      <c r="T36" s="2840" t="s">
        <v>2340</v>
      </c>
      <c r="U36" s="2840"/>
      <c r="V36" s="2848"/>
    </row>
    <row r="37" spans="1:23" s="2852" customFormat="1" ht="13.15" customHeight="1">
      <c r="A37" s="2930"/>
      <c r="B37" s="2931"/>
      <c r="C37" s="2931"/>
      <c r="D37" s="2931"/>
      <c r="E37" s="2931"/>
      <c r="F37" s="2935"/>
      <c r="G37" s="2929"/>
      <c r="H37" s="2847"/>
      <c r="I37" s="2848"/>
      <c r="J37" s="3665"/>
      <c r="K37" s="3667"/>
      <c r="L37" s="2882"/>
      <c r="M37" s="2883"/>
      <c r="N37" s="2859"/>
      <c r="O37" s="2884"/>
      <c r="P37" s="2884"/>
      <c r="Q37" s="2885"/>
      <c r="R37" s="2886"/>
      <c r="S37" s="2921"/>
      <c r="T37" s="2840" t="s">
        <v>2343</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5"/>
      <c r="K38" s="3667"/>
      <c r="L38" s="2882"/>
      <c r="M38" s="2883"/>
      <c r="N38" s="2859"/>
      <c r="O38" s="2884"/>
      <c r="P38" s="2884"/>
      <c r="Q38" s="2885"/>
      <c r="R38" s="2886"/>
      <c r="S38" s="2921"/>
      <c r="T38" s="2840" t="s">
        <v>2350</v>
      </c>
      <c r="U38" s="2840"/>
      <c r="V38" s="2848"/>
    </row>
    <row r="39" spans="1:23" s="2852" customFormat="1" ht="13.15" customHeight="1">
      <c r="A39" s="2930">
        <v>9</v>
      </c>
      <c r="B39" s="2931" t="s">
        <v>2428</v>
      </c>
      <c r="C39" s="2896" t="e">
        <f>C38</f>
        <v>#DIV/0!</v>
      </c>
      <c r="D39" s="2931">
        <f>D38/(1+D34)^C36</f>
        <v>0</v>
      </c>
      <c r="E39" s="2931">
        <f>E38/(1+E34)^(C36+D36)</f>
        <v>0</v>
      </c>
      <c r="F39" s="2935"/>
      <c r="G39" s="2990"/>
      <c r="H39" s="2847"/>
      <c r="I39" s="2848"/>
      <c r="J39" s="3665"/>
      <c r="K39" s="3667"/>
      <c r="L39" s="2882"/>
      <c r="M39" s="2883"/>
      <c r="N39" s="2859"/>
      <c r="O39" s="2884"/>
      <c r="P39" s="2884"/>
      <c r="Q39" s="2885"/>
      <c r="R39" s="2886"/>
      <c r="S39" s="2921"/>
      <c r="T39" s="2840"/>
      <c r="U39" s="2840"/>
      <c r="V39" s="2848"/>
    </row>
    <row r="40" spans="1:23" s="2852" customFormat="1" ht="13.15" customHeight="1">
      <c r="A40" s="2991">
        <v>10</v>
      </c>
      <c r="B40" s="2931" t="s">
        <v>2429</v>
      </c>
      <c r="C40" s="2992" t="e">
        <f>C39+D39+E39</f>
        <v>#DIV/0!</v>
      </c>
      <c r="D40" s="2993"/>
      <c r="E40" s="2993"/>
      <c r="F40" s="2994"/>
      <c r="G40" s="2929"/>
      <c r="H40" s="2847"/>
      <c r="I40" s="2848"/>
      <c r="J40" s="3665"/>
      <c r="K40" s="3668"/>
      <c r="L40" s="2902" t="s">
        <v>2368</v>
      </c>
      <c r="M40" s="2903"/>
      <c r="N40" s="2903"/>
      <c r="O40" s="2904"/>
      <c r="P40" s="2904"/>
      <c r="Q40" s="2905"/>
      <c r="R40" s="2851">
        <f>SUM(R37:R39)</f>
        <v>0</v>
      </c>
      <c r="S40" s="2921"/>
      <c r="T40" s="2840"/>
      <c r="U40" s="2840"/>
      <c r="V40" s="2848"/>
    </row>
    <row r="41" spans="1:23" s="2852" customFormat="1" ht="13.15" customHeight="1" thickBot="1">
      <c r="A41" s="2995">
        <v>11</v>
      </c>
      <c r="B41" s="2996" t="s">
        <v>2430</v>
      </c>
      <c r="C41" s="2996" t="e">
        <f>ROUND(C40*10000/B4,0)</f>
        <v>#DIV/0!</v>
      </c>
      <c r="D41" s="2997"/>
      <c r="E41" s="2997"/>
      <c r="F41" s="2998"/>
      <c r="G41" s="2999"/>
      <c r="H41" s="2847"/>
      <c r="I41" s="2848"/>
      <c r="J41" s="2943">
        <v>2</v>
      </c>
      <c r="K41" s="2944" t="s">
        <v>2408</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5">
        <v>3</v>
      </c>
      <c r="K42" s="2950" t="s">
        <v>2410</v>
      </c>
      <c r="L42" s="2951"/>
      <c r="M42" s="2952"/>
      <c r="N42" s="2953" t="s">
        <v>2411</v>
      </c>
      <c r="O42" s="2953" t="s">
        <v>2412</v>
      </c>
      <c r="P42" s="2954" t="s">
        <v>2413</v>
      </c>
      <c r="Q42" s="2954" t="s">
        <v>2414</v>
      </c>
      <c r="R42" s="2857" t="s">
        <v>2339</v>
      </c>
      <c r="S42" s="2955"/>
      <c r="T42" s="2955"/>
      <c r="U42" s="2840"/>
      <c r="V42" s="2848"/>
    </row>
    <row r="43" spans="1:23" ht="13.15" customHeight="1">
      <c r="A43" s="2852"/>
      <c r="B43" s="2852"/>
      <c r="C43" s="2852"/>
      <c r="D43" s="2852"/>
      <c r="E43" s="2852"/>
      <c r="F43" s="2852"/>
      <c r="I43" s="2835"/>
      <c r="J43" s="367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2417</v>
      </c>
      <c r="L44" s="3003" t="s">
        <v>2418</v>
      </c>
      <c r="M44" s="2966"/>
      <c r="N44" s="3003" t="s">
        <v>2419</v>
      </c>
      <c r="O44" s="2966"/>
      <c r="P44" s="3003" t="s">
        <v>2420</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6"/>
      <c r="G1" s="1489"/>
      <c r="H1" s="1489"/>
      <c r="I1" s="1489"/>
      <c r="J1" s="1489"/>
      <c r="K1" s="1489"/>
      <c r="L1" s="1489"/>
      <c r="M1" s="1489"/>
      <c r="N1" s="1489"/>
      <c r="O1" s="1489"/>
      <c r="P1" s="1489"/>
      <c r="Q1" s="1489"/>
      <c r="R1" s="1489"/>
      <c r="S1" s="1489"/>
    </row>
    <row r="2" spans="1:22" ht="15.75">
      <c r="A2" s="1870" t="s">
        <v>1460</v>
      </c>
      <c r="B2" s="1871">
        <f ca="1">SUMIF(B6:B13,"&lt;&gt;#ref!",B6:B13)</f>
        <v>2728</v>
      </c>
      <c r="C2" s="1872" t="s">
        <v>1649</v>
      </c>
      <c r="D2" s="1873" t="s">
        <v>1650</v>
      </c>
      <c r="E2" s="2607">
        <f>SUM(E6:E13)</f>
        <v>8390.83</v>
      </c>
      <c r="F2" s="2706"/>
      <c r="G2" s="1489"/>
      <c r="H2" s="1489"/>
      <c r="I2" s="1489"/>
      <c r="J2" s="1489"/>
      <c r="K2" s="1489"/>
      <c r="L2" s="1489"/>
      <c r="M2" s="1489"/>
      <c r="N2" s="1489"/>
      <c r="O2" s="1489"/>
      <c r="P2" s="1489"/>
      <c r="Q2" s="1489"/>
      <c r="R2" s="1489"/>
      <c r="S2" s="1489"/>
    </row>
    <row r="3" spans="1:22" ht="15.75">
      <c r="A3" s="1870" t="s">
        <v>684</v>
      </c>
      <c r="B3" s="2601">
        <f ca="1">ROUND(B2*10000/E2,0)</f>
        <v>3251</v>
      </c>
      <c r="C3" s="1872" t="s">
        <v>1657</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1651</v>
      </c>
      <c r="B5" s="3677" t="s">
        <v>1652</v>
      </c>
      <c r="C5" s="3678"/>
      <c r="D5" s="2707"/>
      <c r="E5" s="1874" t="s">
        <v>1653</v>
      </c>
      <c r="F5" s="1875" t="s">
        <v>1654</v>
      </c>
      <c r="G5" s="1489"/>
      <c r="H5" s="1489"/>
      <c r="I5" s="1489"/>
      <c r="J5" s="1489"/>
      <c r="K5" s="1489"/>
      <c r="L5" s="1489"/>
      <c r="M5" s="1489"/>
      <c r="N5" s="1489"/>
      <c r="O5" s="1489"/>
      <c r="P5" s="1489"/>
      <c r="Q5" s="1489"/>
      <c r="R5" s="1489"/>
      <c r="S5" s="1489"/>
    </row>
    <row r="6" spans="1:22">
      <c r="A6" s="2604" t="str">
        <f>'数据-取费表'!AN6</f>
        <v>收益法</v>
      </c>
      <c r="B6" s="2602">
        <f ca="1">IF(F6="是",'数据-取费表'!AO6,0)</f>
        <v>2728</v>
      </c>
      <c r="C6" s="1872" t="s">
        <v>1649</v>
      </c>
      <c r="D6" s="2708"/>
      <c r="E6" s="2606">
        <f>IF(OR(A6=0,F6="否"),0,'数据-取费表'!K6+'数据-取费表'!S6)</f>
        <v>8390.83</v>
      </c>
      <c r="F6" s="1876" t="s">
        <v>1655</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1649</v>
      </c>
      <c r="D7" s="2708"/>
      <c r="E7" s="2606">
        <f>IF(OR(A7=0,F7="否"),0,'数据-取费表'!K7+'数据-取费表'!S7)</f>
        <v>0</v>
      </c>
      <c r="F7" s="1876" t="s">
        <v>1655</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1649</v>
      </c>
      <c r="D8" s="2708"/>
      <c r="E8" s="2606">
        <f>IF(OR(A8=0,F8="否"),0,'数据-取费表'!K8+'数据-取费表'!S8)</f>
        <v>0</v>
      </c>
      <c r="F8" s="1876" t="s">
        <v>1655</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1649</v>
      </c>
      <c r="D9" s="2708"/>
      <c r="E9" s="2606">
        <f>IF(OR(A9=0,F9="否"),0,'数据-取费表'!K9+'数据-取费表'!S9)</f>
        <v>0</v>
      </c>
      <c r="F9" s="1876" t="s">
        <v>1655</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1649</v>
      </c>
      <c r="D10" s="2708"/>
      <c r="E10" s="2606">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1649</v>
      </c>
      <c r="D11" s="2708"/>
      <c r="E11" s="2606">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1649</v>
      </c>
      <c r="D12" s="2708"/>
      <c r="E12" s="2606">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1649</v>
      </c>
      <c r="D13" s="2709"/>
      <c r="E13" s="2606">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5"/>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683</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684</v>
      </c>
      <c r="B3" s="353">
        <f>IF(C2="——",C49,ROUND(B2*10000/D3,0))</f>
        <v>0</v>
      </c>
      <c r="C3" s="354" t="s">
        <v>1663</v>
      </c>
      <c r="D3" s="353">
        <f>IF(D1="",'数据-汇总表'!E3,SUMIF('数据-汇总表'!$C19:$C33,D1,'数据-汇总表'!$E19:$E33))</f>
        <v>8390.83</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1664</v>
      </c>
      <c r="B4" s="356"/>
      <c r="C4" s="3697" t="s">
        <v>1665</v>
      </c>
      <c r="D4" s="3698"/>
      <c r="E4" s="3699" t="s">
        <v>1666</v>
      </c>
      <c r="F4" s="3700"/>
      <c r="G4" s="3697" t="s">
        <v>1667</v>
      </c>
      <c r="H4" s="3698"/>
      <c r="I4" s="3697" t="s">
        <v>1668</v>
      </c>
      <c r="J4" s="3698"/>
      <c r="K4" s="1889" t="s">
        <v>1669</v>
      </c>
      <c r="L4" s="2714"/>
      <c r="M4" s="2715"/>
      <c r="N4" s="2715"/>
      <c r="O4" s="2715"/>
      <c r="P4" s="3701" t="s">
        <v>1670</v>
      </c>
      <c r="Q4" s="3702"/>
      <c r="R4" s="3684" t="s">
        <v>1666</v>
      </c>
      <c r="S4" s="3685"/>
      <c r="T4" s="3684" t="s">
        <v>1667</v>
      </c>
      <c r="U4" s="3685"/>
      <c r="V4" s="3709" t="s">
        <v>1668</v>
      </c>
      <c r="W4" s="3709"/>
      <c r="X4" s="1355"/>
      <c r="Y4" s="3684" t="s">
        <v>1670</v>
      </c>
      <c r="Z4" s="3685"/>
      <c r="AA4" s="3679" t="s">
        <v>1666</v>
      </c>
      <c r="AB4" s="3679" t="s">
        <v>1667</v>
      </c>
      <c r="AC4" s="3679" t="s">
        <v>1668</v>
      </c>
    </row>
    <row r="5" spans="1:29" ht="15">
      <c r="A5" s="358"/>
      <c r="B5" s="359"/>
      <c r="C5" s="3690" t="s">
        <v>1671</v>
      </c>
      <c r="D5" s="3691"/>
      <c r="E5" s="3688" t="s">
        <v>1672</v>
      </c>
      <c r="F5" s="3689"/>
      <c r="G5" s="3690" t="s">
        <v>1673</v>
      </c>
      <c r="H5" s="3691"/>
      <c r="I5" s="3690" t="s">
        <v>1674</v>
      </c>
      <c r="J5" s="3691"/>
      <c r="K5" s="1890"/>
      <c r="L5" s="2714"/>
      <c r="M5" s="2715"/>
      <c r="N5" s="2715"/>
      <c r="O5" s="2715"/>
      <c r="P5" s="3703"/>
      <c r="Q5" s="3704"/>
      <c r="R5" s="3686"/>
      <c r="S5" s="3687"/>
      <c r="T5" s="3686"/>
      <c r="U5" s="3687"/>
      <c r="V5" s="3709"/>
      <c r="W5" s="3709"/>
      <c r="X5" s="1355"/>
      <c r="Y5" s="3686"/>
      <c r="Z5" s="3687"/>
      <c r="AA5" s="3680"/>
      <c r="AB5" s="3680"/>
      <c r="AC5" s="3680"/>
    </row>
    <row r="6" spans="1:29" ht="15.75" thickBot="1">
      <c r="A6" s="360"/>
      <c r="B6" s="361"/>
      <c r="C6" s="3692" t="s">
        <v>1675</v>
      </c>
      <c r="D6" s="3693"/>
      <c r="E6" s="3694" t="s">
        <v>1675</v>
      </c>
      <c r="F6" s="3695"/>
      <c r="G6" s="3692" t="s">
        <v>1675</v>
      </c>
      <c r="H6" s="3693"/>
      <c r="I6" s="3692" t="s">
        <v>1675</v>
      </c>
      <c r="J6" s="3693"/>
      <c r="K6" s="1890" t="s">
        <v>1676</v>
      </c>
      <c r="L6" s="2714"/>
      <c r="M6" s="2715"/>
      <c r="N6" s="2715"/>
      <c r="O6" s="2715"/>
      <c r="P6" s="3705"/>
      <c r="Q6" s="3706"/>
      <c r="R6" s="3686"/>
      <c r="S6" s="3687"/>
      <c r="T6" s="3707"/>
      <c r="U6" s="3708"/>
      <c r="V6" s="3709"/>
      <c r="W6" s="3709"/>
      <c r="X6" s="1355"/>
      <c r="Y6" s="3707"/>
      <c r="Z6" s="3708"/>
      <c r="AA6" s="3681"/>
      <c r="AB6" s="3681"/>
      <c r="AC6" s="3681"/>
    </row>
    <row r="7" spans="1:29" s="108" customFormat="1" ht="15.75" thickBot="1">
      <c r="A7" s="362" t="s">
        <v>1677</v>
      </c>
      <c r="B7" s="363"/>
      <c r="C7" s="364">
        <f>'数据-取费表'!B2</f>
        <v>45131</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82" t="s">
        <v>1678</v>
      </c>
      <c r="Q7" s="3710"/>
      <c r="R7" s="701" t="s">
        <v>20</v>
      </c>
      <c r="S7" s="702">
        <f t="shared" ref="S7:S15" si="0">F7</f>
        <v>0</v>
      </c>
      <c r="T7" s="701" t="s">
        <v>20</v>
      </c>
      <c r="U7" s="702">
        <f t="shared" ref="U7:U15" si="1">H7</f>
        <v>0</v>
      </c>
      <c r="V7" s="701" t="s">
        <v>20</v>
      </c>
      <c r="W7" s="702">
        <f t="shared" ref="W7:W15" si="2">J7</f>
        <v>0</v>
      </c>
      <c r="X7" s="703"/>
      <c r="Y7" s="3682" t="s">
        <v>1678</v>
      </c>
      <c r="Z7" s="3683"/>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82" t="s">
        <v>1681</v>
      </c>
      <c r="Q8" s="3683"/>
      <c r="R8" s="701" t="s">
        <v>20</v>
      </c>
      <c r="S8" s="702">
        <f t="shared" si="0"/>
        <v>100</v>
      </c>
      <c r="T8" s="701" t="s">
        <v>20</v>
      </c>
      <c r="U8" s="702">
        <f t="shared" si="1"/>
        <v>100</v>
      </c>
      <c r="V8" s="701" t="s">
        <v>20</v>
      </c>
      <c r="W8" s="702">
        <f t="shared" si="2"/>
        <v>100</v>
      </c>
      <c r="X8" s="703"/>
      <c r="Y8" s="3682" t="s">
        <v>1681</v>
      </c>
      <c r="Z8" s="3683"/>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6" t="s">
        <v>1684</v>
      </c>
      <c r="Q9" s="1343" t="str">
        <f t="shared" ref="Q9:Q15" si="6">B9</f>
        <v>用途</v>
      </c>
      <c r="R9" s="701" t="s">
        <v>14</v>
      </c>
      <c r="S9" s="702">
        <f t="shared" si="0"/>
        <v>100</v>
      </c>
      <c r="T9" s="701" t="s">
        <v>14</v>
      </c>
      <c r="U9" s="702">
        <f t="shared" si="1"/>
        <v>100</v>
      </c>
      <c r="V9" s="701" t="s">
        <v>14</v>
      </c>
      <c r="W9" s="702">
        <f t="shared" si="2"/>
        <v>100</v>
      </c>
      <c r="X9" s="703"/>
      <c r="Y9" s="3626" t="s">
        <v>1685</v>
      </c>
      <c r="Z9" s="52" t="str">
        <f t="shared" ref="Z9:Z15" si="7">Q9</f>
        <v>用途</v>
      </c>
      <c r="AA9" s="704">
        <f t="shared" si="3"/>
        <v>1</v>
      </c>
      <c r="AB9" s="704">
        <f t="shared" si="4"/>
        <v>1</v>
      </c>
      <c r="AC9" s="704">
        <f t="shared" si="5"/>
        <v>1</v>
      </c>
    </row>
    <row r="10" spans="1:29" s="378" customFormat="1" ht="27">
      <c r="A10" s="374"/>
      <c r="B10" s="375" t="s">
        <v>1686</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6"/>
      <c r="Q11" s="1343" t="str">
        <f t="shared" si="6"/>
        <v>容积率</v>
      </c>
      <c r="R11" s="701" t="s">
        <v>18</v>
      </c>
      <c r="S11" s="702" t="e">
        <f t="shared" si="0"/>
        <v>#N/A</v>
      </c>
      <c r="T11" s="701" t="s">
        <v>18</v>
      </c>
      <c r="U11" s="702" t="e">
        <f t="shared" si="1"/>
        <v>#N/A</v>
      </c>
      <c r="V11" s="701" t="s">
        <v>18</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6"/>
      <c r="Q12" s="1343">
        <f t="shared" si="6"/>
        <v>111</v>
      </c>
      <c r="R12" s="701" t="s">
        <v>18</v>
      </c>
      <c r="S12" s="702">
        <f t="shared" si="0"/>
        <v>100</v>
      </c>
      <c r="T12" s="701" t="s">
        <v>18</v>
      </c>
      <c r="U12" s="702">
        <f t="shared" si="1"/>
        <v>100</v>
      </c>
      <c r="V12" s="701" t="s">
        <v>18</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6"/>
      <c r="Q13" s="1343">
        <f t="shared" si="6"/>
        <v>111</v>
      </c>
      <c r="R13" s="701" t="s">
        <v>18</v>
      </c>
      <c r="S13" s="702">
        <f t="shared" si="0"/>
        <v>100</v>
      </c>
      <c r="T13" s="701" t="s">
        <v>18</v>
      </c>
      <c r="U13" s="702">
        <f t="shared" si="1"/>
        <v>100</v>
      </c>
      <c r="V13" s="701" t="s">
        <v>18</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6"/>
      <c r="Q14" s="1343">
        <f t="shared" si="6"/>
        <v>111</v>
      </c>
      <c r="R14" s="701" t="s">
        <v>18</v>
      </c>
      <c r="S14" s="702">
        <f t="shared" si="0"/>
        <v>100</v>
      </c>
      <c r="T14" s="701" t="s">
        <v>18</v>
      </c>
      <c r="U14" s="702">
        <f t="shared" si="1"/>
        <v>100</v>
      </c>
      <c r="V14" s="701" t="s">
        <v>18</v>
      </c>
      <c r="W14" s="702">
        <f t="shared" si="2"/>
        <v>100</v>
      </c>
      <c r="X14" s="703"/>
      <c r="Y14" s="3626"/>
      <c r="Z14" s="52">
        <f t="shared" si="7"/>
        <v>111</v>
      </c>
      <c r="AA14" s="704">
        <f t="shared" si="3"/>
        <v>1</v>
      </c>
      <c r="AB14" s="704">
        <f t="shared" si="4"/>
        <v>1</v>
      </c>
      <c r="AC14" s="704">
        <f t="shared" si="5"/>
        <v>1</v>
      </c>
    </row>
    <row r="15" spans="1:29" ht="85.5">
      <c r="A15" s="391" t="s">
        <v>1688</v>
      </c>
      <c r="B15" s="61" t="s">
        <v>1255</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3" t="s">
        <v>1689</v>
      </c>
      <c r="Q15" s="1352" t="str">
        <f t="shared" si="6"/>
        <v>居住社区成熟度</v>
      </c>
      <c r="R15" s="705" t="s">
        <v>18</v>
      </c>
      <c r="S15" s="706">
        <f t="shared" si="0"/>
        <v>100</v>
      </c>
      <c r="T15" s="705" t="s">
        <v>18</v>
      </c>
      <c r="U15" s="706">
        <f t="shared" si="1"/>
        <v>100</v>
      </c>
      <c r="V15" s="705" t="s">
        <v>18</v>
      </c>
      <c r="W15" s="706">
        <f t="shared" si="2"/>
        <v>100</v>
      </c>
      <c r="X15" s="1355"/>
      <c r="Y15" s="3716"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24"/>
      <c r="Q16" s="1352"/>
      <c r="R16" s="705"/>
      <c r="S16" s="706"/>
      <c r="T16" s="705"/>
      <c r="U16" s="706"/>
      <c r="V16" s="705"/>
      <c r="W16" s="706"/>
      <c r="X16" s="1355"/>
      <c r="Y16" s="3717"/>
      <c r="Z16" s="1356"/>
      <c r="AA16" s="1353">
        <v>1</v>
      </c>
      <c r="AB16" s="1353">
        <v>1</v>
      </c>
      <c r="AC16" s="1353">
        <v>1</v>
      </c>
    </row>
    <row r="17" spans="1:29" ht="71.25">
      <c r="A17" s="379"/>
      <c r="B17" s="402" t="s">
        <v>1257</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4"/>
      <c r="Q17" s="1352" t="str">
        <f>B17</f>
        <v>交通便捷度</v>
      </c>
      <c r="R17" s="705" t="s">
        <v>18</v>
      </c>
      <c r="S17" s="706">
        <f>F17</f>
        <v>100</v>
      </c>
      <c r="T17" s="705" t="s">
        <v>18</v>
      </c>
      <c r="U17" s="706">
        <f>H17</f>
        <v>100</v>
      </c>
      <c r="V17" s="705" t="s">
        <v>18</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24"/>
      <c r="Q18" s="1352"/>
      <c r="R18" s="705"/>
      <c r="S18" s="706"/>
      <c r="T18" s="705"/>
      <c r="U18" s="706"/>
      <c r="V18" s="705"/>
      <c r="W18" s="706"/>
      <c r="X18" s="1355"/>
      <c r="Y18" s="3717"/>
      <c r="Z18" s="1356"/>
      <c r="AA18" s="1353">
        <v>1</v>
      </c>
      <c r="AB18" s="1353">
        <v>1</v>
      </c>
      <c r="AC18" s="1353">
        <v>1</v>
      </c>
    </row>
    <row r="19" spans="1:29" ht="42.75">
      <c r="A19" s="379"/>
      <c r="B19" s="402" t="s">
        <v>1256</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4"/>
      <c r="Q19" s="1352" t="str">
        <f>B19</f>
        <v>公共配套设施</v>
      </c>
      <c r="R19" s="705" t="s">
        <v>18</v>
      </c>
      <c r="S19" s="706">
        <f>F19</f>
        <v>100</v>
      </c>
      <c r="T19" s="705" t="s">
        <v>18</v>
      </c>
      <c r="U19" s="706">
        <f>H19</f>
        <v>100</v>
      </c>
      <c r="V19" s="705" t="s">
        <v>18</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24"/>
      <c r="Q20" s="1352"/>
      <c r="R20" s="705"/>
      <c r="S20" s="706"/>
      <c r="T20" s="705"/>
      <c r="U20" s="706"/>
      <c r="V20" s="705"/>
      <c r="W20" s="706"/>
      <c r="X20" s="1355"/>
      <c r="Y20" s="3717"/>
      <c r="Z20" s="1356"/>
      <c r="AA20" s="1353">
        <v>1</v>
      </c>
      <c r="AB20" s="1353">
        <v>1</v>
      </c>
      <c r="AC20" s="1353">
        <v>1</v>
      </c>
    </row>
    <row r="21" spans="1:29" ht="28.5">
      <c r="A21" s="379"/>
      <c r="B21" s="1131" t="s">
        <v>1258</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4"/>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24"/>
      <c r="Q22" s="1352"/>
      <c r="R22" s="705"/>
      <c r="S22" s="706"/>
      <c r="T22" s="705"/>
      <c r="U22" s="706"/>
      <c r="V22" s="705"/>
      <c r="W22" s="706"/>
      <c r="X22" s="1355"/>
      <c r="Y22" s="3717"/>
      <c r="Z22" s="1356"/>
      <c r="AA22" s="1353">
        <v>1</v>
      </c>
      <c r="AB22" s="1353">
        <v>1</v>
      </c>
      <c r="AC22" s="1353">
        <v>1</v>
      </c>
    </row>
    <row r="23" spans="1:29" ht="42.75">
      <c r="A23" s="379"/>
      <c r="B23" s="402" t="s">
        <v>1259</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4"/>
      <c r="Q23" s="1352" t="str">
        <f>B23</f>
        <v>自然及人文环境</v>
      </c>
      <c r="R23" s="705" t="s">
        <v>18</v>
      </c>
      <c r="S23" s="706">
        <f>F23</f>
        <v>100</v>
      </c>
      <c r="T23" s="705" t="s">
        <v>18</v>
      </c>
      <c r="U23" s="706">
        <f>H23</f>
        <v>100</v>
      </c>
      <c r="V23" s="705" t="s">
        <v>18</v>
      </c>
      <c r="W23" s="706">
        <f>J23</f>
        <v>100</v>
      </c>
      <c r="X23" s="1355"/>
      <c r="Y23" s="371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24"/>
      <c r="Q24" s="1352"/>
      <c r="R24" s="705"/>
      <c r="S24" s="706"/>
      <c r="T24" s="705"/>
      <c r="U24" s="706"/>
      <c r="V24" s="705"/>
      <c r="W24" s="706"/>
      <c r="X24" s="1355"/>
      <c r="Y24" s="3717"/>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2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7"/>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24"/>
      <c r="Q26" s="1352" t="str">
        <f t="shared" si="11"/>
        <v>朝向</v>
      </c>
      <c r="R26" s="705" t="s">
        <v>18</v>
      </c>
      <c r="S26" s="706">
        <f t="shared" si="12"/>
        <v>100</v>
      </c>
      <c r="T26" s="705" t="s">
        <v>18</v>
      </c>
      <c r="U26" s="706">
        <f t="shared" si="13"/>
        <v>100</v>
      </c>
      <c r="V26" s="705" t="s">
        <v>18</v>
      </c>
      <c r="W26" s="706">
        <f t="shared" si="14"/>
        <v>100</v>
      </c>
      <c r="X26" s="1355"/>
      <c r="Y26" s="371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24"/>
      <c r="Q27" s="1343">
        <f t="shared" si="11"/>
        <v>111</v>
      </c>
      <c r="R27" s="701" t="s">
        <v>18</v>
      </c>
      <c r="S27" s="702">
        <f t="shared" si="12"/>
        <v>100</v>
      </c>
      <c r="T27" s="701" t="s">
        <v>18</v>
      </c>
      <c r="U27" s="702">
        <f t="shared" si="13"/>
        <v>100</v>
      </c>
      <c r="V27" s="701" t="s">
        <v>18</v>
      </c>
      <c r="W27" s="702">
        <f t="shared" si="14"/>
        <v>100</v>
      </c>
      <c r="X27" s="703"/>
      <c r="Y27" s="371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24"/>
      <c r="Q28" s="1352">
        <f t="shared" si="11"/>
        <v>111</v>
      </c>
      <c r="R28" s="705" t="s">
        <v>18</v>
      </c>
      <c r="S28" s="706">
        <f t="shared" si="12"/>
        <v>100</v>
      </c>
      <c r="T28" s="705" t="s">
        <v>18</v>
      </c>
      <c r="U28" s="706">
        <f t="shared" si="13"/>
        <v>100</v>
      </c>
      <c r="V28" s="705" t="s">
        <v>18</v>
      </c>
      <c r="W28" s="706">
        <f t="shared" si="14"/>
        <v>100</v>
      </c>
      <c r="X28" s="1355"/>
      <c r="Y28" s="371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24"/>
      <c r="Q29" s="1352">
        <f t="shared" si="11"/>
        <v>111</v>
      </c>
      <c r="R29" s="705" t="s">
        <v>18</v>
      </c>
      <c r="S29" s="706">
        <f t="shared" si="12"/>
        <v>100</v>
      </c>
      <c r="T29" s="705" t="s">
        <v>18</v>
      </c>
      <c r="U29" s="706">
        <f t="shared" si="13"/>
        <v>100</v>
      </c>
      <c r="V29" s="705" t="s">
        <v>18</v>
      </c>
      <c r="W29" s="706">
        <f t="shared" si="14"/>
        <v>100</v>
      </c>
      <c r="X29" s="1355"/>
      <c r="Y29" s="371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24"/>
      <c r="Q30" s="1352">
        <f t="shared" si="11"/>
        <v>111</v>
      </c>
      <c r="R30" s="705" t="s">
        <v>18</v>
      </c>
      <c r="S30" s="706">
        <f t="shared" si="12"/>
        <v>100</v>
      </c>
      <c r="T30" s="705" t="s">
        <v>18</v>
      </c>
      <c r="U30" s="706">
        <f t="shared" si="13"/>
        <v>100</v>
      </c>
      <c r="V30" s="705" t="s">
        <v>18</v>
      </c>
      <c r="W30" s="706">
        <f t="shared" si="14"/>
        <v>100</v>
      </c>
      <c r="X30" s="1355"/>
      <c r="Y30" s="371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24"/>
      <c r="Q31" s="1352">
        <f t="shared" si="11"/>
        <v>111</v>
      </c>
      <c r="R31" s="705" t="s">
        <v>18</v>
      </c>
      <c r="S31" s="706">
        <f t="shared" si="12"/>
        <v>100</v>
      </c>
      <c r="T31" s="705" t="s">
        <v>18</v>
      </c>
      <c r="U31" s="706">
        <f t="shared" si="13"/>
        <v>100</v>
      </c>
      <c r="V31" s="705" t="s">
        <v>18</v>
      </c>
      <c r="W31" s="706">
        <f t="shared" si="14"/>
        <v>100</v>
      </c>
      <c r="X31" s="1355"/>
      <c r="Y31" s="3717"/>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18" t="s">
        <v>1694</v>
      </c>
      <c r="Q32" s="1352" t="str">
        <f t="shared" si="11"/>
        <v>建筑类型</v>
      </c>
      <c r="R32" s="705" t="s">
        <v>18</v>
      </c>
      <c r="S32" s="706">
        <f t="shared" si="12"/>
        <v>100</v>
      </c>
      <c r="T32" s="705" t="s">
        <v>18</v>
      </c>
      <c r="U32" s="706">
        <f t="shared" si="13"/>
        <v>100</v>
      </c>
      <c r="V32" s="705" t="s">
        <v>18</v>
      </c>
      <c r="W32" s="706">
        <f t="shared" si="14"/>
        <v>100</v>
      </c>
      <c r="X32" s="1355"/>
      <c r="Y32" s="3721"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19"/>
      <c r="Q33" s="707" t="str">
        <f t="shared" si="11"/>
        <v>项目建筑规模</v>
      </c>
      <c r="R33" s="708" t="s">
        <v>18</v>
      </c>
      <c r="S33" s="709" t="e">
        <f t="shared" si="12"/>
        <v>#N/A</v>
      </c>
      <c r="T33" s="708" t="s">
        <v>18</v>
      </c>
      <c r="U33" s="709" t="e">
        <f t="shared" si="13"/>
        <v>#N/A</v>
      </c>
      <c r="V33" s="708" t="s">
        <v>18</v>
      </c>
      <c r="W33" s="709" t="e">
        <f t="shared" si="14"/>
        <v>#N/A</v>
      </c>
      <c r="X33" s="710"/>
      <c r="Y33" s="3721"/>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19"/>
      <c r="Q34" s="1352" t="str">
        <f t="shared" si="11"/>
        <v>建筑结构</v>
      </c>
      <c r="R34" s="705" t="s">
        <v>18</v>
      </c>
      <c r="S34" s="706">
        <f t="shared" si="12"/>
        <v>100</v>
      </c>
      <c r="T34" s="705" t="s">
        <v>18</v>
      </c>
      <c r="U34" s="706">
        <f t="shared" si="13"/>
        <v>100</v>
      </c>
      <c r="V34" s="705" t="s">
        <v>18</v>
      </c>
      <c r="W34" s="706">
        <f t="shared" si="14"/>
        <v>100</v>
      </c>
      <c r="X34" s="1355"/>
      <c r="Y34" s="3721"/>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9"/>
      <c r="Q35" s="1352" t="str">
        <f t="shared" si="11"/>
        <v>建筑品质</v>
      </c>
      <c r="R35" s="705" t="s">
        <v>18</v>
      </c>
      <c r="S35" s="706">
        <f t="shared" si="12"/>
        <v>100</v>
      </c>
      <c r="T35" s="705" t="s">
        <v>18</v>
      </c>
      <c r="U35" s="706">
        <f t="shared" si="13"/>
        <v>100</v>
      </c>
      <c r="V35" s="705" t="s">
        <v>18</v>
      </c>
      <c r="W35" s="706">
        <f t="shared" si="14"/>
        <v>100</v>
      </c>
      <c r="X35" s="1355"/>
      <c r="Y35" s="3721"/>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19"/>
      <c r="Q36" s="1352" t="str">
        <f t="shared" si="11"/>
        <v>公共部分装修</v>
      </c>
      <c r="R36" s="705" t="s">
        <v>18</v>
      </c>
      <c r="S36" s="706">
        <f t="shared" si="12"/>
        <v>100</v>
      </c>
      <c r="T36" s="705" t="s">
        <v>18</v>
      </c>
      <c r="U36" s="706">
        <f t="shared" si="13"/>
        <v>100</v>
      </c>
      <c r="V36" s="705" t="s">
        <v>18</v>
      </c>
      <c r="W36" s="706">
        <f t="shared" si="14"/>
        <v>100</v>
      </c>
      <c r="X36" s="1355"/>
      <c r="Y36" s="3721"/>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9"/>
      <c r="Q37" s="1343" t="str">
        <f t="shared" si="11"/>
        <v>成新度</v>
      </c>
      <c r="R37" s="701" t="s">
        <v>18</v>
      </c>
      <c r="S37" s="702" t="e">
        <f t="shared" si="12"/>
        <v>#N/A</v>
      </c>
      <c r="T37" s="701" t="s">
        <v>18</v>
      </c>
      <c r="U37" s="702" t="e">
        <f t="shared" si="13"/>
        <v>#N/A</v>
      </c>
      <c r="V37" s="701" t="s">
        <v>18</v>
      </c>
      <c r="W37" s="702" t="e">
        <f t="shared" si="14"/>
        <v>#N/A</v>
      </c>
      <c r="X37" s="703"/>
      <c r="Y37" s="3721"/>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19" t="s">
        <v>1694</v>
      </c>
      <c r="Q38" s="1352" t="str">
        <f t="shared" si="11"/>
        <v>物业管理</v>
      </c>
      <c r="R38" s="705" t="s">
        <v>18</v>
      </c>
      <c r="S38" s="706">
        <f t="shared" si="12"/>
        <v>100</v>
      </c>
      <c r="T38" s="705" t="s">
        <v>18</v>
      </c>
      <c r="U38" s="706">
        <f t="shared" si="13"/>
        <v>100</v>
      </c>
      <c r="V38" s="705" t="s">
        <v>18</v>
      </c>
      <c r="W38" s="706">
        <f t="shared" si="14"/>
        <v>100</v>
      </c>
      <c r="X38" s="1355"/>
      <c r="Y38" s="3721"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19"/>
      <c r="Q39" s="1352" t="str">
        <f t="shared" si="11"/>
        <v>市政基础设施</v>
      </c>
      <c r="R39" s="705" t="s">
        <v>18</v>
      </c>
      <c r="S39" s="706">
        <f t="shared" si="12"/>
        <v>100</v>
      </c>
      <c r="T39" s="705" t="s">
        <v>18</v>
      </c>
      <c r="U39" s="706">
        <f t="shared" si="13"/>
        <v>100</v>
      </c>
      <c r="V39" s="705" t="s">
        <v>18</v>
      </c>
      <c r="W39" s="706">
        <f t="shared" si="14"/>
        <v>100</v>
      </c>
      <c r="X39" s="1355"/>
      <c r="Y39" s="3721"/>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19"/>
      <c r="Q40" s="1352" t="str">
        <f t="shared" si="11"/>
        <v>房型</v>
      </c>
      <c r="R40" s="705" t="s">
        <v>18</v>
      </c>
      <c r="S40" s="706">
        <f t="shared" si="12"/>
        <v>100</v>
      </c>
      <c r="T40" s="705" t="s">
        <v>18</v>
      </c>
      <c r="U40" s="706">
        <f t="shared" si="13"/>
        <v>100</v>
      </c>
      <c r="V40" s="705" t="s">
        <v>18</v>
      </c>
      <c r="W40" s="706">
        <f t="shared" si="14"/>
        <v>100</v>
      </c>
      <c r="X40" s="1355"/>
      <c r="Y40" s="3721"/>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9"/>
      <c r="Q41" s="707" t="str">
        <f t="shared" si="11"/>
        <v>单套/主力户型建筑面积</v>
      </c>
      <c r="R41" s="708" t="s">
        <v>18</v>
      </c>
      <c r="S41" s="709">
        <f t="shared" si="12"/>
        <v>100</v>
      </c>
      <c r="T41" s="708" t="s">
        <v>18</v>
      </c>
      <c r="U41" s="709">
        <f t="shared" si="13"/>
        <v>100</v>
      </c>
      <c r="V41" s="708" t="s">
        <v>18</v>
      </c>
      <c r="W41" s="709">
        <f t="shared" si="14"/>
        <v>100</v>
      </c>
      <c r="X41" s="710"/>
      <c r="Y41" s="3721"/>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19"/>
      <c r="Q42" s="1352" t="str">
        <f t="shared" si="11"/>
        <v>内部装修</v>
      </c>
      <c r="R42" s="705" t="s">
        <v>18</v>
      </c>
      <c r="S42" s="706">
        <f t="shared" si="12"/>
        <v>100</v>
      </c>
      <c r="T42" s="705" t="s">
        <v>18</v>
      </c>
      <c r="U42" s="706">
        <f t="shared" si="13"/>
        <v>100</v>
      </c>
      <c r="V42" s="705" t="s">
        <v>18</v>
      </c>
      <c r="W42" s="706">
        <f t="shared" si="14"/>
        <v>100</v>
      </c>
      <c r="X42" s="1355"/>
      <c r="Y42" s="3721"/>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19"/>
      <c r="Q43" s="1352" t="str">
        <f t="shared" si="11"/>
        <v>内部装修维护情况</v>
      </c>
      <c r="R43" s="705" t="s">
        <v>18</v>
      </c>
      <c r="S43" s="706">
        <f t="shared" si="12"/>
        <v>100</v>
      </c>
      <c r="T43" s="705" t="s">
        <v>18</v>
      </c>
      <c r="U43" s="706">
        <f t="shared" si="13"/>
        <v>100</v>
      </c>
      <c r="V43" s="705" t="s">
        <v>18</v>
      </c>
      <c r="W43" s="706">
        <f t="shared" si="14"/>
        <v>100</v>
      </c>
      <c r="X43" s="1355"/>
      <c r="Y43" s="372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19"/>
      <c r="Q44" s="1343">
        <f t="shared" si="11"/>
        <v>111</v>
      </c>
      <c r="R44" s="701" t="s">
        <v>18</v>
      </c>
      <c r="S44" s="702">
        <f t="shared" si="12"/>
        <v>100</v>
      </c>
      <c r="T44" s="701" t="s">
        <v>18</v>
      </c>
      <c r="U44" s="702">
        <f t="shared" si="13"/>
        <v>100</v>
      </c>
      <c r="V44" s="701" t="s">
        <v>18</v>
      </c>
      <c r="W44" s="702">
        <f t="shared" si="14"/>
        <v>100</v>
      </c>
      <c r="X44" s="703"/>
      <c r="Y44" s="372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19"/>
      <c r="Q45" s="1352">
        <f t="shared" si="11"/>
        <v>111</v>
      </c>
      <c r="R45" s="705" t="s">
        <v>18</v>
      </c>
      <c r="S45" s="706">
        <f t="shared" si="12"/>
        <v>100</v>
      </c>
      <c r="T45" s="705" t="s">
        <v>18</v>
      </c>
      <c r="U45" s="706">
        <f t="shared" si="13"/>
        <v>100</v>
      </c>
      <c r="V45" s="705" t="s">
        <v>18</v>
      </c>
      <c r="W45" s="706">
        <f t="shared" si="14"/>
        <v>100</v>
      </c>
      <c r="X45" s="1355"/>
      <c r="Y45" s="372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20"/>
      <c r="Q46" s="1352">
        <f t="shared" si="11"/>
        <v>111</v>
      </c>
      <c r="R46" s="705" t="s">
        <v>17</v>
      </c>
      <c r="S46" s="706">
        <f t="shared" si="12"/>
        <v>100</v>
      </c>
      <c r="T46" s="705" t="s">
        <v>17</v>
      </c>
      <c r="U46" s="706">
        <f t="shared" si="13"/>
        <v>100</v>
      </c>
      <c r="V46" s="705" t="s">
        <v>17</v>
      </c>
      <c r="W46" s="706">
        <f t="shared" si="14"/>
        <v>100</v>
      </c>
      <c r="X46" s="1355"/>
      <c r="Y46" s="3722"/>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3"/>
      <c r="M47" s="2724"/>
      <c r="N47" s="2715"/>
      <c r="O47" s="2724"/>
      <c r="P47" s="3714" t="str">
        <f>A47</f>
        <v>成交单价（元/平方米）</v>
      </c>
      <c r="Q47" s="3714"/>
      <c r="R47" s="3715">
        <f>E47</f>
        <v>0</v>
      </c>
      <c r="S47" s="3715"/>
      <c r="T47" s="3715">
        <f>G47</f>
        <v>0</v>
      </c>
      <c r="U47" s="3715"/>
      <c r="V47" s="3715">
        <f>I47</f>
        <v>0</v>
      </c>
      <c r="W47" s="3715"/>
      <c r="X47" s="690"/>
      <c r="Y47" s="712"/>
      <c r="Z47" s="690"/>
      <c r="AA47" s="690"/>
      <c r="AB47" s="690"/>
      <c r="AC47" s="690"/>
    </row>
    <row r="48" spans="1:29" ht="15.75" thickBot="1">
      <c r="A48" s="437" t="s">
        <v>1707</v>
      </c>
      <c r="B48" s="438"/>
      <c r="C48" s="1160" t="e">
        <f>R49</f>
        <v>#DIV/0!</v>
      </c>
      <c r="D48" s="2317" t="s">
        <v>2134</v>
      </c>
      <c r="E48" s="1161" t="e">
        <f>R48</f>
        <v>#DIV/0!</v>
      </c>
      <c r="F48" s="2318"/>
      <c r="G48" s="1160" t="e">
        <f>T48</f>
        <v>#DIV/0!</v>
      </c>
      <c r="H48" s="2318"/>
      <c r="I48" s="1161" t="e">
        <f>V48</f>
        <v>#DIV/0!</v>
      </c>
      <c r="J48" s="2318"/>
      <c r="K48" s="2319">
        <f>F48+H48+J48</f>
        <v>0</v>
      </c>
      <c r="L48" s="2723"/>
      <c r="M48" s="2724"/>
      <c r="N48" s="2724"/>
      <c r="O48" s="2724"/>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3"/>
      <c r="M49" s="2724"/>
      <c r="N49" s="2724"/>
      <c r="O49" s="2724"/>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25"/>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8390.83</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1767</v>
      </c>
      <c r="B4" s="356"/>
      <c r="C4" s="3697" t="s">
        <v>1768</v>
      </c>
      <c r="D4" s="3698"/>
      <c r="E4" s="3699" t="s">
        <v>1769</v>
      </c>
      <c r="F4" s="3700"/>
      <c r="G4" s="3697" t="s">
        <v>1770</v>
      </c>
      <c r="H4" s="3698"/>
      <c r="I4" s="3697" t="s">
        <v>1771</v>
      </c>
      <c r="J4" s="3698"/>
      <c r="K4" s="559" t="s">
        <v>1772</v>
      </c>
      <c r="L4" s="2714"/>
      <c r="M4" s="2715"/>
      <c r="N4" s="2715"/>
      <c r="O4" s="2715"/>
      <c r="P4" s="3701" t="s">
        <v>1773</v>
      </c>
      <c r="Q4" s="3702"/>
      <c r="R4" s="3684" t="s">
        <v>1769</v>
      </c>
      <c r="S4" s="3685"/>
      <c r="T4" s="3684" t="s">
        <v>1770</v>
      </c>
      <c r="U4" s="3685"/>
      <c r="V4" s="3709" t="s">
        <v>1771</v>
      </c>
      <c r="W4" s="3709"/>
      <c r="X4" s="1355"/>
      <c r="Y4" s="3684" t="s">
        <v>1773</v>
      </c>
      <c r="Z4" s="3685"/>
      <c r="AA4" s="3679" t="s">
        <v>1769</v>
      </c>
      <c r="AB4" s="3709" t="s">
        <v>1770</v>
      </c>
      <c r="AC4" s="3679" t="s">
        <v>1771</v>
      </c>
    </row>
    <row r="5" spans="1:29" ht="15">
      <c r="A5" s="358"/>
      <c r="B5" s="359"/>
      <c r="C5" s="3690" t="s">
        <v>1671</v>
      </c>
      <c r="D5" s="3691"/>
      <c r="E5" s="3688" t="s">
        <v>1672</v>
      </c>
      <c r="F5" s="3689"/>
      <c r="G5" s="3690" t="s">
        <v>1673</v>
      </c>
      <c r="H5" s="3691"/>
      <c r="I5" s="3690" t="s">
        <v>1674</v>
      </c>
      <c r="J5" s="3691"/>
      <c r="K5" s="559"/>
      <c r="L5" s="2714"/>
      <c r="M5" s="2715"/>
      <c r="N5" s="2715"/>
      <c r="O5" s="2715"/>
      <c r="P5" s="3703"/>
      <c r="Q5" s="3704"/>
      <c r="R5" s="3686"/>
      <c r="S5" s="3687"/>
      <c r="T5" s="3686"/>
      <c r="U5" s="3687"/>
      <c r="V5" s="3709"/>
      <c r="W5" s="3709"/>
      <c r="X5" s="1355"/>
      <c r="Y5" s="3686"/>
      <c r="Z5" s="3687"/>
      <c r="AA5" s="3680"/>
      <c r="AB5" s="3709"/>
      <c r="AC5" s="3680"/>
    </row>
    <row r="6" spans="1:29" ht="15.75" thickBot="1">
      <c r="A6" s="360"/>
      <c r="B6" s="361"/>
      <c r="C6" s="3692" t="s">
        <v>1675</v>
      </c>
      <c r="D6" s="3693"/>
      <c r="E6" s="3694" t="s">
        <v>1675</v>
      </c>
      <c r="F6" s="3695"/>
      <c r="G6" s="3692" t="s">
        <v>1675</v>
      </c>
      <c r="H6" s="3693"/>
      <c r="I6" s="3692" t="s">
        <v>1675</v>
      </c>
      <c r="J6" s="3693"/>
      <c r="K6" s="559" t="s">
        <v>1676</v>
      </c>
      <c r="L6" s="2714"/>
      <c r="M6" s="2715"/>
      <c r="N6" s="2715"/>
      <c r="O6" s="2715"/>
      <c r="P6" s="3705"/>
      <c r="Q6" s="3706"/>
      <c r="R6" s="3686"/>
      <c r="S6" s="3687"/>
      <c r="T6" s="3707"/>
      <c r="U6" s="3708"/>
      <c r="V6" s="3709"/>
      <c r="W6" s="3709"/>
      <c r="X6" s="1355"/>
      <c r="Y6" s="3707"/>
      <c r="Z6" s="3708"/>
      <c r="AA6" s="3681"/>
      <c r="AB6" s="3709"/>
      <c r="AC6" s="3681"/>
    </row>
    <row r="7" spans="1:29" s="108" customFormat="1" ht="15.75" thickBot="1">
      <c r="A7" s="362" t="s">
        <v>1677</v>
      </c>
      <c r="B7" s="363"/>
      <c r="C7" s="364">
        <f>'数据-取费表'!B2</f>
        <v>45131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82" t="s">
        <v>1678</v>
      </c>
      <c r="Q7" s="3710"/>
      <c r="R7" s="701" t="s">
        <v>14</v>
      </c>
      <c r="S7" s="702">
        <f t="shared" ref="S7:S15" si="0">F7</f>
        <v>0</v>
      </c>
      <c r="T7" s="701" t="s">
        <v>14</v>
      </c>
      <c r="U7" s="702">
        <f t="shared" ref="U7:U15" si="1">H7</f>
        <v>0</v>
      </c>
      <c r="V7" s="701" t="s">
        <v>14</v>
      </c>
      <c r="W7" s="702">
        <f t="shared" ref="W7:W15" si="2">J7</f>
        <v>0</v>
      </c>
      <c r="X7" s="703"/>
      <c r="Y7" s="3682" t="s">
        <v>1678</v>
      </c>
      <c r="Z7" s="3683"/>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82" t="s">
        <v>1681</v>
      </c>
      <c r="Q8" s="3683"/>
      <c r="R8" s="701" t="s">
        <v>14</v>
      </c>
      <c r="S8" s="702">
        <f t="shared" si="0"/>
        <v>100</v>
      </c>
      <c r="T8" s="701" t="s">
        <v>14</v>
      </c>
      <c r="U8" s="702">
        <f t="shared" si="1"/>
        <v>100</v>
      </c>
      <c r="V8" s="701" t="s">
        <v>14</v>
      </c>
      <c r="W8" s="702">
        <f t="shared" si="2"/>
        <v>100</v>
      </c>
      <c r="X8" s="703"/>
      <c r="Y8" s="3682" t="s">
        <v>1681</v>
      </c>
      <c r="Z8" s="3683"/>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6" t="s">
        <v>1684</v>
      </c>
      <c r="Q9" s="1343" t="str">
        <f t="shared" ref="Q9:Q15" si="6">B9</f>
        <v>用途</v>
      </c>
      <c r="R9" s="701" t="s">
        <v>14</v>
      </c>
      <c r="S9" s="702">
        <f t="shared" si="0"/>
        <v>100</v>
      </c>
      <c r="T9" s="701" t="s">
        <v>14</v>
      </c>
      <c r="U9" s="702">
        <f t="shared" si="1"/>
        <v>100</v>
      </c>
      <c r="V9" s="701" t="s">
        <v>14</v>
      </c>
      <c r="W9" s="702">
        <f t="shared" si="2"/>
        <v>100</v>
      </c>
      <c r="X9" s="703"/>
      <c r="Y9" s="3626" t="s">
        <v>1685</v>
      </c>
      <c r="Z9" s="52" t="str">
        <f t="shared" ref="Z9:Z15" si="7">Q9</f>
        <v>用途</v>
      </c>
      <c r="AA9" s="704">
        <f t="shared" si="3"/>
        <v>1</v>
      </c>
      <c r="AB9" s="704">
        <f t="shared" si="4"/>
        <v>1</v>
      </c>
      <c r="AC9" s="704">
        <f t="shared" si="5"/>
        <v>1</v>
      </c>
    </row>
    <row r="10" spans="1:29" s="378" customFormat="1" ht="27">
      <c r="A10" s="374"/>
      <c r="B10" s="375" t="s">
        <v>1686</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6"/>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6"/>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71.25">
      <c r="A15" s="391" t="s">
        <v>1688</v>
      </c>
      <c r="B15" s="61" t="s">
        <v>1775</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3" t="s">
        <v>1689</v>
      </c>
      <c r="Q15" s="1352" t="str">
        <f t="shared" si="6"/>
        <v>商业繁华度</v>
      </c>
      <c r="R15" s="705" t="s">
        <v>14</v>
      </c>
      <c r="S15" s="706">
        <f t="shared" si="0"/>
        <v>100</v>
      </c>
      <c r="T15" s="705" t="s">
        <v>14</v>
      </c>
      <c r="U15" s="706">
        <f t="shared" si="1"/>
        <v>100</v>
      </c>
      <c r="V15" s="705" t="s">
        <v>14</v>
      </c>
      <c r="W15" s="706">
        <f t="shared" si="2"/>
        <v>100</v>
      </c>
      <c r="X15" s="1355"/>
      <c r="Y15" s="3716"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4"/>
      <c r="Q16" s="1352"/>
      <c r="R16" s="705"/>
      <c r="S16" s="706"/>
      <c r="T16" s="705"/>
      <c r="U16" s="706"/>
      <c r="V16" s="705"/>
      <c r="W16" s="706"/>
      <c r="X16" s="1355"/>
      <c r="Y16" s="3717"/>
      <c r="Z16" s="1356"/>
      <c r="AA16" s="1353">
        <v>1</v>
      </c>
      <c r="AB16" s="1353">
        <v>1</v>
      </c>
      <c r="AC16" s="1353">
        <v>1</v>
      </c>
    </row>
    <row r="17" spans="1:29" ht="85.5">
      <c r="A17" s="379"/>
      <c r="B17" s="402" t="s">
        <v>1257</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4"/>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24"/>
      <c r="Q18" s="1352"/>
      <c r="R18" s="705"/>
      <c r="S18" s="706"/>
      <c r="T18" s="705"/>
      <c r="U18" s="706"/>
      <c r="V18" s="705"/>
      <c r="W18" s="706"/>
      <c r="X18" s="1355"/>
      <c r="Y18" s="3717"/>
      <c r="Z18" s="1356"/>
      <c r="AA18" s="1353">
        <v>1</v>
      </c>
      <c r="AB18" s="1353">
        <v>1</v>
      </c>
      <c r="AC18" s="1353">
        <v>1</v>
      </c>
    </row>
    <row r="19" spans="1:29" ht="42.75">
      <c r="A19" s="379"/>
      <c r="B19" s="402" t="s">
        <v>1776</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4"/>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24"/>
      <c r="Q20" s="1352"/>
      <c r="R20" s="705"/>
      <c r="S20" s="706"/>
      <c r="T20" s="705"/>
      <c r="U20" s="706"/>
      <c r="V20" s="705"/>
      <c r="W20" s="706"/>
      <c r="X20" s="1355"/>
      <c r="Y20" s="3717"/>
      <c r="Z20" s="1356"/>
      <c r="AA20" s="1353">
        <v>1</v>
      </c>
      <c r="AB20" s="1353">
        <v>1</v>
      </c>
      <c r="AC20" s="1353">
        <v>1</v>
      </c>
    </row>
    <row r="21" spans="1:29" ht="28.5">
      <c r="A21" s="379"/>
      <c r="B21" s="1131" t="s">
        <v>1777</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4"/>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24"/>
      <c r="Q22" s="1352"/>
      <c r="R22" s="705"/>
      <c r="S22" s="706"/>
      <c r="T22" s="705"/>
      <c r="U22" s="706"/>
      <c r="V22" s="705"/>
      <c r="W22" s="706"/>
      <c r="X22" s="1355"/>
      <c r="Y22" s="3717"/>
      <c r="Z22" s="1356"/>
      <c r="AA22" s="1353">
        <v>1</v>
      </c>
      <c r="AB22" s="1353">
        <v>1</v>
      </c>
      <c r="AC22" s="1353">
        <v>1</v>
      </c>
    </row>
    <row r="23" spans="1:29" ht="57">
      <c r="A23" s="379"/>
      <c r="B23" s="402" t="s">
        <v>1259</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4"/>
      <c r="Q23" s="1352" t="str">
        <f>B23</f>
        <v>自然及人文环境</v>
      </c>
      <c r="R23" s="705" t="s">
        <v>14</v>
      </c>
      <c r="S23" s="706">
        <f>F23</f>
        <v>100</v>
      </c>
      <c r="T23" s="705" t="s">
        <v>14</v>
      </c>
      <c r="U23" s="706">
        <f>H23</f>
        <v>100</v>
      </c>
      <c r="V23" s="705" t="s">
        <v>14</v>
      </c>
      <c r="W23" s="706">
        <f>J23</f>
        <v>100</v>
      </c>
      <c r="X23" s="1355"/>
      <c r="Y23" s="371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24"/>
      <c r="Q24" s="1352"/>
      <c r="R24" s="705"/>
      <c r="S24" s="706"/>
      <c r="T24" s="705"/>
      <c r="U24" s="706"/>
      <c r="V24" s="705"/>
      <c r="W24" s="706"/>
      <c r="X24" s="1355"/>
      <c r="Y24" s="3717"/>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4"/>
      <c r="Q25" s="1352" t="str">
        <f t="shared" ref="Q25:Q46" si="11">B25</f>
        <v>临街状况</v>
      </c>
      <c r="R25" s="705" t="s">
        <v>14</v>
      </c>
      <c r="S25" s="706">
        <f>F25</f>
        <v>100</v>
      </c>
      <c r="T25" s="705" t="s">
        <v>14</v>
      </c>
      <c r="U25" s="706">
        <f>H25</f>
        <v>100</v>
      </c>
      <c r="V25" s="705" t="s">
        <v>14</v>
      </c>
      <c r="W25" s="706">
        <f>J25</f>
        <v>100</v>
      </c>
      <c r="X25" s="1355"/>
      <c r="Y25" s="3717"/>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4"/>
      <c r="Q26" s="1352" t="str">
        <f t="shared" si="11"/>
        <v>平面位置/可视性</v>
      </c>
      <c r="R26" s="705" t="s">
        <v>14</v>
      </c>
      <c r="S26" s="706">
        <f>F26</f>
        <v>100</v>
      </c>
      <c r="T26" s="705" t="s">
        <v>14</v>
      </c>
      <c r="U26" s="706">
        <f>H26</f>
        <v>100</v>
      </c>
      <c r="V26" s="705" t="s">
        <v>14</v>
      </c>
      <c r="W26" s="706">
        <f>J26</f>
        <v>100</v>
      </c>
      <c r="X26" s="1355"/>
      <c r="Y26" s="3717"/>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24"/>
      <c r="Q27" s="1343" t="str">
        <f t="shared" si="11"/>
        <v>人流量</v>
      </c>
      <c r="R27" s="701" t="s">
        <v>14</v>
      </c>
      <c r="S27" s="702">
        <f>F27</f>
        <v>100</v>
      </c>
      <c r="T27" s="701" t="s">
        <v>14</v>
      </c>
      <c r="U27" s="702">
        <f>H27</f>
        <v>100</v>
      </c>
      <c r="V27" s="701" t="s">
        <v>14</v>
      </c>
      <c r="W27" s="702">
        <f>J27</f>
        <v>100</v>
      </c>
      <c r="X27" s="703"/>
      <c r="Y27" s="3717"/>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4"/>
      <c r="Q29" s="1352">
        <f t="shared" si="11"/>
        <v>111</v>
      </c>
      <c r="R29" s="705" t="s">
        <v>14</v>
      </c>
      <c r="S29" s="706">
        <f t="shared" si="12"/>
        <v>100</v>
      </c>
      <c r="T29" s="705" t="s">
        <v>14</v>
      </c>
      <c r="U29" s="706">
        <f t="shared" si="13"/>
        <v>100</v>
      </c>
      <c r="V29" s="705" t="s">
        <v>14</v>
      </c>
      <c r="W29" s="706">
        <f t="shared" si="14"/>
        <v>100</v>
      </c>
      <c r="X29" s="1355"/>
      <c r="Y29" s="371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4"/>
      <c r="Q30" s="1352">
        <f t="shared" si="11"/>
        <v>111</v>
      </c>
      <c r="R30" s="705" t="s">
        <v>14</v>
      </c>
      <c r="S30" s="706">
        <f t="shared" si="12"/>
        <v>100</v>
      </c>
      <c r="T30" s="705" t="s">
        <v>14</v>
      </c>
      <c r="U30" s="706">
        <f t="shared" si="13"/>
        <v>100</v>
      </c>
      <c r="V30" s="705" t="s">
        <v>14</v>
      </c>
      <c r="W30" s="706">
        <f t="shared" si="14"/>
        <v>100</v>
      </c>
      <c r="X30" s="1355"/>
      <c r="Y30" s="371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4"/>
      <c r="Q31" s="1352">
        <f t="shared" si="11"/>
        <v>111</v>
      </c>
      <c r="R31" s="705" t="s">
        <v>14</v>
      </c>
      <c r="S31" s="706">
        <f t="shared" si="12"/>
        <v>100</v>
      </c>
      <c r="T31" s="705" t="s">
        <v>14</v>
      </c>
      <c r="U31" s="706">
        <f t="shared" si="13"/>
        <v>100</v>
      </c>
      <c r="V31" s="705" t="s">
        <v>14</v>
      </c>
      <c r="W31" s="706">
        <f t="shared" si="14"/>
        <v>100</v>
      </c>
      <c r="X31" s="1355"/>
      <c r="Y31" s="3717"/>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18" t="s">
        <v>1694</v>
      </c>
      <c r="Q32" s="1352" t="str">
        <f t="shared" si="11"/>
        <v>商业类型</v>
      </c>
      <c r="R32" s="705" t="s">
        <v>14</v>
      </c>
      <c r="S32" s="706">
        <f t="shared" si="12"/>
        <v>100</v>
      </c>
      <c r="T32" s="705" t="s">
        <v>14</v>
      </c>
      <c r="U32" s="706">
        <f t="shared" si="13"/>
        <v>100</v>
      </c>
      <c r="V32" s="705" t="s">
        <v>14</v>
      </c>
      <c r="W32" s="706">
        <f t="shared" si="14"/>
        <v>100</v>
      </c>
      <c r="X32" s="1355"/>
      <c r="Y32" s="3721"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9"/>
      <c r="Q33" s="707" t="str">
        <f t="shared" si="11"/>
        <v>项目建筑规模</v>
      </c>
      <c r="R33" s="708" t="s">
        <v>14</v>
      </c>
      <c r="S33" s="709" t="e">
        <f t="shared" si="12"/>
        <v>#N/A</v>
      </c>
      <c r="T33" s="708" t="s">
        <v>14</v>
      </c>
      <c r="U33" s="709" t="e">
        <f t="shared" si="13"/>
        <v>#N/A</v>
      </c>
      <c r="V33" s="708" t="s">
        <v>14</v>
      </c>
      <c r="W33" s="709" t="e">
        <f t="shared" si="14"/>
        <v>#N/A</v>
      </c>
      <c r="X33" s="710"/>
      <c r="Y33" s="3721"/>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9"/>
      <c r="Q34" s="1352" t="str">
        <f t="shared" si="11"/>
        <v>建筑结构</v>
      </c>
      <c r="R34" s="705" t="s">
        <v>14</v>
      </c>
      <c r="S34" s="706">
        <f t="shared" si="12"/>
        <v>100</v>
      </c>
      <c r="T34" s="705" t="s">
        <v>14</v>
      </c>
      <c r="U34" s="706">
        <f t="shared" si="13"/>
        <v>100</v>
      </c>
      <c r="V34" s="705" t="s">
        <v>14</v>
      </c>
      <c r="W34" s="706">
        <f t="shared" si="14"/>
        <v>100</v>
      </c>
      <c r="X34" s="1355"/>
      <c r="Y34" s="3721"/>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9"/>
      <c r="Q35" s="1352" t="str">
        <f t="shared" si="11"/>
        <v>公共部分装修</v>
      </c>
      <c r="R35" s="705" t="s">
        <v>14</v>
      </c>
      <c r="S35" s="706">
        <f t="shared" si="12"/>
        <v>100</v>
      </c>
      <c r="T35" s="705" t="s">
        <v>14</v>
      </c>
      <c r="U35" s="706">
        <f t="shared" si="13"/>
        <v>100</v>
      </c>
      <c r="V35" s="705" t="s">
        <v>14</v>
      </c>
      <c r="W35" s="706">
        <f t="shared" si="14"/>
        <v>100</v>
      </c>
      <c r="X35" s="1355"/>
      <c r="Y35" s="3721"/>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9"/>
      <c r="Q36" s="1352" t="str">
        <f t="shared" si="11"/>
        <v>成新度</v>
      </c>
      <c r="R36" s="705" t="s">
        <v>14</v>
      </c>
      <c r="S36" s="706" t="e">
        <f t="shared" si="12"/>
        <v>#N/A</v>
      </c>
      <c r="T36" s="705" t="s">
        <v>14</v>
      </c>
      <c r="U36" s="706" t="e">
        <f t="shared" si="13"/>
        <v>#N/A</v>
      </c>
      <c r="V36" s="705" t="s">
        <v>14</v>
      </c>
      <c r="W36" s="706" t="e">
        <f t="shared" si="14"/>
        <v>#N/A</v>
      </c>
      <c r="X36" s="1355"/>
      <c r="Y36" s="3721"/>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9"/>
      <c r="Q37" s="1343" t="str">
        <f t="shared" si="11"/>
        <v>市政基础设施</v>
      </c>
      <c r="R37" s="701" t="s">
        <v>14</v>
      </c>
      <c r="S37" s="702">
        <f t="shared" si="12"/>
        <v>100</v>
      </c>
      <c r="T37" s="701" t="s">
        <v>14</v>
      </c>
      <c r="U37" s="702">
        <f t="shared" si="13"/>
        <v>100</v>
      </c>
      <c r="V37" s="701" t="s">
        <v>14</v>
      </c>
      <c r="W37" s="702">
        <f t="shared" si="14"/>
        <v>100</v>
      </c>
      <c r="X37" s="703"/>
      <c r="Y37" s="3721"/>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9" t="s">
        <v>1694</v>
      </c>
      <c r="Q38" s="1352" t="str">
        <f t="shared" si="11"/>
        <v>业态</v>
      </c>
      <c r="R38" s="705" t="s">
        <v>14</v>
      </c>
      <c r="S38" s="706">
        <f t="shared" si="12"/>
        <v>100</v>
      </c>
      <c r="T38" s="705" t="s">
        <v>14</v>
      </c>
      <c r="U38" s="706">
        <f t="shared" si="13"/>
        <v>100</v>
      </c>
      <c r="V38" s="705" t="s">
        <v>14</v>
      </c>
      <c r="W38" s="706">
        <f t="shared" si="14"/>
        <v>100</v>
      </c>
      <c r="X38" s="1355"/>
      <c r="Y38" s="3721"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9"/>
      <c r="Q39" s="1352" t="str">
        <f t="shared" si="11"/>
        <v>层高</v>
      </c>
      <c r="R39" s="705" t="s">
        <v>14</v>
      </c>
      <c r="S39" s="706">
        <f t="shared" si="12"/>
        <v>100</v>
      </c>
      <c r="T39" s="705" t="s">
        <v>14</v>
      </c>
      <c r="U39" s="706">
        <f t="shared" si="13"/>
        <v>100</v>
      </c>
      <c r="V39" s="705" t="s">
        <v>14</v>
      </c>
      <c r="W39" s="706">
        <f t="shared" si="14"/>
        <v>100</v>
      </c>
      <c r="X39" s="1355"/>
      <c r="Y39" s="3721"/>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9"/>
      <c r="Q40" s="1352" t="str">
        <f t="shared" si="11"/>
        <v>单套建筑面积</v>
      </c>
      <c r="R40" s="705" t="s">
        <v>14</v>
      </c>
      <c r="S40" s="706">
        <f t="shared" si="12"/>
        <v>100</v>
      </c>
      <c r="T40" s="705" t="s">
        <v>14</v>
      </c>
      <c r="U40" s="706">
        <f t="shared" si="13"/>
        <v>100</v>
      </c>
      <c r="V40" s="705" t="s">
        <v>14</v>
      </c>
      <c r="W40" s="706">
        <f t="shared" si="14"/>
        <v>100</v>
      </c>
      <c r="X40" s="1355"/>
      <c r="Y40" s="3721"/>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9"/>
      <c r="Q41" s="707" t="str">
        <f t="shared" si="11"/>
        <v>进深比</v>
      </c>
      <c r="R41" s="708" t="s">
        <v>14</v>
      </c>
      <c r="S41" s="709">
        <f t="shared" si="12"/>
        <v>100</v>
      </c>
      <c r="T41" s="708" t="s">
        <v>14</v>
      </c>
      <c r="U41" s="709">
        <f t="shared" si="13"/>
        <v>100</v>
      </c>
      <c r="V41" s="708" t="s">
        <v>14</v>
      </c>
      <c r="W41" s="709">
        <f t="shared" si="14"/>
        <v>100</v>
      </c>
      <c r="X41" s="710"/>
      <c r="Y41" s="3721"/>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9"/>
      <c r="Q42" s="1352" t="str">
        <f t="shared" si="11"/>
        <v>内部装修</v>
      </c>
      <c r="R42" s="705" t="s">
        <v>14</v>
      </c>
      <c r="S42" s="706">
        <f t="shared" si="12"/>
        <v>100</v>
      </c>
      <c r="T42" s="705" t="s">
        <v>14</v>
      </c>
      <c r="U42" s="706">
        <f t="shared" si="13"/>
        <v>100</v>
      </c>
      <c r="V42" s="705" t="s">
        <v>14</v>
      </c>
      <c r="W42" s="706">
        <f t="shared" si="14"/>
        <v>100</v>
      </c>
      <c r="X42" s="1355"/>
      <c r="Y42" s="3721"/>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9"/>
      <c r="Q43" s="1352" t="str">
        <f t="shared" si="11"/>
        <v>内部装修维护情况</v>
      </c>
      <c r="R43" s="705" t="s">
        <v>14</v>
      </c>
      <c r="S43" s="706">
        <f t="shared" si="12"/>
        <v>100</v>
      </c>
      <c r="T43" s="705" t="s">
        <v>14</v>
      </c>
      <c r="U43" s="706">
        <f t="shared" si="13"/>
        <v>100</v>
      </c>
      <c r="V43" s="705" t="s">
        <v>14</v>
      </c>
      <c r="W43" s="706">
        <f t="shared" si="14"/>
        <v>100</v>
      </c>
      <c r="X43" s="1355"/>
      <c r="Y43" s="372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9"/>
      <c r="Q44" s="1343">
        <f t="shared" si="11"/>
        <v>111</v>
      </c>
      <c r="R44" s="701" t="s">
        <v>14</v>
      </c>
      <c r="S44" s="702">
        <f t="shared" si="12"/>
        <v>100</v>
      </c>
      <c r="T44" s="701" t="s">
        <v>14</v>
      </c>
      <c r="U44" s="702">
        <f t="shared" si="13"/>
        <v>100</v>
      </c>
      <c r="V44" s="701" t="s">
        <v>14</v>
      </c>
      <c r="W44" s="702">
        <f t="shared" si="14"/>
        <v>100</v>
      </c>
      <c r="X44" s="703"/>
      <c r="Y44" s="372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9"/>
      <c r="Q45" s="1352">
        <f t="shared" si="11"/>
        <v>111</v>
      </c>
      <c r="R45" s="705" t="s">
        <v>14</v>
      </c>
      <c r="S45" s="706">
        <f t="shared" si="12"/>
        <v>100</v>
      </c>
      <c r="T45" s="705" t="s">
        <v>14</v>
      </c>
      <c r="U45" s="706">
        <f t="shared" si="13"/>
        <v>100</v>
      </c>
      <c r="V45" s="705" t="s">
        <v>14</v>
      </c>
      <c r="W45" s="706">
        <f t="shared" si="14"/>
        <v>100</v>
      </c>
      <c r="X45" s="1355"/>
      <c r="Y45" s="372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23"/>
      <c r="M47" s="2724"/>
      <c r="N47" s="2715"/>
      <c r="O47" s="2724"/>
      <c r="P47" s="3714" t="str">
        <f>A47</f>
        <v>成交单价（元/平方米）</v>
      </c>
      <c r="Q47" s="3714"/>
      <c r="R47" s="3709">
        <f>E47</f>
        <v>0</v>
      </c>
      <c r="S47" s="3709"/>
      <c r="T47" s="3709">
        <f>G47</f>
        <v>0</v>
      </c>
      <c r="U47" s="3709"/>
      <c r="V47" s="3709">
        <f>I47</f>
        <v>0</v>
      </c>
      <c r="W47" s="3709"/>
      <c r="X47" s="690"/>
      <c r="Y47" s="712"/>
      <c r="Z47" s="690"/>
      <c r="AA47" s="690"/>
      <c r="AB47" s="690"/>
      <c r="AC47" s="690"/>
    </row>
    <row r="48" spans="1:29" ht="15.75" thickBot="1">
      <c r="A48" s="437" t="s">
        <v>1791</v>
      </c>
      <c r="B48" s="438"/>
      <c r="C48" s="1160" t="e">
        <f>R49</f>
        <v>#DIV/0!</v>
      </c>
      <c r="D48" s="2317" t="s">
        <v>2134</v>
      </c>
      <c r="E48" s="1161" t="e">
        <f>R48</f>
        <v>#DIV/0!</v>
      </c>
      <c r="F48" s="2318"/>
      <c r="G48" s="1160" t="e">
        <f>T48</f>
        <v>#DIV/0!</v>
      </c>
      <c r="H48" s="2318"/>
      <c r="I48" s="1161" t="e">
        <f>V48</f>
        <v>#DIV/0!</v>
      </c>
      <c r="J48" s="2318"/>
      <c r="K48" s="2320">
        <f>F48+H48+J48</f>
        <v>0</v>
      </c>
      <c r="L48" s="2723"/>
      <c r="M48" s="2724"/>
      <c r="N48" s="2715"/>
      <c r="O48" s="2724"/>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23"/>
      <c r="M49" s="2724"/>
      <c r="N49" s="2715"/>
      <c r="O49" s="2724"/>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1796</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1677</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1714</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1679</v>
      </c>
      <c r="B61" s="459"/>
      <c r="C61" s="471" t="s">
        <v>1774</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1717</v>
      </c>
      <c r="B63" s="477" t="s">
        <v>1683</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1686</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1688</v>
      </c>
      <c r="B76" s="477" t="s">
        <v>1718</v>
      </c>
      <c r="C76" s="522" t="s">
        <v>1719</v>
      </c>
      <c r="D76" s="522" t="s">
        <v>1720</v>
      </c>
      <c r="E76" s="522" t="s">
        <v>1721</v>
      </c>
      <c r="F76" s="522" t="s">
        <v>1722</v>
      </c>
      <c r="G76" s="522" t="s">
        <v>1723</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1724</v>
      </c>
      <c r="C78" s="527" t="s">
        <v>1719</v>
      </c>
      <c r="D78" s="527" t="s">
        <v>1720</v>
      </c>
      <c r="E78" s="527" t="s">
        <v>1721</v>
      </c>
      <c r="F78" s="527" t="s">
        <v>1722</v>
      </c>
      <c r="G78" s="527" t="s">
        <v>1723</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1725</v>
      </c>
      <c r="C80" s="527" t="s">
        <v>1719</v>
      </c>
      <c r="D80" s="527" t="s">
        <v>1720</v>
      </c>
      <c r="E80" s="527" t="s">
        <v>1721</v>
      </c>
      <c r="F80" s="527" t="s">
        <v>1722</v>
      </c>
      <c r="G80" s="527" t="s">
        <v>1723</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1777</v>
      </c>
      <c r="C82" s="608" t="s">
        <v>1797</v>
      </c>
      <c r="D82" s="608" t="s">
        <v>1798</v>
      </c>
      <c r="E82" s="608" t="s">
        <v>1799</v>
      </c>
      <c r="F82" s="608" t="s">
        <v>1800</v>
      </c>
      <c r="G82" s="608" t="s">
        <v>1801</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1731</v>
      </c>
      <c r="C84" s="527" t="s">
        <v>1719</v>
      </c>
      <c r="D84" s="527" t="s">
        <v>1720</v>
      </c>
      <c r="E84" s="527" t="s">
        <v>1721</v>
      </c>
      <c r="F84" s="527" t="s">
        <v>1722</v>
      </c>
      <c r="G84" s="527" t="s">
        <v>1723</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1802</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1692</v>
      </c>
      <c r="B100" s="477" t="s">
        <v>1803</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1736</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1738</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1740</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1804</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1805</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1806</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1807</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1742</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32"/>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8390.83</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1767</v>
      </c>
      <c r="B4" s="356"/>
      <c r="C4" s="3697" t="s">
        <v>1768</v>
      </c>
      <c r="D4" s="3698"/>
      <c r="E4" s="3699" t="s">
        <v>1769</v>
      </c>
      <c r="F4" s="3700"/>
      <c r="G4" s="3697" t="s">
        <v>1770</v>
      </c>
      <c r="H4" s="3698"/>
      <c r="I4" s="3697" t="s">
        <v>1771</v>
      </c>
      <c r="J4" s="3698"/>
      <c r="K4" s="559" t="s">
        <v>1772</v>
      </c>
      <c r="L4" s="2714"/>
      <c r="M4" s="2715"/>
      <c r="N4" s="2715"/>
      <c r="O4" s="2715"/>
      <c r="P4" s="3731" t="s">
        <v>1773</v>
      </c>
      <c r="Q4" s="3732"/>
      <c r="R4" s="3726" t="s">
        <v>1769</v>
      </c>
      <c r="S4" s="3727"/>
      <c r="T4" s="3726" t="s">
        <v>1770</v>
      </c>
      <c r="U4" s="3727"/>
      <c r="V4" s="3735" t="s">
        <v>1771</v>
      </c>
      <c r="W4" s="3735"/>
      <c r="X4" s="1958"/>
      <c r="Y4" s="3726" t="s">
        <v>1773</v>
      </c>
      <c r="Z4" s="3727"/>
      <c r="AA4" s="3725" t="s">
        <v>1769</v>
      </c>
      <c r="AB4" s="3725" t="s">
        <v>1770</v>
      </c>
      <c r="AC4" s="3728" t="s">
        <v>1771</v>
      </c>
    </row>
    <row r="5" spans="1:29" ht="15">
      <c r="A5" s="358"/>
      <c r="B5" s="359"/>
      <c r="C5" s="3690" t="s">
        <v>1671</v>
      </c>
      <c r="D5" s="3691"/>
      <c r="E5" s="3688" t="s">
        <v>1672</v>
      </c>
      <c r="F5" s="3689"/>
      <c r="G5" s="3690" t="s">
        <v>1673</v>
      </c>
      <c r="H5" s="3691"/>
      <c r="I5" s="3690" t="s">
        <v>1674</v>
      </c>
      <c r="J5" s="3691"/>
      <c r="K5" s="559"/>
      <c r="L5" s="2714"/>
      <c r="M5" s="2715"/>
      <c r="N5" s="2715"/>
      <c r="O5" s="2715"/>
      <c r="P5" s="3733"/>
      <c r="Q5" s="3704"/>
      <c r="R5" s="3686"/>
      <c r="S5" s="3687"/>
      <c r="T5" s="3686"/>
      <c r="U5" s="3687"/>
      <c r="V5" s="3709"/>
      <c r="W5" s="3709"/>
      <c r="X5" s="1355"/>
      <c r="Y5" s="3686"/>
      <c r="Z5" s="3687"/>
      <c r="AA5" s="3680"/>
      <c r="AB5" s="3680"/>
      <c r="AC5" s="3729"/>
    </row>
    <row r="6" spans="1:29" ht="15.75" thickBot="1">
      <c r="A6" s="360"/>
      <c r="B6" s="361"/>
      <c r="C6" s="3692" t="s">
        <v>1675</v>
      </c>
      <c r="D6" s="3693"/>
      <c r="E6" s="3694" t="s">
        <v>1675</v>
      </c>
      <c r="F6" s="3695"/>
      <c r="G6" s="3692" t="s">
        <v>1675</v>
      </c>
      <c r="H6" s="3693"/>
      <c r="I6" s="3692" t="s">
        <v>1675</v>
      </c>
      <c r="J6" s="3693"/>
      <c r="K6" s="559" t="s">
        <v>1676</v>
      </c>
      <c r="L6" s="2714"/>
      <c r="M6" s="2715"/>
      <c r="N6" s="2715"/>
      <c r="O6" s="2715"/>
      <c r="P6" s="3734"/>
      <c r="Q6" s="3706"/>
      <c r="R6" s="3686"/>
      <c r="S6" s="3687"/>
      <c r="T6" s="3707"/>
      <c r="U6" s="3708"/>
      <c r="V6" s="3709"/>
      <c r="W6" s="3709"/>
      <c r="X6" s="1355"/>
      <c r="Y6" s="3707"/>
      <c r="Z6" s="3708"/>
      <c r="AA6" s="3681"/>
      <c r="AB6" s="3681"/>
      <c r="AC6" s="3730"/>
    </row>
    <row r="7" spans="1:29" s="108" customFormat="1" ht="15.75" thickBot="1">
      <c r="A7" s="362" t="s">
        <v>1677</v>
      </c>
      <c r="B7" s="363"/>
      <c r="C7" s="364">
        <f>'数据-取费表'!B2</f>
        <v>45131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6" t="s">
        <v>1678</v>
      </c>
      <c r="Q7" s="3710"/>
      <c r="R7" s="701" t="s">
        <v>14</v>
      </c>
      <c r="S7" s="702">
        <f t="shared" ref="S7:S15" si="0">F7</f>
        <v>0</v>
      </c>
      <c r="T7" s="701" t="s">
        <v>14</v>
      </c>
      <c r="U7" s="702">
        <f t="shared" ref="U7:U15" si="1">H7</f>
        <v>0</v>
      </c>
      <c r="V7" s="701" t="s">
        <v>14</v>
      </c>
      <c r="W7" s="702">
        <f t="shared" ref="W7:W15" si="2">J7</f>
        <v>0</v>
      </c>
      <c r="X7" s="703"/>
      <c r="Y7" s="3682" t="s">
        <v>1678</v>
      </c>
      <c r="Z7" s="3683"/>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6" t="s">
        <v>1681</v>
      </c>
      <c r="Q8" s="3683"/>
      <c r="R8" s="701" t="s">
        <v>14</v>
      </c>
      <c r="S8" s="702">
        <f t="shared" si="0"/>
        <v>100</v>
      </c>
      <c r="T8" s="701" t="s">
        <v>14</v>
      </c>
      <c r="U8" s="702">
        <f t="shared" si="1"/>
        <v>100</v>
      </c>
      <c r="V8" s="701" t="s">
        <v>14</v>
      </c>
      <c r="W8" s="702">
        <f t="shared" si="2"/>
        <v>100</v>
      </c>
      <c r="X8" s="703"/>
      <c r="Y8" s="3682" t="s">
        <v>1681</v>
      </c>
      <c r="Z8" s="3683"/>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6" t="s">
        <v>1684</v>
      </c>
      <c r="Q9" s="1343" t="str">
        <f t="shared" ref="Q9:Q15" si="6">B9</f>
        <v>用途</v>
      </c>
      <c r="R9" s="701" t="s">
        <v>14</v>
      </c>
      <c r="S9" s="702">
        <f t="shared" si="0"/>
        <v>100</v>
      </c>
      <c r="T9" s="701" t="s">
        <v>14</v>
      </c>
      <c r="U9" s="702">
        <f t="shared" si="1"/>
        <v>100</v>
      </c>
      <c r="V9" s="701" t="s">
        <v>14</v>
      </c>
      <c r="W9" s="702">
        <f t="shared" si="2"/>
        <v>100</v>
      </c>
      <c r="X9" s="703"/>
      <c r="Y9" s="3626" t="s">
        <v>1685</v>
      </c>
      <c r="Z9" s="52" t="str">
        <f t="shared" ref="Z9:Z15" si="7">Q9</f>
        <v>用途</v>
      </c>
      <c r="AA9" s="704">
        <f t="shared" si="3"/>
        <v>1</v>
      </c>
      <c r="AB9" s="704">
        <f t="shared" si="4"/>
        <v>1</v>
      </c>
      <c r="AC9" s="1959">
        <f t="shared" si="5"/>
        <v>1</v>
      </c>
    </row>
    <row r="10" spans="1:29" s="378" customFormat="1" ht="27">
      <c r="A10" s="374"/>
      <c r="B10" s="375" t="s">
        <v>1686</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6"/>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6"/>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1959">
        <f t="shared" si="5"/>
        <v>1</v>
      </c>
    </row>
    <row r="15" spans="1:29" ht="71.25">
      <c r="A15" s="391" t="s">
        <v>1688</v>
      </c>
      <c r="B15" s="577" t="s">
        <v>1809</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3" t="s">
        <v>1689</v>
      </c>
      <c r="Q15" s="1352" t="str">
        <f t="shared" si="6"/>
        <v>办公集聚程度</v>
      </c>
      <c r="R15" s="705" t="s">
        <v>14</v>
      </c>
      <c r="S15" s="706">
        <f t="shared" si="0"/>
        <v>100</v>
      </c>
      <c r="T15" s="705" t="s">
        <v>14</v>
      </c>
      <c r="U15" s="706">
        <f t="shared" si="1"/>
        <v>100</v>
      </c>
      <c r="V15" s="705" t="s">
        <v>14</v>
      </c>
      <c r="W15" s="706">
        <f t="shared" si="2"/>
        <v>100</v>
      </c>
      <c r="X15" s="1355"/>
      <c r="Y15" s="3716"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24"/>
      <c r="Q16" s="1352"/>
      <c r="R16" s="705"/>
      <c r="S16" s="706"/>
      <c r="T16" s="705"/>
      <c r="U16" s="706"/>
      <c r="V16" s="705"/>
      <c r="W16" s="706"/>
      <c r="X16" s="1355"/>
      <c r="Y16" s="3717"/>
      <c r="Z16" s="1356"/>
      <c r="AA16" s="1353">
        <v>1</v>
      </c>
      <c r="AB16" s="1353">
        <v>1</v>
      </c>
      <c r="AC16" s="1962">
        <v>1</v>
      </c>
    </row>
    <row r="17" spans="1:29" ht="71.25">
      <c r="A17" s="379"/>
      <c r="B17" s="579" t="s">
        <v>1257</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4"/>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24"/>
      <c r="Q18" s="1352"/>
      <c r="R18" s="705"/>
      <c r="S18" s="706"/>
      <c r="T18" s="705"/>
      <c r="U18" s="706"/>
      <c r="V18" s="705"/>
      <c r="W18" s="706"/>
      <c r="X18" s="1355"/>
      <c r="Y18" s="3717"/>
      <c r="Z18" s="1356"/>
      <c r="AA18" s="1353">
        <v>1</v>
      </c>
      <c r="AB18" s="1353">
        <v>1</v>
      </c>
      <c r="AC18" s="1962">
        <v>1</v>
      </c>
    </row>
    <row r="19" spans="1:29" ht="42.75">
      <c r="A19" s="379"/>
      <c r="B19" s="579" t="s">
        <v>1810</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4"/>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24"/>
      <c r="Q20" s="1352"/>
      <c r="R20" s="705"/>
      <c r="S20" s="706"/>
      <c r="T20" s="705"/>
      <c r="U20" s="706"/>
      <c r="V20" s="705"/>
      <c r="W20" s="706"/>
      <c r="X20" s="1355"/>
      <c r="Y20" s="3717"/>
      <c r="Z20" s="1356"/>
      <c r="AA20" s="1353">
        <v>1</v>
      </c>
      <c r="AB20" s="1353">
        <v>1</v>
      </c>
      <c r="AC20" s="1962">
        <v>1</v>
      </c>
    </row>
    <row r="21" spans="1:29" ht="28.5">
      <c r="A21" s="379"/>
      <c r="B21" s="581" t="s">
        <v>1811</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4"/>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24"/>
      <c r="Q22" s="1352"/>
      <c r="R22" s="705"/>
      <c r="S22" s="706"/>
      <c r="T22" s="705"/>
      <c r="U22" s="706"/>
      <c r="V22" s="705"/>
      <c r="W22" s="706"/>
      <c r="X22" s="1355"/>
      <c r="Y22" s="3717"/>
      <c r="Z22" s="1356"/>
      <c r="AA22" s="1353">
        <v>1</v>
      </c>
      <c r="AB22" s="1353">
        <v>1</v>
      </c>
      <c r="AC22" s="1962">
        <v>1</v>
      </c>
    </row>
    <row r="23" spans="1:29" ht="42.75">
      <c r="A23" s="379"/>
      <c r="B23" s="579" t="s">
        <v>1812</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4"/>
      <c r="Q23" s="1352" t="str">
        <f>B23</f>
        <v>环境质量</v>
      </c>
      <c r="R23" s="705" t="s">
        <v>14</v>
      </c>
      <c r="S23" s="706">
        <f>F23</f>
        <v>100</v>
      </c>
      <c r="T23" s="705" t="s">
        <v>14</v>
      </c>
      <c r="U23" s="706">
        <f>H23</f>
        <v>100</v>
      </c>
      <c r="V23" s="705" t="s">
        <v>14</v>
      </c>
      <c r="W23" s="706">
        <f>J23</f>
        <v>100</v>
      </c>
      <c r="X23" s="1355"/>
      <c r="Y23" s="371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24"/>
      <c r="Q24" s="1352"/>
      <c r="R24" s="705"/>
      <c r="S24" s="706"/>
      <c r="T24" s="705"/>
      <c r="U24" s="706"/>
      <c r="V24" s="705"/>
      <c r="W24" s="706"/>
      <c r="X24" s="1355"/>
      <c r="Y24" s="3717"/>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24"/>
      <c r="Q25" s="1352" t="str">
        <f>B25</f>
        <v>毗邻道路的类型与等级</v>
      </c>
      <c r="R25" s="705" t="s">
        <v>14</v>
      </c>
      <c r="S25" s="706">
        <f>F25</f>
        <v>100</v>
      </c>
      <c r="T25" s="705" t="s">
        <v>14</v>
      </c>
      <c r="U25" s="706">
        <f>H25</f>
        <v>100</v>
      </c>
      <c r="V25" s="705" t="s">
        <v>14</v>
      </c>
      <c r="W25" s="706">
        <f>J25</f>
        <v>100</v>
      </c>
      <c r="X25" s="1355"/>
      <c r="Y25" s="371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24"/>
      <c r="Q26" s="1352"/>
      <c r="R26" s="705"/>
      <c r="S26" s="706"/>
      <c r="T26" s="705"/>
      <c r="U26" s="706"/>
      <c r="V26" s="705"/>
      <c r="W26" s="706"/>
      <c r="X26" s="1355"/>
      <c r="Y26" s="3717"/>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4"/>
      <c r="Q27" s="1352" t="str">
        <f t="shared" ref="Q27:Q47" si="11">B27</f>
        <v>楼层</v>
      </c>
      <c r="R27" s="705" t="s">
        <v>14</v>
      </c>
      <c r="S27" s="706">
        <f>F27</f>
        <v>100</v>
      </c>
      <c r="T27" s="705" t="s">
        <v>14</v>
      </c>
      <c r="U27" s="706">
        <f>H27</f>
        <v>100</v>
      </c>
      <c r="V27" s="705" t="s">
        <v>14</v>
      </c>
      <c r="W27" s="706">
        <f>J27</f>
        <v>100</v>
      </c>
      <c r="X27" s="1355"/>
      <c r="Y27" s="3717"/>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4"/>
      <c r="Q28" s="1343" t="str">
        <f t="shared" si="11"/>
        <v>朝向</v>
      </c>
      <c r="R28" s="701" t="s">
        <v>14</v>
      </c>
      <c r="S28" s="702">
        <f>F28</f>
        <v>100</v>
      </c>
      <c r="T28" s="701" t="s">
        <v>14</v>
      </c>
      <c r="U28" s="702">
        <f>H28</f>
        <v>100</v>
      </c>
      <c r="V28" s="701" t="s">
        <v>14</v>
      </c>
      <c r="W28" s="702">
        <f>J28</f>
        <v>100</v>
      </c>
      <c r="X28" s="703"/>
      <c r="Y28" s="371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4"/>
      <c r="Q29" s="1352">
        <f t="shared" si="11"/>
        <v>111</v>
      </c>
      <c r="R29" s="705" t="s">
        <v>14</v>
      </c>
      <c r="S29" s="706">
        <f t="shared" ref="S29:S47" si="12">F29</f>
        <v>100</v>
      </c>
      <c r="T29" s="705" t="s">
        <v>14</v>
      </c>
      <c r="U29" s="706">
        <f t="shared" ref="U29:U47" si="13">H29</f>
        <v>100</v>
      </c>
      <c r="V29" s="705" t="s">
        <v>14</v>
      </c>
      <c r="W29" s="706">
        <f t="shared" ref="W29:W47" si="14">J29</f>
        <v>100</v>
      </c>
      <c r="X29" s="1355"/>
      <c r="Y29" s="371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4"/>
      <c r="Q30" s="1352">
        <f t="shared" si="11"/>
        <v>111</v>
      </c>
      <c r="R30" s="705" t="s">
        <v>14</v>
      </c>
      <c r="S30" s="706">
        <f t="shared" si="12"/>
        <v>100</v>
      </c>
      <c r="T30" s="705" t="s">
        <v>14</v>
      </c>
      <c r="U30" s="706">
        <f t="shared" si="13"/>
        <v>100</v>
      </c>
      <c r="V30" s="705" t="s">
        <v>14</v>
      </c>
      <c r="W30" s="706">
        <f t="shared" si="14"/>
        <v>100</v>
      </c>
      <c r="X30" s="1355"/>
      <c r="Y30" s="371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4"/>
      <c r="Q31" s="1352">
        <f t="shared" si="11"/>
        <v>111</v>
      </c>
      <c r="R31" s="705" t="s">
        <v>14</v>
      </c>
      <c r="S31" s="706">
        <f t="shared" si="12"/>
        <v>100</v>
      </c>
      <c r="T31" s="705" t="s">
        <v>14</v>
      </c>
      <c r="U31" s="706">
        <f t="shared" si="13"/>
        <v>100</v>
      </c>
      <c r="V31" s="705" t="s">
        <v>14</v>
      </c>
      <c r="W31" s="706">
        <f t="shared" si="14"/>
        <v>100</v>
      </c>
      <c r="X31" s="1355"/>
      <c r="Y31" s="371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4"/>
      <c r="Q32" s="1352">
        <f t="shared" si="11"/>
        <v>111</v>
      </c>
      <c r="R32" s="705" t="s">
        <v>14</v>
      </c>
      <c r="S32" s="706">
        <f t="shared" si="12"/>
        <v>100</v>
      </c>
      <c r="T32" s="705" t="s">
        <v>14</v>
      </c>
      <c r="U32" s="706">
        <f t="shared" si="13"/>
        <v>100</v>
      </c>
      <c r="V32" s="705" t="s">
        <v>14</v>
      </c>
      <c r="W32" s="706">
        <f t="shared" si="14"/>
        <v>100</v>
      </c>
      <c r="X32" s="1355"/>
      <c r="Y32" s="3717"/>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18" t="s">
        <v>1694</v>
      </c>
      <c r="Q33" s="1352" t="str">
        <f t="shared" si="11"/>
        <v>建筑类型</v>
      </c>
      <c r="R33" s="705" t="s">
        <v>14</v>
      </c>
      <c r="S33" s="706">
        <f t="shared" si="12"/>
        <v>100</v>
      </c>
      <c r="T33" s="705" t="s">
        <v>14</v>
      </c>
      <c r="U33" s="706">
        <f t="shared" si="13"/>
        <v>100</v>
      </c>
      <c r="V33" s="705" t="s">
        <v>14</v>
      </c>
      <c r="W33" s="706">
        <f t="shared" si="14"/>
        <v>100</v>
      </c>
      <c r="X33" s="1355"/>
      <c r="Y33" s="3721"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19"/>
      <c r="Q34" s="707" t="str">
        <f t="shared" si="11"/>
        <v>项目建筑规模</v>
      </c>
      <c r="R34" s="708" t="s">
        <v>14</v>
      </c>
      <c r="S34" s="709" t="e">
        <f t="shared" si="12"/>
        <v>#N/A</v>
      </c>
      <c r="T34" s="708" t="s">
        <v>14</v>
      </c>
      <c r="U34" s="709" t="e">
        <f t="shared" si="13"/>
        <v>#N/A</v>
      </c>
      <c r="V34" s="708" t="s">
        <v>14</v>
      </c>
      <c r="W34" s="709" t="e">
        <f t="shared" si="14"/>
        <v>#N/A</v>
      </c>
      <c r="X34" s="710"/>
      <c r="Y34" s="3721"/>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9"/>
      <c r="Q35" s="1352" t="str">
        <f t="shared" si="11"/>
        <v>建筑结构</v>
      </c>
      <c r="R35" s="705" t="s">
        <v>14</v>
      </c>
      <c r="S35" s="706">
        <f t="shared" si="12"/>
        <v>100</v>
      </c>
      <c r="T35" s="705" t="s">
        <v>14</v>
      </c>
      <c r="U35" s="706">
        <f t="shared" si="13"/>
        <v>100</v>
      </c>
      <c r="V35" s="705" t="s">
        <v>14</v>
      </c>
      <c r="W35" s="706">
        <f t="shared" si="14"/>
        <v>100</v>
      </c>
      <c r="X35" s="1355"/>
      <c r="Y35" s="3721"/>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9"/>
      <c r="Q36" s="1352" t="str">
        <f t="shared" si="11"/>
        <v>公共部分装修</v>
      </c>
      <c r="R36" s="705" t="s">
        <v>14</v>
      </c>
      <c r="S36" s="706">
        <f t="shared" si="12"/>
        <v>100</v>
      </c>
      <c r="T36" s="705" t="s">
        <v>14</v>
      </c>
      <c r="U36" s="706">
        <f t="shared" si="13"/>
        <v>100</v>
      </c>
      <c r="V36" s="705" t="s">
        <v>14</v>
      </c>
      <c r="W36" s="706">
        <f t="shared" si="14"/>
        <v>100</v>
      </c>
      <c r="X36" s="1355"/>
      <c r="Y36" s="3721"/>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9"/>
      <c r="Q37" s="1352" t="str">
        <f t="shared" si="11"/>
        <v>成新度</v>
      </c>
      <c r="R37" s="705" t="s">
        <v>14</v>
      </c>
      <c r="S37" s="706" t="e">
        <f t="shared" si="12"/>
        <v>#N/A</v>
      </c>
      <c r="T37" s="705" t="s">
        <v>14</v>
      </c>
      <c r="U37" s="706" t="e">
        <f t="shared" si="13"/>
        <v>#N/A</v>
      </c>
      <c r="V37" s="705" t="s">
        <v>14</v>
      </c>
      <c r="W37" s="706" t="e">
        <f t="shared" si="14"/>
        <v>#N/A</v>
      </c>
      <c r="X37" s="1355"/>
      <c r="Y37" s="3721"/>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9"/>
      <c r="Q38" s="1343" t="str">
        <f t="shared" si="11"/>
        <v>写字楼等级</v>
      </c>
      <c r="R38" s="701" t="s">
        <v>14</v>
      </c>
      <c r="S38" s="702">
        <f t="shared" si="12"/>
        <v>100</v>
      </c>
      <c r="T38" s="701" t="s">
        <v>14</v>
      </c>
      <c r="U38" s="702">
        <f t="shared" si="13"/>
        <v>100</v>
      </c>
      <c r="V38" s="701" t="s">
        <v>14</v>
      </c>
      <c r="W38" s="702">
        <f t="shared" si="14"/>
        <v>100</v>
      </c>
      <c r="X38" s="703"/>
      <c r="Y38" s="3721"/>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9" t="s">
        <v>1694</v>
      </c>
      <c r="Q39" s="1352" t="str">
        <f t="shared" si="11"/>
        <v>物业管理</v>
      </c>
      <c r="R39" s="705" t="s">
        <v>14</v>
      </c>
      <c r="S39" s="706">
        <f t="shared" si="12"/>
        <v>100</v>
      </c>
      <c r="T39" s="705" t="s">
        <v>14</v>
      </c>
      <c r="U39" s="706">
        <f t="shared" si="13"/>
        <v>100</v>
      </c>
      <c r="V39" s="705" t="s">
        <v>14</v>
      </c>
      <c r="W39" s="706">
        <f t="shared" si="14"/>
        <v>100</v>
      </c>
      <c r="X39" s="1355"/>
      <c r="Y39" s="3721"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9"/>
      <c r="Q40" s="1352" t="str">
        <f t="shared" si="11"/>
        <v>市政基础设施</v>
      </c>
      <c r="R40" s="705" t="s">
        <v>14</v>
      </c>
      <c r="S40" s="706">
        <f t="shared" si="12"/>
        <v>100</v>
      </c>
      <c r="T40" s="705" t="s">
        <v>14</v>
      </c>
      <c r="U40" s="706">
        <f t="shared" si="13"/>
        <v>100</v>
      </c>
      <c r="V40" s="705" t="s">
        <v>14</v>
      </c>
      <c r="W40" s="706">
        <f t="shared" si="14"/>
        <v>100</v>
      </c>
      <c r="X40" s="1355"/>
      <c r="Y40" s="3721"/>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9"/>
      <c r="Q41" s="1352" t="str">
        <f t="shared" si="11"/>
        <v>层高</v>
      </c>
      <c r="R41" s="705" t="s">
        <v>14</v>
      </c>
      <c r="S41" s="706">
        <f t="shared" si="12"/>
        <v>100</v>
      </c>
      <c r="T41" s="705" t="s">
        <v>14</v>
      </c>
      <c r="U41" s="706">
        <f t="shared" si="13"/>
        <v>100</v>
      </c>
      <c r="V41" s="705" t="s">
        <v>14</v>
      </c>
      <c r="W41" s="706">
        <f t="shared" si="14"/>
        <v>100</v>
      </c>
      <c r="X41" s="1355"/>
      <c r="Y41" s="3721"/>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9"/>
      <c r="Q42" s="707" t="str">
        <f t="shared" si="11"/>
        <v>单套建筑面积</v>
      </c>
      <c r="R42" s="708" t="s">
        <v>14</v>
      </c>
      <c r="S42" s="709">
        <f t="shared" si="12"/>
        <v>100</v>
      </c>
      <c r="T42" s="708" t="s">
        <v>14</v>
      </c>
      <c r="U42" s="709">
        <f t="shared" si="13"/>
        <v>100</v>
      </c>
      <c r="V42" s="708" t="s">
        <v>14</v>
      </c>
      <c r="W42" s="709">
        <f t="shared" si="14"/>
        <v>100</v>
      </c>
      <c r="X42" s="710"/>
      <c r="Y42" s="3721"/>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9"/>
      <c r="Q43" s="1352" t="str">
        <f t="shared" si="11"/>
        <v>内部装修</v>
      </c>
      <c r="R43" s="705" t="s">
        <v>14</v>
      </c>
      <c r="S43" s="706">
        <f t="shared" si="12"/>
        <v>100</v>
      </c>
      <c r="T43" s="705" t="s">
        <v>14</v>
      </c>
      <c r="U43" s="706">
        <f t="shared" si="13"/>
        <v>100</v>
      </c>
      <c r="V43" s="705" t="s">
        <v>14</v>
      </c>
      <c r="W43" s="706">
        <f t="shared" si="14"/>
        <v>100</v>
      </c>
      <c r="X43" s="1355"/>
      <c r="Y43" s="3721"/>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19"/>
      <c r="Q44" s="1352" t="str">
        <f t="shared" si="11"/>
        <v>内部装修维护情况</v>
      </c>
      <c r="R44" s="705" t="s">
        <v>14</v>
      </c>
      <c r="S44" s="706">
        <f t="shared" si="12"/>
        <v>100</v>
      </c>
      <c r="T44" s="705" t="s">
        <v>14</v>
      </c>
      <c r="U44" s="706">
        <f t="shared" si="13"/>
        <v>100</v>
      </c>
      <c r="V44" s="705" t="s">
        <v>14</v>
      </c>
      <c r="W44" s="706">
        <f t="shared" si="14"/>
        <v>100</v>
      </c>
      <c r="X44" s="1355"/>
      <c r="Y44" s="372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9"/>
      <c r="Q45" s="1343">
        <f t="shared" si="11"/>
        <v>111</v>
      </c>
      <c r="R45" s="701" t="s">
        <v>14</v>
      </c>
      <c r="S45" s="702">
        <f t="shared" si="12"/>
        <v>100</v>
      </c>
      <c r="T45" s="701" t="s">
        <v>14</v>
      </c>
      <c r="U45" s="702">
        <f t="shared" si="13"/>
        <v>100</v>
      </c>
      <c r="V45" s="701" t="s">
        <v>14</v>
      </c>
      <c r="W45" s="702">
        <f t="shared" si="14"/>
        <v>100</v>
      </c>
      <c r="X45" s="703"/>
      <c r="Y45" s="372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9"/>
      <c r="Q46" s="1352">
        <f t="shared" si="11"/>
        <v>111</v>
      </c>
      <c r="R46" s="705" t="s">
        <v>14</v>
      </c>
      <c r="S46" s="706">
        <f t="shared" si="12"/>
        <v>100</v>
      </c>
      <c r="T46" s="705" t="s">
        <v>14</v>
      </c>
      <c r="U46" s="706">
        <f t="shared" si="13"/>
        <v>100</v>
      </c>
      <c r="V46" s="705" t="s">
        <v>14</v>
      </c>
      <c r="W46" s="706">
        <f t="shared" si="14"/>
        <v>100</v>
      </c>
      <c r="X46" s="1355"/>
      <c r="Y46" s="372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0"/>
      <c r="Q47" s="1352">
        <f t="shared" si="11"/>
        <v>111</v>
      </c>
      <c r="R47" s="705" t="s">
        <v>14</v>
      </c>
      <c r="S47" s="706">
        <f t="shared" si="12"/>
        <v>100</v>
      </c>
      <c r="T47" s="705" t="s">
        <v>14</v>
      </c>
      <c r="U47" s="706">
        <f t="shared" si="13"/>
        <v>100</v>
      </c>
      <c r="V47" s="705" t="s">
        <v>14</v>
      </c>
      <c r="W47" s="706">
        <f t="shared" si="14"/>
        <v>100</v>
      </c>
      <c r="X47" s="1355"/>
      <c r="Y47" s="3722"/>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23"/>
      <c r="M48" s="2715"/>
      <c r="N48" s="2715"/>
      <c r="O48" s="2715"/>
      <c r="P48" s="3696" t="str">
        <f>A48</f>
        <v>成交单价（元/平方米）</v>
      </c>
      <c r="Q48" s="3714"/>
      <c r="R48" s="3715">
        <f>E48</f>
        <v>0</v>
      </c>
      <c r="S48" s="3715"/>
      <c r="T48" s="3715">
        <f>G48</f>
        <v>0</v>
      </c>
      <c r="U48" s="3715"/>
      <c r="V48" s="3715">
        <f>I48</f>
        <v>0</v>
      </c>
      <c r="W48" s="3715"/>
      <c r="X48" s="397"/>
      <c r="Y48" s="712"/>
      <c r="Z48" s="397"/>
      <c r="AA48" s="397"/>
      <c r="AB48" s="397"/>
      <c r="AC48" s="578"/>
    </row>
    <row r="49" spans="1:29" ht="15.75" thickBot="1">
      <c r="A49" s="437" t="s">
        <v>1791</v>
      </c>
      <c r="B49" s="438"/>
      <c r="C49" s="1160" t="e">
        <f>R50</f>
        <v>#DIV/0!</v>
      </c>
      <c r="D49" s="2317" t="s">
        <v>2134</v>
      </c>
      <c r="E49" s="1161" t="e">
        <f>R49</f>
        <v>#DIV/0!</v>
      </c>
      <c r="F49" s="2318"/>
      <c r="G49" s="1160" t="e">
        <f>T49</f>
        <v>#DIV/0!</v>
      </c>
      <c r="H49" s="2318"/>
      <c r="I49" s="1161" t="e">
        <f>V49</f>
        <v>#DIV/0!</v>
      </c>
      <c r="J49" s="2318"/>
      <c r="K49" s="2320">
        <f>F49+H49+J49</f>
        <v>0</v>
      </c>
      <c r="L49" s="2723"/>
      <c r="M49" s="2715"/>
      <c r="N49" s="2715"/>
      <c r="O49" s="2715"/>
      <c r="P49" s="3696" t="str">
        <f>A49</f>
        <v>比较价值（元/平方米）</v>
      </c>
      <c r="Q49" s="3714"/>
      <c r="R49" s="3715" t="e">
        <f>IF(F1="售价",ROUND(PRODUCT(R48,AA7:AA47),0),ROUND(PRODUCT(R48,AA7:AA47),1))</f>
        <v>#DIV/0!</v>
      </c>
      <c r="S49" s="3715"/>
      <c r="T49" s="3715" t="e">
        <f>IF(F1="售价",ROUND(PRODUCT(T48,AB7:AB47),0),ROUND(PRODUCT(T48,AB7:AB47),1))</f>
        <v>#DIV/0!</v>
      </c>
      <c r="U49" s="3715"/>
      <c r="V49" s="3715" t="e">
        <f>IF(F1="售价",ROUND(PRODUCT(V48,AC7:AC47),0),ROUND(PRODUCT(V48,AC7:AC47),1))</f>
        <v>#DIV/0!</v>
      </c>
      <c r="W49" s="3715"/>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3"/>
      <c r="M50" s="2715"/>
      <c r="N50" s="2715"/>
      <c r="O50" s="2715"/>
      <c r="P50" s="3737" t="str">
        <f>A50</f>
        <v>估价对象XX用房的比较价值（楼面单价，元/平方米）</v>
      </c>
      <c r="Q50" s="3738"/>
      <c r="R50" s="3739" t="e">
        <f>IF(F1="售价",ROUND(IF(D49="简单平均",AVERAGE(R49:V49),R49*F49+T49*H49+V49*J49),0),ROUND(IF(D49="简单平均",AVERAGE(R49:V49),R49*F49+T49*H49+V49*J49),1))</f>
        <v>#DIV/0!</v>
      </c>
      <c r="S50" s="3739"/>
      <c r="T50" s="3739"/>
      <c r="U50" s="3739"/>
      <c r="V50" s="3739"/>
      <c r="W50" s="3739"/>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1796</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1677</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1714</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1679</v>
      </c>
      <c r="B62" s="459"/>
      <c r="C62" s="471" t="s">
        <v>1774</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1717</v>
      </c>
      <c r="B64" s="477" t="s">
        <v>1683</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1686</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1688</v>
      </c>
      <c r="B77" s="477" t="s">
        <v>1819</v>
      </c>
      <c r="C77" s="522" t="s">
        <v>1719</v>
      </c>
      <c r="D77" s="522" t="s">
        <v>1720</v>
      </c>
      <c r="E77" s="522" t="s">
        <v>1721</v>
      </c>
      <c r="F77" s="522" t="s">
        <v>1722</v>
      </c>
      <c r="G77" s="522" t="s">
        <v>1723</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1724</v>
      </c>
      <c r="C79" s="527" t="s">
        <v>1719</v>
      </c>
      <c r="D79" s="527" t="s">
        <v>1720</v>
      </c>
      <c r="E79" s="527" t="s">
        <v>1721</v>
      </c>
      <c r="F79" s="527" t="s">
        <v>1722</v>
      </c>
      <c r="G79" s="527" t="s">
        <v>1723</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1725</v>
      </c>
      <c r="C81" s="527" t="s">
        <v>1719</v>
      </c>
      <c r="D81" s="527" t="s">
        <v>1720</v>
      </c>
      <c r="E81" s="527" t="s">
        <v>1721</v>
      </c>
      <c r="F81" s="527" t="s">
        <v>1722</v>
      </c>
      <c r="G81" s="527" t="s">
        <v>1723</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1811</v>
      </c>
      <c r="C83" s="608" t="s">
        <v>1797</v>
      </c>
      <c r="D83" s="608" t="s">
        <v>1798</v>
      </c>
      <c r="E83" s="608" t="s">
        <v>1799</v>
      </c>
      <c r="F83" s="608" t="s">
        <v>1800</v>
      </c>
      <c r="G83" s="608" t="s">
        <v>1801</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1820</v>
      </c>
      <c r="C85" s="527" t="s">
        <v>1719</v>
      </c>
      <c r="D85" s="527" t="s">
        <v>1720</v>
      </c>
      <c r="E85" s="527" t="s">
        <v>1721</v>
      </c>
      <c r="F85" s="527" t="s">
        <v>1722</v>
      </c>
      <c r="G85" s="527" t="s">
        <v>1723</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1821</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1692</v>
      </c>
      <c r="B101" s="477" t="s">
        <v>1734</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1736</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1738</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1822</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1739</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1740</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1823</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1806</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1742</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32"/>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8390.83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97" t="s">
        <v>1768</v>
      </c>
      <c r="D4" s="3698"/>
      <c r="E4" s="3699" t="s">
        <v>1769</v>
      </c>
      <c r="F4" s="3700"/>
      <c r="G4" s="3697" t="s">
        <v>1770</v>
      </c>
      <c r="H4" s="3698"/>
      <c r="I4" s="3697" t="s">
        <v>1771</v>
      </c>
      <c r="J4" s="3698"/>
      <c r="K4" s="559" t="s">
        <v>1772</v>
      </c>
      <c r="L4" s="913"/>
      <c r="M4" s="914"/>
      <c r="N4" s="914"/>
      <c r="O4" s="914"/>
      <c r="P4" s="3701" t="s">
        <v>1773</v>
      </c>
      <c r="Q4" s="3702"/>
      <c r="R4" s="3684" t="s">
        <v>1769</v>
      </c>
      <c r="S4" s="3685"/>
      <c r="T4" s="3684" t="s">
        <v>1770</v>
      </c>
      <c r="U4" s="3685"/>
      <c r="V4" s="3709" t="s">
        <v>1771</v>
      </c>
      <c r="W4" s="3709"/>
      <c r="X4" s="1355"/>
      <c r="Y4" s="3684" t="s">
        <v>1773</v>
      </c>
      <c r="Z4" s="3685"/>
      <c r="AA4" s="3679" t="s">
        <v>1769</v>
      </c>
      <c r="AB4" s="3680" t="s">
        <v>1770</v>
      </c>
      <c r="AC4" s="3679" t="s">
        <v>1771</v>
      </c>
    </row>
    <row r="5" spans="1:29" ht="15">
      <c r="A5" s="358"/>
      <c r="B5" s="359"/>
      <c r="C5" s="3690" t="s">
        <v>1671</v>
      </c>
      <c r="D5" s="3691"/>
      <c r="E5" s="3688" t="s">
        <v>1672</v>
      </c>
      <c r="F5" s="3689"/>
      <c r="G5" s="3690" t="s">
        <v>1673</v>
      </c>
      <c r="H5" s="3691"/>
      <c r="I5" s="3690" t="s">
        <v>1674</v>
      </c>
      <c r="J5" s="3691"/>
      <c r="K5" s="559"/>
      <c r="L5" s="913"/>
      <c r="M5" s="914"/>
      <c r="N5" s="914"/>
      <c r="O5" s="914"/>
      <c r="P5" s="3703"/>
      <c r="Q5" s="3704"/>
      <c r="R5" s="3686"/>
      <c r="S5" s="3687"/>
      <c r="T5" s="3686"/>
      <c r="U5" s="3687"/>
      <c r="V5" s="3709"/>
      <c r="W5" s="3709"/>
      <c r="X5" s="1355"/>
      <c r="Y5" s="3686"/>
      <c r="Z5" s="3687"/>
      <c r="AA5" s="3680"/>
      <c r="AB5" s="3680"/>
      <c r="AC5" s="3680"/>
    </row>
    <row r="6" spans="1:29" ht="15.75" thickBot="1">
      <c r="A6" s="360"/>
      <c r="B6" s="361"/>
      <c r="C6" s="3692" t="s">
        <v>1675</v>
      </c>
      <c r="D6" s="3693"/>
      <c r="E6" s="3694" t="s">
        <v>1675</v>
      </c>
      <c r="F6" s="3695"/>
      <c r="G6" s="3692" t="s">
        <v>1675</v>
      </c>
      <c r="H6" s="3693"/>
      <c r="I6" s="3692" t="s">
        <v>1675</v>
      </c>
      <c r="J6" s="3693"/>
      <c r="K6" s="559" t="s">
        <v>1676</v>
      </c>
      <c r="L6" s="913"/>
      <c r="M6" s="914"/>
      <c r="N6" s="914"/>
      <c r="O6" s="914"/>
      <c r="P6" s="3705"/>
      <c r="Q6" s="3706"/>
      <c r="R6" s="3686"/>
      <c r="S6" s="3687"/>
      <c r="T6" s="3707"/>
      <c r="U6" s="3708"/>
      <c r="V6" s="3709"/>
      <c r="W6" s="3709"/>
      <c r="X6" s="1355"/>
      <c r="Y6" s="3707"/>
      <c r="Z6" s="3708"/>
      <c r="AA6" s="3681"/>
      <c r="AB6" s="3681"/>
      <c r="AC6" s="3681"/>
    </row>
    <row r="7" spans="1:29" s="108" customFormat="1" ht="15.75" thickBot="1">
      <c r="A7" s="362" t="s">
        <v>1677</v>
      </c>
      <c r="B7" s="363"/>
      <c r="C7" s="364">
        <f>'数据-取费表'!B2</f>
        <v>45131</v>
      </c>
      <c r="D7" s="365">
        <v>100</v>
      </c>
      <c r="E7" s="366"/>
      <c r="F7" s="367">
        <f>SUMIF(52:52,YEAR(E7)&amp;"-"&amp;MONTH(E7),53:53)</f>
        <v>0</v>
      </c>
      <c r="G7" s="366"/>
      <c r="H7" s="365">
        <f>SUMIF(52:52,YEAR(G7)&amp;"-"&amp;MONTH(G7),53:53)</f>
        <v>0</v>
      </c>
      <c r="I7" s="366"/>
      <c r="J7" s="365">
        <f>SUMIF(52:52,YEAR(I7)&amp;"-"&amp;MONTH(I7),53:53)</f>
        <v>0</v>
      </c>
      <c r="K7" s="560"/>
      <c r="L7" s="915"/>
      <c r="M7" s="916"/>
      <c r="N7" s="916"/>
      <c r="O7" s="916"/>
      <c r="P7" s="3682" t="s">
        <v>1678</v>
      </c>
      <c r="Q7" s="3710"/>
      <c r="R7" s="701" t="s">
        <v>14</v>
      </c>
      <c r="S7" s="702">
        <f t="shared" ref="S7:S15" si="0">F7</f>
        <v>0</v>
      </c>
      <c r="T7" s="701" t="s">
        <v>14</v>
      </c>
      <c r="U7" s="702">
        <f t="shared" ref="U7:U15" si="1">H7</f>
        <v>0</v>
      </c>
      <c r="V7" s="701" t="s">
        <v>14</v>
      </c>
      <c r="W7" s="702">
        <f t="shared" ref="W7:W15" si="2">J7</f>
        <v>0</v>
      </c>
      <c r="X7" s="703"/>
      <c r="Y7" s="3682" t="s">
        <v>1678</v>
      </c>
      <c r="Z7" s="3683"/>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2" t="s">
        <v>1681</v>
      </c>
      <c r="Q8" s="3683"/>
      <c r="R8" s="701" t="s">
        <v>14</v>
      </c>
      <c r="S8" s="702">
        <f t="shared" si="0"/>
        <v>100</v>
      </c>
      <c r="T8" s="701" t="s">
        <v>14</v>
      </c>
      <c r="U8" s="702">
        <f t="shared" si="1"/>
        <v>100</v>
      </c>
      <c r="V8" s="701" t="s">
        <v>14</v>
      </c>
      <c r="W8" s="702">
        <f t="shared" si="2"/>
        <v>100</v>
      </c>
      <c r="X8" s="703"/>
      <c r="Y8" s="3682" t="s">
        <v>1681</v>
      </c>
      <c r="Z8" s="3683"/>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4" t="s">
        <v>1684</v>
      </c>
      <c r="Q9" s="1343" t="str">
        <f t="shared" ref="Q9:Q15" si="6">B9</f>
        <v>用途</v>
      </c>
      <c r="R9" s="701" t="s">
        <v>14</v>
      </c>
      <c r="S9" s="702">
        <f t="shared" si="0"/>
        <v>100</v>
      </c>
      <c r="T9" s="701" t="s">
        <v>14</v>
      </c>
      <c r="U9" s="702">
        <f t="shared" si="1"/>
        <v>100</v>
      </c>
      <c r="V9" s="701" t="s">
        <v>14</v>
      </c>
      <c r="W9" s="702">
        <f t="shared" si="2"/>
        <v>100</v>
      </c>
      <c r="X9" s="703"/>
      <c r="Y9" s="3626" t="s">
        <v>1685</v>
      </c>
      <c r="Z9" s="52" t="str">
        <f t="shared" ref="Z9:Z15" si="7">Q9</f>
        <v>用途</v>
      </c>
      <c r="AA9" s="704">
        <f t="shared" si="3"/>
        <v>1</v>
      </c>
      <c r="AB9" s="704">
        <f t="shared" si="4"/>
        <v>1</v>
      </c>
      <c r="AC9" s="704">
        <f t="shared" si="5"/>
        <v>1</v>
      </c>
    </row>
    <row r="10" spans="1:29" s="378" customFormat="1" ht="27">
      <c r="A10" s="374"/>
      <c r="B10" s="375" t="s">
        <v>1686</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4"/>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4"/>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4"/>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15">
      <c r="A15" s="391" t="s">
        <v>1688</v>
      </c>
      <c r="B15" s="61" t="s">
        <v>1825</v>
      </c>
      <c r="C15" s="1971">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6" t="s">
        <v>1689</v>
      </c>
      <c r="Q15" s="1352" t="str">
        <f t="shared" si="6"/>
        <v>产业集聚程度</v>
      </c>
      <c r="R15" s="705" t="s">
        <v>14</v>
      </c>
      <c r="S15" s="706">
        <f t="shared" si="0"/>
        <v>100</v>
      </c>
      <c r="T15" s="705" t="s">
        <v>14</v>
      </c>
      <c r="U15" s="706">
        <f t="shared" si="1"/>
        <v>100</v>
      </c>
      <c r="V15" s="705" t="s">
        <v>14</v>
      </c>
      <c r="W15" s="706">
        <f t="shared" si="2"/>
        <v>100</v>
      </c>
      <c r="X15" s="1355"/>
      <c r="Y15" s="3716"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7"/>
      <c r="Q16" s="1352"/>
      <c r="R16" s="705"/>
      <c r="S16" s="706"/>
      <c r="T16" s="705"/>
      <c r="U16" s="706"/>
      <c r="V16" s="705"/>
      <c r="W16" s="706"/>
      <c r="X16" s="1355"/>
      <c r="Y16" s="3717"/>
      <c r="Z16" s="1356"/>
      <c r="AA16" s="1353">
        <v>1</v>
      </c>
      <c r="AB16" s="1353">
        <v>1</v>
      </c>
      <c r="AC16" s="1353">
        <v>1</v>
      </c>
    </row>
    <row r="17" spans="1:29" ht="15">
      <c r="A17" s="379"/>
      <c r="B17" s="402" t="s">
        <v>1257</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7"/>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7"/>
      <c r="Q18" s="1352"/>
      <c r="R18" s="705"/>
      <c r="S18" s="706"/>
      <c r="T18" s="705"/>
      <c r="U18" s="706"/>
      <c r="V18" s="705"/>
      <c r="W18" s="706"/>
      <c r="X18" s="1355"/>
      <c r="Y18" s="3717"/>
      <c r="Z18" s="1356"/>
      <c r="AA18" s="1353">
        <v>1</v>
      </c>
      <c r="AB18" s="1353">
        <v>1</v>
      </c>
      <c r="AC18" s="1353">
        <v>1</v>
      </c>
    </row>
    <row r="19" spans="1:29" ht="15">
      <c r="A19" s="379"/>
      <c r="B19" s="402" t="s">
        <v>1810</v>
      </c>
      <c r="C19" s="1900">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7"/>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7"/>
      <c r="Q20" s="1352"/>
      <c r="R20" s="705"/>
      <c r="S20" s="706"/>
      <c r="T20" s="705"/>
      <c r="U20" s="706"/>
      <c r="V20" s="705"/>
      <c r="W20" s="706"/>
      <c r="X20" s="1355"/>
      <c r="Y20" s="3717"/>
      <c r="Z20" s="1356"/>
      <c r="AA20" s="1353">
        <v>1</v>
      </c>
      <c r="AB20" s="1353">
        <v>1</v>
      </c>
      <c r="AC20" s="1353">
        <v>1</v>
      </c>
    </row>
    <row r="21" spans="1:29" ht="15">
      <c r="A21" s="379"/>
      <c r="B21" s="1131" t="s">
        <v>1811</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7"/>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7"/>
      <c r="Q22" s="1352"/>
      <c r="R22" s="705"/>
      <c r="S22" s="706"/>
      <c r="T22" s="705"/>
      <c r="U22" s="706"/>
      <c r="V22" s="705"/>
      <c r="W22" s="706"/>
      <c r="X22" s="1355"/>
      <c r="Y22" s="3717"/>
      <c r="Z22" s="1356"/>
      <c r="AA22" s="1353">
        <v>1</v>
      </c>
      <c r="AB22" s="1353">
        <v>1</v>
      </c>
      <c r="AC22" s="1353">
        <v>1</v>
      </c>
    </row>
    <row r="23" spans="1:29" ht="15">
      <c r="A23" s="379"/>
      <c r="B23" s="402" t="s">
        <v>1812</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7"/>
      <c r="Q23" s="1352" t="str">
        <f>B23</f>
        <v>环境质量</v>
      </c>
      <c r="R23" s="705" t="s">
        <v>14</v>
      </c>
      <c r="S23" s="706">
        <f>F23</f>
        <v>100</v>
      </c>
      <c r="T23" s="705" t="s">
        <v>14</v>
      </c>
      <c r="U23" s="706">
        <f>H23</f>
        <v>100</v>
      </c>
      <c r="V23" s="705" t="s">
        <v>14</v>
      </c>
      <c r="W23" s="706">
        <f>J23</f>
        <v>100</v>
      </c>
      <c r="X23" s="1355"/>
      <c r="Y23" s="371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7"/>
      <c r="Q24" s="1352"/>
      <c r="R24" s="705"/>
      <c r="S24" s="706"/>
      <c r="T24" s="705"/>
      <c r="U24" s="706"/>
      <c r="V24" s="705"/>
      <c r="W24" s="706"/>
      <c r="X24" s="1355"/>
      <c r="Y24" s="371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7"/>
      <c r="Q25" s="1352">
        <f>B25</f>
        <v>111</v>
      </c>
      <c r="R25" s="705" t="s">
        <v>14</v>
      </c>
      <c r="S25" s="706">
        <f>F25</f>
        <v>100</v>
      </c>
      <c r="T25" s="705" t="s">
        <v>14</v>
      </c>
      <c r="U25" s="706">
        <f>H25</f>
        <v>100</v>
      </c>
      <c r="V25" s="705" t="s">
        <v>14</v>
      </c>
      <c r="W25" s="706">
        <f>J25</f>
        <v>100</v>
      </c>
      <c r="X25" s="1355"/>
      <c r="Y25" s="371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7"/>
      <c r="Q26" s="1352">
        <f t="shared" ref="Q26:Q40" si="11">B26</f>
        <v>111</v>
      </c>
      <c r="R26" s="705" t="s">
        <v>14</v>
      </c>
      <c r="S26" s="706">
        <f>F26</f>
        <v>100</v>
      </c>
      <c r="T26" s="705" t="s">
        <v>14</v>
      </c>
      <c r="U26" s="706">
        <f>H26</f>
        <v>100</v>
      </c>
      <c r="V26" s="705" t="s">
        <v>14</v>
      </c>
      <c r="W26" s="706">
        <f>J26</f>
        <v>100</v>
      </c>
      <c r="X26" s="1355"/>
      <c r="Y26" s="371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7"/>
      <c r="Q27" s="1343">
        <f t="shared" si="11"/>
        <v>111</v>
      </c>
      <c r="R27" s="701" t="s">
        <v>14</v>
      </c>
      <c r="S27" s="702">
        <f>F27</f>
        <v>100</v>
      </c>
      <c r="T27" s="701" t="s">
        <v>14</v>
      </c>
      <c r="U27" s="702">
        <f>H27</f>
        <v>100</v>
      </c>
      <c r="V27" s="701" t="s">
        <v>14</v>
      </c>
      <c r="W27" s="702">
        <f>J27</f>
        <v>100</v>
      </c>
      <c r="X27" s="703"/>
      <c r="Y27" s="371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7"/>
      <c r="Q28" s="1352">
        <f t="shared" si="11"/>
        <v>111</v>
      </c>
      <c r="R28" s="705" t="s">
        <v>14</v>
      </c>
      <c r="S28" s="706">
        <f t="shared" ref="S28:S40" si="12">F28</f>
        <v>100</v>
      </c>
      <c r="T28" s="705" t="s">
        <v>14</v>
      </c>
      <c r="U28" s="706">
        <f t="shared" ref="U28:U40" si="13">H28</f>
        <v>100</v>
      </c>
      <c r="V28" s="705" t="s">
        <v>14</v>
      </c>
      <c r="W28" s="706">
        <f t="shared" ref="W28:W40" si="14">J28</f>
        <v>100</v>
      </c>
      <c r="X28" s="1355"/>
      <c r="Y28" s="3717"/>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0" t="s">
        <v>1694</v>
      </c>
      <c r="Q29" s="1352" t="str">
        <f t="shared" si="11"/>
        <v>建筑类型</v>
      </c>
      <c r="R29" s="705" t="s">
        <v>14</v>
      </c>
      <c r="S29" s="706">
        <f t="shared" si="12"/>
        <v>100</v>
      </c>
      <c r="T29" s="705" t="s">
        <v>14</v>
      </c>
      <c r="U29" s="706">
        <f t="shared" si="13"/>
        <v>100</v>
      </c>
      <c r="V29" s="705" t="s">
        <v>14</v>
      </c>
      <c r="W29" s="706">
        <f t="shared" si="14"/>
        <v>100</v>
      </c>
      <c r="X29" s="1355"/>
      <c r="Y29" s="3721"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1"/>
      <c r="Q30" s="707" t="str">
        <f t="shared" si="11"/>
        <v>项目建筑规模</v>
      </c>
      <c r="R30" s="708" t="s">
        <v>14</v>
      </c>
      <c r="S30" s="709" t="e">
        <f t="shared" si="12"/>
        <v>#N/A</v>
      </c>
      <c r="T30" s="708" t="s">
        <v>14</v>
      </c>
      <c r="U30" s="709" t="e">
        <f t="shared" si="13"/>
        <v>#N/A</v>
      </c>
      <c r="V30" s="708" t="s">
        <v>14</v>
      </c>
      <c r="W30" s="709" t="e">
        <f t="shared" si="14"/>
        <v>#N/A</v>
      </c>
      <c r="X30" s="710"/>
      <c r="Y30" s="3721"/>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1"/>
      <c r="Q31" s="1352" t="str">
        <f t="shared" si="11"/>
        <v>建筑结构</v>
      </c>
      <c r="R31" s="705" t="s">
        <v>14</v>
      </c>
      <c r="S31" s="706">
        <f t="shared" si="12"/>
        <v>100</v>
      </c>
      <c r="T31" s="705" t="s">
        <v>14</v>
      </c>
      <c r="U31" s="706">
        <f t="shared" si="13"/>
        <v>100</v>
      </c>
      <c r="V31" s="705" t="s">
        <v>14</v>
      </c>
      <c r="W31" s="706">
        <f t="shared" si="14"/>
        <v>100</v>
      </c>
      <c r="X31" s="1355"/>
      <c r="Y31" s="3721"/>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1"/>
      <c r="Q32" s="1352" t="str">
        <f t="shared" si="11"/>
        <v>公共部分装修</v>
      </c>
      <c r="R32" s="705" t="s">
        <v>14</v>
      </c>
      <c r="S32" s="706">
        <f t="shared" si="12"/>
        <v>100</v>
      </c>
      <c r="T32" s="705" t="s">
        <v>14</v>
      </c>
      <c r="U32" s="706">
        <f t="shared" si="13"/>
        <v>100</v>
      </c>
      <c r="V32" s="705" t="s">
        <v>14</v>
      </c>
      <c r="W32" s="706">
        <f t="shared" si="14"/>
        <v>100</v>
      </c>
      <c r="X32" s="1355"/>
      <c r="Y32" s="3721"/>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1"/>
      <c r="Q33" s="1352" t="str">
        <f t="shared" si="11"/>
        <v>成新度</v>
      </c>
      <c r="R33" s="705" t="s">
        <v>14</v>
      </c>
      <c r="S33" s="706" t="e">
        <f t="shared" si="12"/>
        <v>#N/A</v>
      </c>
      <c r="T33" s="705" t="s">
        <v>14</v>
      </c>
      <c r="U33" s="706" t="e">
        <f t="shared" si="13"/>
        <v>#N/A</v>
      </c>
      <c r="V33" s="705" t="s">
        <v>14</v>
      </c>
      <c r="W33" s="706" t="e">
        <f t="shared" si="14"/>
        <v>#N/A</v>
      </c>
      <c r="X33" s="1355"/>
      <c r="Y33" s="3721"/>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1"/>
      <c r="Q34" s="1343" t="str">
        <f t="shared" si="11"/>
        <v>物业管理</v>
      </c>
      <c r="R34" s="701" t="s">
        <v>14</v>
      </c>
      <c r="S34" s="702">
        <f t="shared" si="12"/>
        <v>100</v>
      </c>
      <c r="T34" s="701" t="s">
        <v>14</v>
      </c>
      <c r="U34" s="702">
        <f t="shared" si="13"/>
        <v>100</v>
      </c>
      <c r="V34" s="701" t="s">
        <v>14</v>
      </c>
      <c r="W34" s="702">
        <f t="shared" si="14"/>
        <v>100</v>
      </c>
      <c r="X34" s="703"/>
      <c r="Y34" s="3721"/>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1" t="s">
        <v>1694</v>
      </c>
      <c r="Q35" s="1352" t="str">
        <f t="shared" si="11"/>
        <v>市政基础设施</v>
      </c>
      <c r="R35" s="705" t="s">
        <v>14</v>
      </c>
      <c r="S35" s="706">
        <f t="shared" si="12"/>
        <v>100</v>
      </c>
      <c r="T35" s="705" t="s">
        <v>14</v>
      </c>
      <c r="U35" s="706">
        <f t="shared" si="13"/>
        <v>100</v>
      </c>
      <c r="V35" s="705" t="s">
        <v>14</v>
      </c>
      <c r="W35" s="706">
        <f t="shared" si="14"/>
        <v>100</v>
      </c>
      <c r="X35" s="1355"/>
      <c r="Y35" s="3721"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1"/>
      <c r="Q36" s="1352" t="str">
        <f t="shared" si="11"/>
        <v>内部装修</v>
      </c>
      <c r="R36" s="705" t="s">
        <v>14</v>
      </c>
      <c r="S36" s="706">
        <f t="shared" si="12"/>
        <v>100</v>
      </c>
      <c r="T36" s="705" t="s">
        <v>14</v>
      </c>
      <c r="U36" s="706">
        <f t="shared" si="13"/>
        <v>100</v>
      </c>
      <c r="V36" s="705" t="s">
        <v>14</v>
      </c>
      <c r="W36" s="706">
        <f t="shared" si="14"/>
        <v>100</v>
      </c>
      <c r="X36" s="1355"/>
      <c r="Y36" s="3721"/>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1"/>
      <c r="Q37" s="1352" t="str">
        <f t="shared" si="11"/>
        <v>内部装修状况</v>
      </c>
      <c r="R37" s="705" t="s">
        <v>14</v>
      </c>
      <c r="S37" s="706">
        <f t="shared" si="12"/>
        <v>100</v>
      </c>
      <c r="T37" s="705" t="s">
        <v>14</v>
      </c>
      <c r="U37" s="706">
        <f t="shared" si="13"/>
        <v>100</v>
      </c>
      <c r="V37" s="705" t="s">
        <v>14</v>
      </c>
      <c r="W37" s="706">
        <f t="shared" si="14"/>
        <v>100</v>
      </c>
      <c r="X37" s="1355"/>
      <c r="Y37" s="372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1"/>
      <c r="Q38" s="707">
        <f t="shared" si="11"/>
        <v>111</v>
      </c>
      <c r="R38" s="708" t="s">
        <v>14</v>
      </c>
      <c r="S38" s="709">
        <f t="shared" si="12"/>
        <v>100</v>
      </c>
      <c r="T38" s="708" t="s">
        <v>14</v>
      </c>
      <c r="U38" s="709">
        <f t="shared" si="13"/>
        <v>100</v>
      </c>
      <c r="V38" s="708" t="s">
        <v>14</v>
      </c>
      <c r="W38" s="709">
        <f t="shared" si="14"/>
        <v>100</v>
      </c>
      <c r="X38" s="710"/>
      <c r="Y38" s="372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1"/>
      <c r="Q39" s="1352">
        <f t="shared" si="11"/>
        <v>111</v>
      </c>
      <c r="R39" s="705" t="s">
        <v>14</v>
      </c>
      <c r="S39" s="706">
        <f t="shared" si="12"/>
        <v>100</v>
      </c>
      <c r="T39" s="705" t="s">
        <v>14</v>
      </c>
      <c r="U39" s="706">
        <f t="shared" si="13"/>
        <v>100</v>
      </c>
      <c r="V39" s="705" t="s">
        <v>14</v>
      </c>
      <c r="W39" s="706">
        <f t="shared" si="14"/>
        <v>100</v>
      </c>
      <c r="X39" s="1355"/>
      <c r="Y39" s="372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2"/>
      <c r="Q40" s="1352">
        <f t="shared" si="11"/>
        <v>111</v>
      </c>
      <c r="R40" s="705" t="s">
        <v>14</v>
      </c>
      <c r="S40" s="706">
        <f t="shared" si="12"/>
        <v>100</v>
      </c>
      <c r="T40" s="705" t="s">
        <v>14</v>
      </c>
      <c r="U40" s="706">
        <f t="shared" si="13"/>
        <v>100</v>
      </c>
      <c r="V40" s="705" t="s">
        <v>14</v>
      </c>
      <c r="W40" s="706">
        <f t="shared" si="14"/>
        <v>100</v>
      </c>
      <c r="X40" s="1355"/>
      <c r="Y40" s="3722"/>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714" t="str">
        <f>A41</f>
        <v>成交单价（元/平方米）</v>
      </c>
      <c r="Q41" s="3714"/>
      <c r="R41" s="3715">
        <f>E41</f>
        <v>0</v>
      </c>
      <c r="S41" s="3715"/>
      <c r="T41" s="3715">
        <f>G41</f>
        <v>0</v>
      </c>
      <c r="U41" s="3715"/>
      <c r="V41" s="3715">
        <f>I41</f>
        <v>0</v>
      </c>
      <c r="W41" s="3715"/>
      <c r="X41" s="690"/>
      <c r="Y41" s="712"/>
      <c r="Z41" s="690"/>
      <c r="AA41" s="690"/>
      <c r="AB41" s="690"/>
      <c r="AC41" s="690"/>
    </row>
    <row r="42" spans="1:29" ht="15.75" thickBot="1">
      <c r="A42" s="437" t="s">
        <v>1791</v>
      </c>
      <c r="B42" s="438"/>
      <c r="C42" s="1160" t="e">
        <f>R43</f>
        <v>#DIV/0!</v>
      </c>
      <c r="D42" s="2317" t="s">
        <v>2134</v>
      </c>
      <c r="E42" s="1161" t="e">
        <f>R42</f>
        <v>#DIV/0!</v>
      </c>
      <c r="F42" s="2318"/>
      <c r="G42" s="1160" t="e">
        <f>T42</f>
        <v>#DIV/0!</v>
      </c>
      <c r="H42" s="2318"/>
      <c r="I42" s="1161" t="e">
        <f>V42</f>
        <v>#DIV/0!</v>
      </c>
      <c r="J42" s="2318"/>
      <c r="K42" s="2320">
        <f>F42+H42+J42</f>
        <v>0</v>
      </c>
      <c r="L42" s="926"/>
      <c r="M42" s="927"/>
      <c r="N42" s="914"/>
      <c r="O42" s="927"/>
      <c r="P42" s="3714" t="str">
        <f>A42</f>
        <v>比较价值（元/平方米）</v>
      </c>
      <c r="Q42" s="3714"/>
      <c r="R42" s="3715" t="e">
        <f>IF(F1="售价",ROUND(PRODUCT(R41,AA7:AA40),0),ROUND(PRODUCT(R41,AA7:AA40),1))</f>
        <v>#DIV/0!</v>
      </c>
      <c r="S42" s="3715"/>
      <c r="T42" s="3715" t="e">
        <f>IF(F1="售价",ROUND(PRODUCT(T41,AB7:AB40),0),ROUND(PRODUCT(T41,AB7:AB40),1))</f>
        <v>#DIV/0!</v>
      </c>
      <c r="U42" s="3715"/>
      <c r="V42" s="3715" t="e">
        <f>IF(F1="售价",ROUND(PRODUCT(V41,AC7:AC40),0),ROUND(PRODUCT(V41,AC7:AC40),1))</f>
        <v>#DIV/0!</v>
      </c>
      <c r="W42" s="3715"/>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711" t="str">
        <f>A43</f>
        <v>估价对象XX用房的比较价值（楼面单价，元/平方米）</v>
      </c>
      <c r="Q43" s="3712"/>
      <c r="R43" s="3713" t="e">
        <f>IF(F1="售价",ROUND(IF(D42="简单平均",AVERAGE(R42:V42),R42*F42+T42*H42+V42*J42),0),ROUND(IF(D42="简单平均",AVERAGE(R42:V42),R42*F42+T42*H42+V42*J42),1))</f>
        <v>#DIV/0!</v>
      </c>
      <c r="S43" s="3713"/>
      <c r="T43" s="3713"/>
      <c r="U43" s="3713"/>
      <c r="V43" s="3713"/>
      <c r="W43" s="3713"/>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9"/>
      <c r="O54" s="2770"/>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3333</v>
      </c>
      <c r="C1" s="1224" t="s">
        <v>1660</v>
      </c>
      <c r="D1" s="1225"/>
      <c r="E1" s="3432"/>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1767</v>
      </c>
      <c r="B4" s="356"/>
      <c r="C4" s="3697" t="s">
        <v>1768</v>
      </c>
      <c r="D4" s="3698"/>
      <c r="E4" s="3699" t="s">
        <v>1769</v>
      </c>
      <c r="F4" s="3700"/>
      <c r="G4" s="3697" t="s">
        <v>1770</v>
      </c>
      <c r="H4" s="3698"/>
      <c r="I4" s="3697" t="s">
        <v>1771</v>
      </c>
      <c r="J4" s="3698"/>
      <c r="K4" s="559" t="s">
        <v>1772</v>
      </c>
      <c r="L4" s="2714"/>
      <c r="M4" s="2715"/>
      <c r="N4" s="2715"/>
      <c r="O4" s="2715"/>
      <c r="P4" s="3701" t="s">
        <v>1773</v>
      </c>
      <c r="Q4" s="3702"/>
      <c r="R4" s="3684" t="s">
        <v>1769</v>
      </c>
      <c r="S4" s="3685"/>
      <c r="T4" s="3684" t="s">
        <v>1770</v>
      </c>
      <c r="U4" s="3685"/>
      <c r="V4" s="3709" t="s">
        <v>1771</v>
      </c>
      <c r="W4" s="3709"/>
      <c r="X4" s="1355"/>
      <c r="Y4" s="3684" t="s">
        <v>1773</v>
      </c>
      <c r="Z4" s="3685"/>
      <c r="AA4" s="3679" t="s">
        <v>1769</v>
      </c>
      <c r="AB4" s="3680" t="s">
        <v>1770</v>
      </c>
      <c r="AC4" s="3679" t="s">
        <v>1771</v>
      </c>
    </row>
    <row r="5" spans="1:29" ht="15">
      <c r="A5" s="358"/>
      <c r="B5" s="359"/>
      <c r="C5" s="3690" t="s">
        <v>1671</v>
      </c>
      <c r="D5" s="3691"/>
      <c r="E5" s="3688" t="s">
        <v>1672</v>
      </c>
      <c r="F5" s="3689"/>
      <c r="G5" s="3690" t="s">
        <v>1673</v>
      </c>
      <c r="H5" s="3691"/>
      <c r="I5" s="3690" t="s">
        <v>1674</v>
      </c>
      <c r="J5" s="3691"/>
      <c r="K5" s="559"/>
      <c r="L5" s="2714"/>
      <c r="M5" s="2715"/>
      <c r="N5" s="2715"/>
      <c r="O5" s="2715"/>
      <c r="P5" s="3703"/>
      <c r="Q5" s="3704"/>
      <c r="R5" s="3686"/>
      <c r="S5" s="3687"/>
      <c r="T5" s="3686"/>
      <c r="U5" s="3687"/>
      <c r="V5" s="3709"/>
      <c r="W5" s="3709"/>
      <c r="X5" s="1355"/>
      <c r="Y5" s="3686"/>
      <c r="Z5" s="3687"/>
      <c r="AA5" s="3680"/>
      <c r="AB5" s="3680"/>
      <c r="AC5" s="3680"/>
    </row>
    <row r="6" spans="1:29" ht="15.75" thickBot="1">
      <c r="A6" s="360"/>
      <c r="B6" s="361"/>
      <c r="C6" s="3692" t="s">
        <v>1675</v>
      </c>
      <c r="D6" s="3693"/>
      <c r="E6" s="3694" t="s">
        <v>1675</v>
      </c>
      <c r="F6" s="3695"/>
      <c r="G6" s="3692" t="s">
        <v>1675</v>
      </c>
      <c r="H6" s="3693"/>
      <c r="I6" s="3692" t="s">
        <v>1675</v>
      </c>
      <c r="J6" s="3693"/>
      <c r="K6" s="559" t="s">
        <v>1676</v>
      </c>
      <c r="L6" s="2714"/>
      <c r="M6" s="2715"/>
      <c r="N6" s="2715"/>
      <c r="O6" s="2715"/>
      <c r="P6" s="3705"/>
      <c r="Q6" s="3706"/>
      <c r="R6" s="3686"/>
      <c r="S6" s="3687"/>
      <c r="T6" s="3707"/>
      <c r="U6" s="3708"/>
      <c r="V6" s="3709"/>
      <c r="W6" s="3709"/>
      <c r="X6" s="1355"/>
      <c r="Y6" s="3707"/>
      <c r="Z6" s="3708"/>
      <c r="AA6" s="3681"/>
      <c r="AB6" s="3681"/>
      <c r="AC6" s="3681"/>
    </row>
    <row r="7" spans="1:29" s="108" customFormat="1" ht="15.75" thickBot="1">
      <c r="A7" s="362" t="s">
        <v>1677</v>
      </c>
      <c r="B7" s="363"/>
      <c r="C7" s="364">
        <f>'数据-取费表'!B2</f>
        <v>45131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2" t="s">
        <v>1678</v>
      </c>
      <c r="Q7" s="3710"/>
      <c r="R7" s="701" t="s">
        <v>14</v>
      </c>
      <c r="S7" s="702">
        <f t="shared" ref="S7:S14" si="0">F7</f>
        <v>0</v>
      </c>
      <c r="T7" s="701" t="s">
        <v>14</v>
      </c>
      <c r="U7" s="702">
        <f t="shared" ref="U7:U14" si="1">H7</f>
        <v>0</v>
      </c>
      <c r="V7" s="701" t="s">
        <v>14</v>
      </c>
      <c r="W7" s="702">
        <f t="shared" ref="W7:W14" si="2">J7</f>
        <v>0</v>
      </c>
      <c r="X7" s="703"/>
      <c r="Y7" s="3682" t="s">
        <v>1678</v>
      </c>
      <c r="Z7" s="3683"/>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2" t="s">
        <v>1681</v>
      </c>
      <c r="Q8" s="3683"/>
      <c r="R8" s="701" t="s">
        <v>14</v>
      </c>
      <c r="S8" s="702">
        <f t="shared" si="0"/>
        <v>100</v>
      </c>
      <c r="T8" s="701" t="s">
        <v>14</v>
      </c>
      <c r="U8" s="702">
        <f t="shared" si="1"/>
        <v>100</v>
      </c>
      <c r="V8" s="701" t="s">
        <v>14</v>
      </c>
      <c r="W8" s="702">
        <f t="shared" si="2"/>
        <v>100</v>
      </c>
      <c r="X8" s="703"/>
      <c r="Y8" s="3682" t="s">
        <v>1681</v>
      </c>
      <c r="Z8" s="3683"/>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4" t="s">
        <v>1684</v>
      </c>
      <c r="Q9" s="1343" t="str">
        <f t="shared" ref="Q9:Q14" si="6">B9</f>
        <v>用途</v>
      </c>
      <c r="R9" s="701" t="s">
        <v>14</v>
      </c>
      <c r="S9" s="702">
        <f t="shared" si="0"/>
        <v>100</v>
      </c>
      <c r="T9" s="701" t="s">
        <v>14</v>
      </c>
      <c r="U9" s="702">
        <f t="shared" si="1"/>
        <v>100</v>
      </c>
      <c r="V9" s="701" t="s">
        <v>14</v>
      </c>
      <c r="W9" s="702">
        <f t="shared" si="2"/>
        <v>100</v>
      </c>
      <c r="X9" s="703"/>
      <c r="Y9" s="3626" t="s">
        <v>1685</v>
      </c>
      <c r="Z9" s="52" t="str">
        <f t="shared" ref="Z9:Z14" si="7">Q9</f>
        <v>用途</v>
      </c>
      <c r="AA9" s="704">
        <f t="shared" si="3"/>
        <v>1</v>
      </c>
      <c r="AB9" s="704">
        <f t="shared" si="4"/>
        <v>1</v>
      </c>
      <c r="AC9" s="704">
        <f t="shared" si="5"/>
        <v>1</v>
      </c>
    </row>
    <row r="10" spans="1:29" s="378" customFormat="1" ht="27">
      <c r="A10" s="589"/>
      <c r="B10" s="590" t="s">
        <v>1686</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4"/>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4"/>
      <c r="Q11" s="1343">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85.5">
      <c r="A14" s="355" t="s">
        <v>1688</v>
      </c>
      <c r="B14" s="577" t="s">
        <v>1831</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6" t="s">
        <v>1689</v>
      </c>
      <c r="Q14" s="1352" t="str">
        <f t="shared" si="6"/>
        <v>交通便捷度</v>
      </c>
      <c r="R14" s="705" t="s">
        <v>14</v>
      </c>
      <c r="S14" s="706">
        <f t="shared" si="0"/>
        <v>100</v>
      </c>
      <c r="T14" s="705" t="s">
        <v>14</v>
      </c>
      <c r="U14" s="706">
        <f t="shared" si="1"/>
        <v>100</v>
      </c>
      <c r="V14" s="705" t="s">
        <v>14</v>
      </c>
      <c r="W14" s="706">
        <f t="shared" si="2"/>
        <v>100</v>
      </c>
      <c r="X14" s="1355"/>
      <c r="Y14" s="3716"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17"/>
      <c r="Q15" s="1352"/>
      <c r="R15" s="705"/>
      <c r="S15" s="706"/>
      <c r="T15" s="705"/>
      <c r="U15" s="706"/>
      <c r="V15" s="705"/>
      <c r="W15" s="706"/>
      <c r="X15" s="1355"/>
      <c r="Y15" s="3717"/>
      <c r="Z15" s="1356"/>
      <c r="AA15" s="1353">
        <v>1</v>
      </c>
      <c r="AB15" s="1353">
        <v>1</v>
      </c>
      <c r="AC15" s="1353">
        <v>1</v>
      </c>
    </row>
    <row r="16" spans="1:29" ht="42.75">
      <c r="A16" s="358"/>
      <c r="B16" s="579" t="s">
        <v>1810</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7"/>
      <c r="Q16" s="1352" t="str">
        <f>B16</f>
        <v>公共配套设施</v>
      </c>
      <c r="R16" s="705" t="s">
        <v>14</v>
      </c>
      <c r="S16" s="706">
        <f>F16</f>
        <v>100</v>
      </c>
      <c r="T16" s="705" t="s">
        <v>14</v>
      </c>
      <c r="U16" s="706">
        <f>H16</f>
        <v>100</v>
      </c>
      <c r="V16" s="705" t="s">
        <v>14</v>
      </c>
      <c r="W16" s="706">
        <f>J16</f>
        <v>100</v>
      </c>
      <c r="X16" s="1355"/>
      <c r="Y16" s="371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17"/>
      <c r="Q17" s="1352"/>
      <c r="R17" s="705"/>
      <c r="S17" s="706"/>
      <c r="T17" s="705"/>
      <c r="U17" s="706"/>
      <c r="V17" s="705"/>
      <c r="W17" s="706"/>
      <c r="X17" s="1355"/>
      <c r="Y17" s="3717"/>
      <c r="Z17" s="1356"/>
      <c r="AA17" s="1353">
        <v>1</v>
      </c>
      <c r="AB17" s="1353">
        <v>1</v>
      </c>
      <c r="AC17" s="1353">
        <v>1</v>
      </c>
    </row>
    <row r="18" spans="1:29" ht="28.5">
      <c r="A18" s="358"/>
      <c r="B18" s="581" t="s">
        <v>1811</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7"/>
      <c r="Q18" s="1352" t="str">
        <f>B18</f>
        <v>基础设施水平</v>
      </c>
      <c r="R18" s="705" t="s">
        <v>14</v>
      </c>
      <c r="S18" s="706">
        <f>F18</f>
        <v>100</v>
      </c>
      <c r="T18" s="705" t="s">
        <v>14</v>
      </c>
      <c r="U18" s="706">
        <f>H18</f>
        <v>100</v>
      </c>
      <c r="V18" s="705" t="s">
        <v>14</v>
      </c>
      <c r="W18" s="706">
        <f>J18</f>
        <v>100</v>
      </c>
      <c r="X18" s="1355"/>
      <c r="Y18" s="371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17"/>
      <c r="Q19" s="1352"/>
      <c r="R19" s="705"/>
      <c r="S19" s="706"/>
      <c r="T19" s="705"/>
      <c r="U19" s="706"/>
      <c r="V19" s="705"/>
      <c r="W19" s="706"/>
      <c r="X19" s="1355"/>
      <c r="Y19" s="3717"/>
      <c r="Z19" s="1356"/>
      <c r="AA19" s="1353">
        <v>1</v>
      </c>
      <c r="AB19" s="1353">
        <v>1</v>
      </c>
      <c r="AC19" s="1353">
        <v>1</v>
      </c>
    </row>
    <row r="20" spans="1:29" ht="57">
      <c r="A20" s="358"/>
      <c r="B20" s="579" t="s">
        <v>1832</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7"/>
      <c r="Q20" s="1352" t="str">
        <f>B20</f>
        <v>自然及人文环境</v>
      </c>
      <c r="R20" s="705" t="s">
        <v>14</v>
      </c>
      <c r="S20" s="706">
        <f>F20</f>
        <v>100</v>
      </c>
      <c r="T20" s="705" t="s">
        <v>14</v>
      </c>
      <c r="U20" s="706">
        <f>H20</f>
        <v>100</v>
      </c>
      <c r="V20" s="705" t="s">
        <v>14</v>
      </c>
      <c r="W20" s="706">
        <f>J20</f>
        <v>100</v>
      </c>
      <c r="X20" s="1355"/>
      <c r="Y20" s="371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17"/>
      <c r="Q21" s="1352"/>
      <c r="R21" s="705"/>
      <c r="S21" s="706"/>
      <c r="T21" s="705"/>
      <c r="U21" s="706"/>
      <c r="V21" s="705"/>
      <c r="W21" s="706"/>
      <c r="X21" s="1355"/>
      <c r="Y21" s="3717"/>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7"/>
      <c r="Q22" s="1352" t="str">
        <f>B22</f>
        <v>楼层</v>
      </c>
      <c r="R22" s="705" t="s">
        <v>14</v>
      </c>
      <c r="S22" s="706">
        <f>F22</f>
        <v>100</v>
      </c>
      <c r="T22" s="705" t="s">
        <v>14</v>
      </c>
      <c r="U22" s="706">
        <f>H22</f>
        <v>100</v>
      </c>
      <c r="V22" s="705" t="s">
        <v>14</v>
      </c>
      <c r="W22" s="706">
        <f>J22</f>
        <v>100</v>
      </c>
      <c r="X22" s="1355"/>
      <c r="Y22" s="371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7"/>
      <c r="Q23" s="1352">
        <f>B23</f>
        <v>111</v>
      </c>
      <c r="R23" s="705" t="s">
        <v>14</v>
      </c>
      <c r="S23" s="706">
        <f>F23</f>
        <v>100</v>
      </c>
      <c r="T23" s="705" t="s">
        <v>14</v>
      </c>
      <c r="U23" s="706">
        <f>H23</f>
        <v>100</v>
      </c>
      <c r="V23" s="705" t="s">
        <v>14</v>
      </c>
      <c r="W23" s="706">
        <f>J23</f>
        <v>100</v>
      </c>
      <c r="X23" s="1355"/>
      <c r="Y23" s="371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7"/>
      <c r="Q24" s="1352">
        <f t="shared" ref="Q24:Q36" si="11">B24</f>
        <v>111</v>
      </c>
      <c r="R24" s="705" t="s">
        <v>14</v>
      </c>
      <c r="S24" s="706">
        <f>F24</f>
        <v>100</v>
      </c>
      <c r="T24" s="705" t="s">
        <v>14</v>
      </c>
      <c r="U24" s="706">
        <f>H24</f>
        <v>100</v>
      </c>
      <c r="V24" s="705" t="s">
        <v>14</v>
      </c>
      <c r="W24" s="706">
        <f>J24</f>
        <v>100</v>
      </c>
      <c r="X24" s="1355"/>
      <c r="Y24" s="371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7"/>
      <c r="Q25" s="1343">
        <f t="shared" si="11"/>
        <v>111</v>
      </c>
      <c r="R25" s="701" t="s">
        <v>14</v>
      </c>
      <c r="S25" s="702">
        <f>F25</f>
        <v>100</v>
      </c>
      <c r="T25" s="701" t="s">
        <v>14</v>
      </c>
      <c r="U25" s="702">
        <f>H25</f>
        <v>100</v>
      </c>
      <c r="V25" s="701" t="s">
        <v>14</v>
      </c>
      <c r="W25" s="702">
        <f>J25</f>
        <v>100</v>
      </c>
      <c r="X25" s="703"/>
      <c r="Y25" s="3717"/>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0"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1"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1"/>
      <c r="Q27" s="707" t="str">
        <f t="shared" si="11"/>
        <v>项目停车位配比</v>
      </c>
      <c r="R27" s="708" t="s">
        <v>14</v>
      </c>
      <c r="S27" s="709">
        <f t="shared" si="12"/>
        <v>100</v>
      </c>
      <c r="T27" s="708" t="s">
        <v>14</v>
      </c>
      <c r="U27" s="709">
        <f t="shared" si="13"/>
        <v>100</v>
      </c>
      <c r="V27" s="708" t="s">
        <v>14</v>
      </c>
      <c r="W27" s="709">
        <f t="shared" si="14"/>
        <v>100</v>
      </c>
      <c r="X27" s="710"/>
      <c r="Y27" s="3721"/>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1"/>
      <c r="Q28" s="1352" t="str">
        <f t="shared" si="11"/>
        <v>公共部分装修</v>
      </c>
      <c r="R28" s="705" t="s">
        <v>14</v>
      </c>
      <c r="S28" s="706">
        <f t="shared" si="12"/>
        <v>100</v>
      </c>
      <c r="T28" s="705" t="s">
        <v>14</v>
      </c>
      <c r="U28" s="706">
        <f t="shared" si="13"/>
        <v>100</v>
      </c>
      <c r="V28" s="705" t="s">
        <v>14</v>
      </c>
      <c r="W28" s="706">
        <f t="shared" si="14"/>
        <v>100</v>
      </c>
      <c r="X28" s="1355"/>
      <c r="Y28" s="3721"/>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1"/>
      <c r="Q29" s="1352" t="str">
        <f t="shared" si="11"/>
        <v>成新率</v>
      </c>
      <c r="R29" s="705" t="s">
        <v>14</v>
      </c>
      <c r="S29" s="706" t="e">
        <f t="shared" si="12"/>
        <v>#N/A</v>
      </c>
      <c r="T29" s="705" t="s">
        <v>14</v>
      </c>
      <c r="U29" s="706" t="e">
        <f t="shared" si="13"/>
        <v>#N/A</v>
      </c>
      <c r="V29" s="705" t="s">
        <v>14</v>
      </c>
      <c r="W29" s="706" t="e">
        <f t="shared" si="14"/>
        <v>#N/A</v>
      </c>
      <c r="X29" s="1355"/>
      <c r="Y29" s="3721"/>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1"/>
      <c r="Q30" s="1352" t="str">
        <f t="shared" si="11"/>
        <v>物业等级</v>
      </c>
      <c r="R30" s="705" t="s">
        <v>14</v>
      </c>
      <c r="S30" s="706">
        <f t="shared" si="12"/>
        <v>100</v>
      </c>
      <c r="T30" s="705" t="s">
        <v>14</v>
      </c>
      <c r="U30" s="706">
        <f t="shared" si="13"/>
        <v>100</v>
      </c>
      <c r="V30" s="705" t="s">
        <v>14</v>
      </c>
      <c r="W30" s="706">
        <f t="shared" si="14"/>
        <v>100</v>
      </c>
      <c r="X30" s="1355"/>
      <c r="Y30" s="3721"/>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1"/>
      <c r="Q31" s="1343" t="str">
        <f t="shared" si="11"/>
        <v>停车位面积</v>
      </c>
      <c r="R31" s="701" t="s">
        <v>14</v>
      </c>
      <c r="S31" s="702" t="e">
        <f t="shared" si="12"/>
        <v>#N/A</v>
      </c>
      <c r="T31" s="701" t="s">
        <v>14</v>
      </c>
      <c r="U31" s="702" t="e">
        <f t="shared" si="13"/>
        <v>#N/A</v>
      </c>
      <c r="V31" s="701" t="s">
        <v>14</v>
      </c>
      <c r="W31" s="702" t="e">
        <f t="shared" si="14"/>
        <v>#N/A</v>
      </c>
      <c r="X31" s="703"/>
      <c r="Y31" s="3721"/>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1" t="s">
        <v>1694</v>
      </c>
      <c r="Q32" s="1352" t="str">
        <f t="shared" si="11"/>
        <v>车位类型</v>
      </c>
      <c r="R32" s="705" t="s">
        <v>14</v>
      </c>
      <c r="S32" s="706">
        <f t="shared" si="12"/>
        <v>100</v>
      </c>
      <c r="T32" s="705" t="s">
        <v>14</v>
      </c>
      <c r="U32" s="706">
        <f t="shared" si="13"/>
        <v>100</v>
      </c>
      <c r="V32" s="705" t="s">
        <v>14</v>
      </c>
      <c r="W32" s="706">
        <f t="shared" si="14"/>
        <v>100</v>
      </c>
      <c r="X32" s="1355"/>
      <c r="Y32" s="3721"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1"/>
      <c r="Q33" s="1352" t="str">
        <f t="shared" si="11"/>
        <v>是否直接入户</v>
      </c>
      <c r="R33" s="705" t="s">
        <v>14</v>
      </c>
      <c r="S33" s="706">
        <f t="shared" si="12"/>
        <v>100</v>
      </c>
      <c r="T33" s="705" t="s">
        <v>14</v>
      </c>
      <c r="U33" s="706">
        <f t="shared" si="13"/>
        <v>100</v>
      </c>
      <c r="V33" s="705" t="s">
        <v>14</v>
      </c>
      <c r="W33" s="706">
        <f t="shared" si="14"/>
        <v>100</v>
      </c>
      <c r="X33" s="1355"/>
      <c r="Y33" s="372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1"/>
      <c r="Q34" s="1352">
        <f t="shared" si="11"/>
        <v>111</v>
      </c>
      <c r="R34" s="705" t="s">
        <v>14</v>
      </c>
      <c r="S34" s="706">
        <f t="shared" si="12"/>
        <v>100</v>
      </c>
      <c r="T34" s="705" t="s">
        <v>14</v>
      </c>
      <c r="U34" s="706">
        <f t="shared" si="13"/>
        <v>100</v>
      </c>
      <c r="V34" s="705" t="s">
        <v>14</v>
      </c>
      <c r="W34" s="706">
        <f t="shared" si="14"/>
        <v>100</v>
      </c>
      <c r="X34" s="1355"/>
      <c r="Y34" s="372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1"/>
      <c r="Q35" s="707">
        <f t="shared" si="11"/>
        <v>111</v>
      </c>
      <c r="R35" s="708" t="s">
        <v>14</v>
      </c>
      <c r="S35" s="709">
        <f t="shared" si="12"/>
        <v>100</v>
      </c>
      <c r="T35" s="708" t="s">
        <v>14</v>
      </c>
      <c r="U35" s="709">
        <f t="shared" si="13"/>
        <v>100</v>
      </c>
      <c r="V35" s="708" t="s">
        <v>14</v>
      </c>
      <c r="W35" s="709">
        <f t="shared" si="14"/>
        <v>100</v>
      </c>
      <c r="X35" s="710"/>
      <c r="Y35" s="372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1"/>
      <c r="Q36" s="1352">
        <f t="shared" si="11"/>
        <v>111</v>
      </c>
      <c r="R36" s="705" t="s">
        <v>14</v>
      </c>
      <c r="S36" s="706">
        <f t="shared" si="12"/>
        <v>100</v>
      </c>
      <c r="T36" s="705" t="s">
        <v>14</v>
      </c>
      <c r="U36" s="706">
        <f t="shared" si="13"/>
        <v>100</v>
      </c>
      <c r="V36" s="705" t="s">
        <v>14</v>
      </c>
      <c r="W36" s="706">
        <f t="shared" si="14"/>
        <v>100</v>
      </c>
      <c r="X36" s="1355"/>
      <c r="Y36" s="3721"/>
      <c r="Z36" s="1356">
        <f t="shared" si="15"/>
        <v>111</v>
      </c>
      <c r="AA36" s="1353">
        <f t="shared" si="3"/>
        <v>1</v>
      </c>
      <c r="AB36" s="1353">
        <f t="shared" si="4"/>
        <v>1</v>
      </c>
      <c r="AC36" s="1353">
        <f t="shared" si="5"/>
        <v>1</v>
      </c>
    </row>
    <row r="37" spans="1:29" ht="15">
      <c r="A37" s="430" t="s">
        <v>1842</v>
      </c>
      <c r="B37" s="1973" t="s">
        <v>3354</v>
      </c>
      <c r="C37" s="1154" t="s">
        <v>0</v>
      </c>
      <c r="D37" s="1155"/>
      <c r="E37" s="1156"/>
      <c r="F37" s="1157"/>
      <c r="G37" s="1158"/>
      <c r="H37" s="1159"/>
      <c r="I37" s="1156"/>
      <c r="J37" s="1159"/>
      <c r="K37" s="568"/>
      <c r="L37" s="2723"/>
      <c r="M37" s="2724"/>
      <c r="N37" s="2715"/>
      <c r="O37" s="2724"/>
      <c r="P37" s="3714" t="str">
        <f>A37</f>
        <v>成交单价</v>
      </c>
      <c r="Q37" s="3714"/>
      <c r="R37" s="3715">
        <f>E37</f>
        <v>0</v>
      </c>
      <c r="S37" s="3715"/>
      <c r="T37" s="3715">
        <f>G37</f>
        <v>0</v>
      </c>
      <c r="U37" s="3715"/>
      <c r="V37" s="3715">
        <f>I37</f>
        <v>0</v>
      </c>
      <c r="W37" s="3715"/>
      <c r="X37" s="690"/>
      <c r="Y37" s="712"/>
      <c r="Z37" s="690"/>
      <c r="AA37" s="690"/>
      <c r="AB37" s="690"/>
      <c r="AC37" s="690"/>
    </row>
    <row r="38" spans="1:29" ht="15.75" thickBot="1">
      <c r="A38" s="437" t="s">
        <v>1843</v>
      </c>
      <c r="B38" s="438" t="str">
        <f>B37</f>
        <v>元/平方米</v>
      </c>
      <c r="C38" s="1160" t="e">
        <f>R39</f>
        <v>#DIV/0!</v>
      </c>
      <c r="D38" s="2317" t="s">
        <v>2134</v>
      </c>
      <c r="E38" s="1161" t="e">
        <f>R38</f>
        <v>#DIV/0!</v>
      </c>
      <c r="F38" s="2318"/>
      <c r="G38" s="1160" t="e">
        <f>T38</f>
        <v>#DIV/0!</v>
      </c>
      <c r="H38" s="2318"/>
      <c r="I38" s="1161" t="e">
        <f>V38</f>
        <v>#DIV/0!</v>
      </c>
      <c r="J38" s="2318"/>
      <c r="K38" s="2320">
        <f>F38+H38+J38</f>
        <v>0</v>
      </c>
      <c r="L38" s="2723"/>
      <c r="M38" s="2724"/>
      <c r="N38" s="2724"/>
      <c r="O38" s="2724"/>
      <c r="P38" s="3714" t="str">
        <f>A38</f>
        <v>比较价值（元/平方米）</v>
      </c>
      <c r="Q38" s="3714"/>
      <c r="R38" s="3715" t="e">
        <f>IF(F1="售价",ROUND(PRODUCT(R37,AA7:AA36),0),ROUND(PRODUCT(R37,AA7:AA36),1))</f>
        <v>#DIV/0!</v>
      </c>
      <c r="S38" s="3715"/>
      <c r="T38" s="3715" t="e">
        <f>IF(F1="售价",ROUND(PRODUCT(T37,AB7:AB36),0),ROUND(PRODUCT(T37,AB7:AB36),1))</f>
        <v>#DIV/0!</v>
      </c>
      <c r="U38" s="3715"/>
      <c r="V38" s="3715" t="e">
        <f>IF(F1="售价",ROUND(PRODUCT(V37,AC7:AC36),0),ROUND(PRODUCT(V37,AC7:AC36),1))</f>
        <v>#DIV/0!</v>
      </c>
      <c r="W38" s="3715"/>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3"/>
      <c r="M39" s="2724"/>
      <c r="N39" s="2724"/>
      <c r="O39" s="2724"/>
      <c r="P39" s="3711" t="str">
        <f>A39</f>
        <v>估价对象XX用房的比较价值（楼面单价，元/平方米）</v>
      </c>
      <c r="Q39" s="3712"/>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1848</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1849</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1714</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1679</v>
      </c>
      <c r="B51" s="459"/>
      <c r="C51" s="471" t="s">
        <v>1774</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1717</v>
      </c>
      <c r="B53" s="477" t="s">
        <v>1683</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1686</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1725</v>
      </c>
      <c r="C65" s="527" t="s">
        <v>1719</v>
      </c>
      <c r="D65" s="527" t="s">
        <v>1720</v>
      </c>
      <c r="E65" s="527" t="s">
        <v>1721</v>
      </c>
      <c r="F65" s="527" t="s">
        <v>1722</v>
      </c>
      <c r="G65" s="527" t="s">
        <v>1723</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1811</v>
      </c>
      <c r="C67" s="608" t="s">
        <v>1797</v>
      </c>
      <c r="D67" s="608" t="s">
        <v>1798</v>
      </c>
      <c r="E67" s="608" t="s">
        <v>1799</v>
      </c>
      <c r="F67" s="608" t="s">
        <v>1800</v>
      </c>
      <c r="G67" s="608" t="s">
        <v>1801</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1731</v>
      </c>
      <c r="C69" s="527" t="s">
        <v>1719</v>
      </c>
      <c r="D69" s="527" t="s">
        <v>1720</v>
      </c>
      <c r="E69" s="527" t="s">
        <v>1721</v>
      </c>
      <c r="F69" s="527" t="s">
        <v>1722</v>
      </c>
      <c r="G69" s="527" t="s">
        <v>1723</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1850</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1692</v>
      </c>
      <c r="B79" s="477" t="s">
        <v>1851</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1852</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1738</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1854</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1856</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1857</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896</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897</v>
      </c>
    </row>
    <row r="6" spans="1:1" ht="18.75">
      <c r="A6" s="1482" t="s">
        <v>898</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估价对象为房地产，为所有。根据《国有土地使用证》[]，估价对象（分摊）出让国有建设用地使用权面积为5753.84平方米，建筑面积为8390.83平方米。</v>
      </c>
    </row>
    <row r="8" spans="1:1" ht="57.75">
      <c r="A8" s="1483" t="s">
        <v>899</v>
      </c>
    </row>
    <row r="9" spans="1:1" ht="18.75">
      <c r="A9" s="1482" t="s">
        <v>900</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估价对象为房地产,属开发建设的，该项目尚在开发建设中。根据《国有土地使用证》[]，估价对象（分摊）出让国有建设用地使用权面积为5753.84平方米，规划建筑面积为8390.83平方米。</v>
      </c>
    </row>
    <row r="11" spans="1:1" ht="76.5">
      <c r="A11" s="1483" t="s">
        <v>901</v>
      </c>
    </row>
    <row r="12" spans="1:1" ht="18.75">
      <c r="A12" s="1481" t="s">
        <v>902</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903</v>
      </c>
    </row>
    <row r="15" spans="1:1" ht="18">
      <c r="A15" s="1486" t="str">
        <f>TEXT(项目基本情况!D3,"yyyy年m月d日;;")&amp;IF(项目基本情况!D3=项目基本情况!B3,"（评估专业人员实地查勘之日）","")</f>
        <v>2023年7月24日（评估专业人员实地查勘之日）</v>
      </c>
    </row>
    <row r="16" spans="1:1" ht="18.75">
      <c r="A16" s="1485" t="s">
        <v>904</v>
      </c>
    </row>
    <row r="17" spans="1:1" ht="75">
      <c r="A17" s="1480" t="s">
        <v>905</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894</v>
      </c>
    </row>
    <row r="24" spans="1:1" ht="18">
      <c r="A24" s="1487" t="str">
        <f>"本次评估采用的主估价方法为"&amp;结果表!K4&amp;"和"&amp;结果表!L4&amp;"。"</f>
        <v>本次评估采用的主估价方法为成本法和收益法。</v>
      </c>
    </row>
    <row r="25" spans="1:1" ht="18">
      <c r="A25" s="1487"/>
    </row>
    <row r="26" spans="1:1" ht="18.75">
      <c r="A26" s="1488" t="s">
        <v>895</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3334</v>
      </c>
      <c r="C1" s="1224" t="s">
        <v>1660</v>
      </c>
      <c r="D1" s="1225"/>
      <c r="E1" s="3432"/>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1767</v>
      </c>
      <c r="B4" s="356"/>
      <c r="C4" s="3697" t="s">
        <v>1768</v>
      </c>
      <c r="D4" s="3698"/>
      <c r="E4" s="3699" t="s">
        <v>1769</v>
      </c>
      <c r="F4" s="3700"/>
      <c r="G4" s="3697" t="s">
        <v>1770</v>
      </c>
      <c r="H4" s="3698"/>
      <c r="I4" s="3697" t="s">
        <v>1771</v>
      </c>
      <c r="J4" s="3698"/>
      <c r="K4" s="559" t="s">
        <v>1772</v>
      </c>
      <c r="L4" s="2714"/>
      <c r="M4" s="2715"/>
      <c r="N4" s="2715"/>
      <c r="O4" s="2715"/>
      <c r="P4" s="3701" t="s">
        <v>1773</v>
      </c>
      <c r="Q4" s="3702"/>
      <c r="R4" s="3684" t="s">
        <v>1769</v>
      </c>
      <c r="S4" s="3685"/>
      <c r="T4" s="3684" t="s">
        <v>1770</v>
      </c>
      <c r="U4" s="3685"/>
      <c r="V4" s="3709" t="s">
        <v>1771</v>
      </c>
      <c r="W4" s="3709"/>
      <c r="X4" s="1355"/>
      <c r="Y4" s="3684" t="s">
        <v>1773</v>
      </c>
      <c r="Z4" s="3685"/>
      <c r="AA4" s="3679" t="s">
        <v>1769</v>
      </c>
      <c r="AB4" s="3680" t="s">
        <v>1770</v>
      </c>
      <c r="AC4" s="3679" t="s">
        <v>1771</v>
      </c>
    </row>
    <row r="5" spans="1:29" ht="15">
      <c r="A5" s="358"/>
      <c r="B5" s="359"/>
      <c r="C5" s="3690" t="s">
        <v>1671</v>
      </c>
      <c r="D5" s="3691"/>
      <c r="E5" s="3688" t="s">
        <v>1672</v>
      </c>
      <c r="F5" s="3689"/>
      <c r="G5" s="3690" t="s">
        <v>1673</v>
      </c>
      <c r="H5" s="3691"/>
      <c r="I5" s="3690" t="s">
        <v>1674</v>
      </c>
      <c r="J5" s="3691"/>
      <c r="K5" s="559"/>
      <c r="L5" s="2714"/>
      <c r="M5" s="2715"/>
      <c r="N5" s="2715"/>
      <c r="O5" s="2715"/>
      <c r="P5" s="3703"/>
      <c r="Q5" s="3704"/>
      <c r="R5" s="3686"/>
      <c r="S5" s="3687"/>
      <c r="T5" s="3686"/>
      <c r="U5" s="3687"/>
      <c r="V5" s="3709"/>
      <c r="W5" s="3709"/>
      <c r="X5" s="1355"/>
      <c r="Y5" s="3686"/>
      <c r="Z5" s="3687"/>
      <c r="AA5" s="3680"/>
      <c r="AB5" s="3680"/>
      <c r="AC5" s="3680"/>
    </row>
    <row r="6" spans="1:29" ht="15.75" thickBot="1">
      <c r="A6" s="360"/>
      <c r="B6" s="361"/>
      <c r="C6" s="3692" t="s">
        <v>1675</v>
      </c>
      <c r="D6" s="3693"/>
      <c r="E6" s="3694" t="s">
        <v>1675</v>
      </c>
      <c r="F6" s="3695"/>
      <c r="G6" s="3692" t="s">
        <v>1675</v>
      </c>
      <c r="H6" s="3693"/>
      <c r="I6" s="3692" t="s">
        <v>1675</v>
      </c>
      <c r="J6" s="3693"/>
      <c r="K6" s="559" t="s">
        <v>1676</v>
      </c>
      <c r="L6" s="2714"/>
      <c r="M6" s="2715"/>
      <c r="N6" s="2715"/>
      <c r="O6" s="2715"/>
      <c r="P6" s="3705"/>
      <c r="Q6" s="3706"/>
      <c r="R6" s="3686"/>
      <c r="S6" s="3687"/>
      <c r="T6" s="3707"/>
      <c r="U6" s="3708"/>
      <c r="V6" s="3709"/>
      <c r="W6" s="3709"/>
      <c r="X6" s="1355"/>
      <c r="Y6" s="3707"/>
      <c r="Z6" s="3708"/>
      <c r="AA6" s="3681"/>
      <c r="AB6" s="3681"/>
      <c r="AC6" s="3681"/>
    </row>
    <row r="7" spans="1:29" s="108" customFormat="1" ht="15.75" thickBot="1">
      <c r="A7" s="362" t="s">
        <v>1677</v>
      </c>
      <c r="B7" s="363"/>
      <c r="C7" s="364">
        <f>'数据-取费表'!B2</f>
        <v>45131</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82" t="s">
        <v>1678</v>
      </c>
      <c r="Q7" s="3710"/>
      <c r="R7" s="701" t="s">
        <v>14</v>
      </c>
      <c r="S7" s="702">
        <f t="shared" ref="S7:S14" si="0">F7</f>
        <v>0</v>
      </c>
      <c r="T7" s="701" t="s">
        <v>14</v>
      </c>
      <c r="U7" s="702">
        <f t="shared" ref="U7:U14" si="1">H7</f>
        <v>0</v>
      </c>
      <c r="V7" s="701" t="s">
        <v>14</v>
      </c>
      <c r="W7" s="702">
        <f t="shared" ref="W7:W14" si="2">J7</f>
        <v>0</v>
      </c>
      <c r="X7" s="703"/>
      <c r="Y7" s="3682" t="s">
        <v>1678</v>
      </c>
      <c r="Z7" s="3683"/>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2" t="s">
        <v>1681</v>
      </c>
      <c r="Q8" s="3683"/>
      <c r="R8" s="701" t="s">
        <v>14</v>
      </c>
      <c r="S8" s="702">
        <f t="shared" si="0"/>
        <v>100</v>
      </c>
      <c r="T8" s="701" t="s">
        <v>14</v>
      </c>
      <c r="U8" s="702">
        <f t="shared" si="1"/>
        <v>100</v>
      </c>
      <c r="V8" s="701" t="s">
        <v>14</v>
      </c>
      <c r="W8" s="702">
        <f t="shared" si="2"/>
        <v>100</v>
      </c>
      <c r="X8" s="703"/>
      <c r="Y8" s="3682" t="s">
        <v>1681</v>
      </c>
      <c r="Z8" s="3683"/>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4" t="s">
        <v>1684</v>
      </c>
      <c r="Q9" s="1343" t="str">
        <f t="shared" ref="Q9:Q14" si="6">B9</f>
        <v>用途</v>
      </c>
      <c r="R9" s="701" t="s">
        <v>14</v>
      </c>
      <c r="S9" s="702">
        <f t="shared" si="0"/>
        <v>100</v>
      </c>
      <c r="T9" s="701" t="s">
        <v>14</v>
      </c>
      <c r="U9" s="702">
        <f t="shared" si="1"/>
        <v>100</v>
      </c>
      <c r="V9" s="701" t="s">
        <v>14</v>
      </c>
      <c r="W9" s="702">
        <f t="shared" si="2"/>
        <v>100</v>
      </c>
      <c r="X9" s="703"/>
      <c r="Y9" s="3626" t="s">
        <v>1685</v>
      </c>
      <c r="Z9" s="52" t="str">
        <f t="shared" ref="Z9:Z14" si="7">Q9</f>
        <v>用途</v>
      </c>
      <c r="AA9" s="704">
        <f t="shared" si="3"/>
        <v>1</v>
      </c>
      <c r="AB9" s="704">
        <f t="shared" si="4"/>
        <v>1</v>
      </c>
      <c r="AC9" s="704">
        <f t="shared" si="5"/>
        <v>1</v>
      </c>
    </row>
    <row r="10" spans="1:29" s="378" customFormat="1" ht="27">
      <c r="A10" s="374"/>
      <c r="B10" s="375" t="s">
        <v>1686</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4"/>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4"/>
      <c r="Q11" s="1343">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85.5">
      <c r="A14" s="391" t="s">
        <v>1688</v>
      </c>
      <c r="B14" s="61" t="s">
        <v>1831</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6" t="s">
        <v>1689</v>
      </c>
      <c r="Q14" s="1352" t="str">
        <f t="shared" si="6"/>
        <v>交通便捷度</v>
      </c>
      <c r="R14" s="705" t="s">
        <v>14</v>
      </c>
      <c r="S14" s="706">
        <f t="shared" si="0"/>
        <v>100</v>
      </c>
      <c r="T14" s="705" t="s">
        <v>14</v>
      </c>
      <c r="U14" s="706">
        <f t="shared" si="1"/>
        <v>100</v>
      </c>
      <c r="V14" s="705" t="s">
        <v>14</v>
      </c>
      <c r="W14" s="706">
        <f t="shared" si="2"/>
        <v>100</v>
      </c>
      <c r="X14" s="1355"/>
      <c r="Y14" s="3716"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17"/>
      <c r="Q15" s="1352"/>
      <c r="R15" s="705"/>
      <c r="S15" s="706"/>
      <c r="T15" s="705"/>
      <c r="U15" s="706"/>
      <c r="V15" s="705"/>
      <c r="W15" s="706"/>
      <c r="X15" s="1355"/>
      <c r="Y15" s="3717"/>
      <c r="Z15" s="1356"/>
      <c r="AA15" s="1353">
        <v>1</v>
      </c>
      <c r="AB15" s="1353">
        <v>1</v>
      </c>
      <c r="AC15" s="1353">
        <v>1</v>
      </c>
    </row>
    <row r="16" spans="1:29" ht="42.75">
      <c r="A16" s="379"/>
      <c r="B16" s="402" t="s">
        <v>1810</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7"/>
      <c r="Q16" s="1352" t="str">
        <f>B16</f>
        <v>公共配套设施</v>
      </c>
      <c r="R16" s="705" t="s">
        <v>14</v>
      </c>
      <c r="S16" s="706">
        <f>F16</f>
        <v>100</v>
      </c>
      <c r="T16" s="705" t="s">
        <v>14</v>
      </c>
      <c r="U16" s="706">
        <f>H16</f>
        <v>100</v>
      </c>
      <c r="V16" s="705" t="s">
        <v>14</v>
      </c>
      <c r="W16" s="706">
        <f>J16</f>
        <v>100</v>
      </c>
      <c r="X16" s="1355"/>
      <c r="Y16" s="371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17"/>
      <c r="Q17" s="1352"/>
      <c r="R17" s="705"/>
      <c r="S17" s="706"/>
      <c r="T17" s="705"/>
      <c r="U17" s="706"/>
      <c r="V17" s="705"/>
      <c r="W17" s="706"/>
      <c r="X17" s="1355"/>
      <c r="Y17" s="3717"/>
      <c r="Z17" s="1356"/>
      <c r="AA17" s="1353">
        <v>1</v>
      </c>
      <c r="AB17" s="1353">
        <v>1</v>
      </c>
      <c r="AC17" s="1353">
        <v>1</v>
      </c>
    </row>
    <row r="18" spans="1:29" ht="28.5">
      <c r="A18" s="379"/>
      <c r="B18" s="1131" t="s">
        <v>1811</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7"/>
      <c r="Q18" s="1352" t="str">
        <f>B18</f>
        <v>基础设施水平</v>
      </c>
      <c r="R18" s="705" t="s">
        <v>14</v>
      </c>
      <c r="S18" s="706">
        <f>F18</f>
        <v>100</v>
      </c>
      <c r="T18" s="705" t="s">
        <v>14</v>
      </c>
      <c r="U18" s="706">
        <f>H18</f>
        <v>100</v>
      </c>
      <c r="V18" s="705" t="s">
        <v>14</v>
      </c>
      <c r="W18" s="706">
        <f>J18</f>
        <v>100</v>
      </c>
      <c r="X18" s="1355"/>
      <c r="Y18" s="371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17"/>
      <c r="Q19" s="1352"/>
      <c r="R19" s="705"/>
      <c r="S19" s="706"/>
      <c r="T19" s="705"/>
      <c r="U19" s="706"/>
      <c r="V19" s="705"/>
      <c r="W19" s="706"/>
      <c r="X19" s="1355"/>
      <c r="Y19" s="3717"/>
      <c r="Z19" s="1356"/>
      <c r="AA19" s="1353">
        <v>1</v>
      </c>
      <c r="AB19" s="1353">
        <v>1</v>
      </c>
      <c r="AC19" s="1353">
        <v>1</v>
      </c>
    </row>
    <row r="20" spans="1:29" ht="57">
      <c r="A20" s="379"/>
      <c r="B20" s="402" t="s">
        <v>1832</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7"/>
      <c r="Q20" s="1352" t="str">
        <f>B20</f>
        <v>自然及人文环境</v>
      </c>
      <c r="R20" s="705" t="s">
        <v>14</v>
      </c>
      <c r="S20" s="706">
        <f>F20</f>
        <v>100</v>
      </c>
      <c r="T20" s="705" t="s">
        <v>14</v>
      </c>
      <c r="U20" s="706">
        <f>H20</f>
        <v>100</v>
      </c>
      <c r="V20" s="705" t="s">
        <v>14</v>
      </c>
      <c r="W20" s="706">
        <f>J20</f>
        <v>100</v>
      </c>
      <c r="X20" s="1355"/>
      <c r="Y20" s="371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17"/>
      <c r="Q21" s="1352"/>
      <c r="R21" s="705"/>
      <c r="S21" s="706"/>
      <c r="T21" s="705"/>
      <c r="U21" s="706"/>
      <c r="V21" s="705"/>
      <c r="W21" s="706"/>
      <c r="X21" s="1355"/>
      <c r="Y21" s="3717"/>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7"/>
      <c r="Q22" s="1352" t="str">
        <f>B22</f>
        <v>楼层</v>
      </c>
      <c r="R22" s="705" t="s">
        <v>14</v>
      </c>
      <c r="S22" s="706">
        <f>F22</f>
        <v>100</v>
      </c>
      <c r="T22" s="705" t="s">
        <v>14</v>
      </c>
      <c r="U22" s="706">
        <f>H22</f>
        <v>100</v>
      </c>
      <c r="V22" s="705" t="s">
        <v>14</v>
      </c>
      <c r="W22" s="706">
        <f>J22</f>
        <v>100</v>
      </c>
      <c r="X22" s="1355"/>
      <c r="Y22" s="371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7"/>
      <c r="Q23" s="1352">
        <f>B23</f>
        <v>111</v>
      </c>
      <c r="R23" s="705" t="s">
        <v>14</v>
      </c>
      <c r="S23" s="706">
        <f>F23</f>
        <v>100</v>
      </c>
      <c r="T23" s="705" t="s">
        <v>14</v>
      </c>
      <c r="U23" s="706">
        <f>H23</f>
        <v>100</v>
      </c>
      <c r="V23" s="705" t="s">
        <v>14</v>
      </c>
      <c r="W23" s="706">
        <f>J23</f>
        <v>100</v>
      </c>
      <c r="X23" s="1355"/>
      <c r="Y23" s="371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7"/>
      <c r="Q24" s="1352">
        <f t="shared" ref="Q24:Q34" si="11">B24</f>
        <v>111</v>
      </c>
      <c r="R24" s="705" t="s">
        <v>14</v>
      </c>
      <c r="S24" s="706">
        <f>F24</f>
        <v>100</v>
      </c>
      <c r="T24" s="705" t="s">
        <v>14</v>
      </c>
      <c r="U24" s="706">
        <f>H24</f>
        <v>100</v>
      </c>
      <c r="V24" s="705" t="s">
        <v>14</v>
      </c>
      <c r="W24" s="706">
        <f>J24</f>
        <v>100</v>
      </c>
      <c r="X24" s="1355"/>
      <c r="Y24" s="371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17"/>
      <c r="Q25" s="1343">
        <f t="shared" si="11"/>
        <v>111</v>
      </c>
      <c r="R25" s="701" t="s">
        <v>14</v>
      </c>
      <c r="S25" s="702">
        <f>F25</f>
        <v>100</v>
      </c>
      <c r="T25" s="701" t="s">
        <v>14</v>
      </c>
      <c r="U25" s="702">
        <f>H25</f>
        <v>100</v>
      </c>
      <c r="V25" s="701" t="s">
        <v>14</v>
      </c>
      <c r="W25" s="702">
        <f>J25</f>
        <v>100</v>
      </c>
      <c r="X25" s="703"/>
      <c r="Y25" s="3717"/>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40"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1"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1"/>
      <c r="Q27" s="707" t="str">
        <f t="shared" si="11"/>
        <v>成新率</v>
      </c>
      <c r="R27" s="708" t="s">
        <v>14</v>
      </c>
      <c r="S27" s="709" t="e">
        <f t="shared" si="12"/>
        <v>#N/A</v>
      </c>
      <c r="T27" s="708" t="s">
        <v>14</v>
      </c>
      <c r="U27" s="709" t="e">
        <f t="shared" si="13"/>
        <v>#N/A</v>
      </c>
      <c r="V27" s="708" t="s">
        <v>14</v>
      </c>
      <c r="W27" s="709" t="e">
        <f t="shared" si="14"/>
        <v>#N/A</v>
      </c>
      <c r="X27" s="710"/>
      <c r="Y27" s="3721"/>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1"/>
      <c r="Q28" s="1352" t="str">
        <f t="shared" si="11"/>
        <v>物业等级</v>
      </c>
      <c r="R28" s="705" t="s">
        <v>14</v>
      </c>
      <c r="S28" s="706">
        <f t="shared" si="12"/>
        <v>100</v>
      </c>
      <c r="T28" s="705" t="s">
        <v>14</v>
      </c>
      <c r="U28" s="706">
        <f t="shared" si="13"/>
        <v>100</v>
      </c>
      <c r="V28" s="705" t="s">
        <v>14</v>
      </c>
      <c r="W28" s="706">
        <f t="shared" si="14"/>
        <v>100</v>
      </c>
      <c r="X28" s="1355"/>
      <c r="Y28" s="3721"/>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1"/>
      <c r="Q29" s="1352" t="str">
        <f t="shared" si="11"/>
        <v>有无电梯</v>
      </c>
      <c r="R29" s="705" t="s">
        <v>14</v>
      </c>
      <c r="S29" s="706">
        <f t="shared" si="12"/>
        <v>100</v>
      </c>
      <c r="T29" s="705" t="s">
        <v>14</v>
      </c>
      <c r="U29" s="706">
        <f t="shared" si="13"/>
        <v>100</v>
      </c>
      <c r="V29" s="705" t="s">
        <v>14</v>
      </c>
      <c r="W29" s="706">
        <f t="shared" si="14"/>
        <v>100</v>
      </c>
      <c r="X29" s="1355"/>
      <c r="Y29" s="3721"/>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1"/>
      <c r="Q30" s="1352" t="str">
        <f t="shared" si="11"/>
        <v>建筑面积</v>
      </c>
      <c r="R30" s="705" t="s">
        <v>14</v>
      </c>
      <c r="S30" s="706" t="e">
        <f t="shared" si="12"/>
        <v>#N/A</v>
      </c>
      <c r="T30" s="705" t="s">
        <v>14</v>
      </c>
      <c r="U30" s="706" t="e">
        <f t="shared" si="13"/>
        <v>#N/A</v>
      </c>
      <c r="V30" s="705" t="s">
        <v>14</v>
      </c>
      <c r="W30" s="706" t="e">
        <f t="shared" si="14"/>
        <v>#N/A</v>
      </c>
      <c r="X30" s="1355"/>
      <c r="Y30" s="3721"/>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1"/>
      <c r="Q31" s="1343" t="str">
        <f t="shared" si="11"/>
        <v>是否封闭</v>
      </c>
      <c r="R31" s="701" t="s">
        <v>14</v>
      </c>
      <c r="S31" s="702">
        <f t="shared" si="12"/>
        <v>100</v>
      </c>
      <c r="T31" s="701" t="s">
        <v>14</v>
      </c>
      <c r="U31" s="702">
        <f t="shared" si="13"/>
        <v>100</v>
      </c>
      <c r="V31" s="701" t="s">
        <v>14</v>
      </c>
      <c r="W31" s="702">
        <f t="shared" si="14"/>
        <v>100</v>
      </c>
      <c r="X31" s="703"/>
      <c r="Y31" s="372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1" t="s">
        <v>1694</v>
      </c>
      <c r="Q32" s="1352">
        <f t="shared" si="11"/>
        <v>111</v>
      </c>
      <c r="R32" s="705" t="s">
        <v>14</v>
      </c>
      <c r="S32" s="706">
        <f t="shared" si="12"/>
        <v>100</v>
      </c>
      <c r="T32" s="705" t="s">
        <v>14</v>
      </c>
      <c r="U32" s="706">
        <f t="shared" si="13"/>
        <v>100</v>
      </c>
      <c r="V32" s="705" t="s">
        <v>14</v>
      </c>
      <c r="W32" s="706">
        <f t="shared" si="14"/>
        <v>100</v>
      </c>
      <c r="X32" s="1355"/>
      <c r="Y32" s="3721"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1"/>
      <c r="Q33" s="1352">
        <f t="shared" si="11"/>
        <v>111</v>
      </c>
      <c r="R33" s="705" t="s">
        <v>14</v>
      </c>
      <c r="S33" s="706">
        <f t="shared" si="12"/>
        <v>100</v>
      </c>
      <c r="T33" s="705" t="s">
        <v>14</v>
      </c>
      <c r="U33" s="706">
        <f t="shared" si="13"/>
        <v>100</v>
      </c>
      <c r="V33" s="705" t="s">
        <v>14</v>
      </c>
      <c r="W33" s="706">
        <f t="shared" si="14"/>
        <v>100</v>
      </c>
      <c r="X33" s="1355"/>
      <c r="Y33" s="372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21"/>
      <c r="Q34" s="1352">
        <f t="shared" si="11"/>
        <v>111</v>
      </c>
      <c r="R34" s="705" t="s">
        <v>14</v>
      </c>
      <c r="S34" s="706">
        <f t="shared" si="12"/>
        <v>100</v>
      </c>
      <c r="T34" s="705" t="s">
        <v>14</v>
      </c>
      <c r="U34" s="706">
        <f t="shared" si="13"/>
        <v>100</v>
      </c>
      <c r="V34" s="705" t="s">
        <v>14</v>
      </c>
      <c r="W34" s="706">
        <f t="shared" si="14"/>
        <v>100</v>
      </c>
      <c r="X34" s="1355"/>
      <c r="Y34" s="3721"/>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3"/>
      <c r="M35" s="2724"/>
      <c r="N35" s="2715"/>
      <c r="O35" s="2724"/>
      <c r="P35" s="3714" t="str">
        <f>A35</f>
        <v>成交单价（元/平方米）</v>
      </c>
      <c r="Q35" s="3714"/>
      <c r="R35" s="3715">
        <f>E35</f>
        <v>0</v>
      </c>
      <c r="S35" s="3715"/>
      <c r="T35" s="3715">
        <f>G35</f>
        <v>0</v>
      </c>
      <c r="U35" s="3715"/>
      <c r="V35" s="3715">
        <f>I35</f>
        <v>0</v>
      </c>
      <c r="W35" s="3715"/>
      <c r="X35" s="690"/>
      <c r="Y35" s="712"/>
      <c r="Z35" s="690"/>
      <c r="AA35" s="690"/>
      <c r="AB35" s="690"/>
      <c r="AC35" s="690"/>
    </row>
    <row r="36" spans="1:30" ht="15.75" thickBot="1">
      <c r="A36" s="437" t="s">
        <v>1791</v>
      </c>
      <c r="B36" s="438"/>
      <c r="C36" s="1160" t="e">
        <f>R37</f>
        <v>#DIV/0!</v>
      </c>
      <c r="D36" s="2317" t="s">
        <v>2134</v>
      </c>
      <c r="E36" s="1161" t="e">
        <f>R36</f>
        <v>#DIV/0!</v>
      </c>
      <c r="F36" s="2318"/>
      <c r="G36" s="1160" t="e">
        <f>T36</f>
        <v>#DIV/0!</v>
      </c>
      <c r="H36" s="2318"/>
      <c r="I36" s="1161" t="e">
        <f>V36</f>
        <v>#DIV/0!</v>
      </c>
      <c r="J36" s="2318"/>
      <c r="K36" s="2320">
        <f>F36+H36+J36</f>
        <v>0</v>
      </c>
      <c r="L36" s="2723"/>
      <c r="M36" s="2724"/>
      <c r="N36" s="2715"/>
      <c r="O36" s="2724"/>
      <c r="P36" s="3714" t="str">
        <f>A36</f>
        <v>比较价值（元/平方米）</v>
      </c>
      <c r="Q36" s="3714"/>
      <c r="R36" s="3715" t="e">
        <f>IF(F1="售价",ROUND(PRODUCT(R35,AA7:AA34),0),ROUND(PRODUCT(R35,AA7:AA34),1))</f>
        <v>#DIV/0!</v>
      </c>
      <c r="S36" s="3715"/>
      <c r="T36" s="3715" t="e">
        <f>IF(F1="售价",ROUND(PRODUCT(T35,AB7:AB34),0),ROUND(PRODUCT(T35,AB7:AB34),1))</f>
        <v>#DIV/0!</v>
      </c>
      <c r="U36" s="3715"/>
      <c r="V36" s="3715" t="e">
        <f>IF(F1="售价",ROUND(PRODUCT(V35,AC7:AC34),0),ROUND(PRODUCT(V35,AC7:AC34),1))</f>
        <v>#DIV/0!</v>
      </c>
      <c r="W36" s="3715"/>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3"/>
      <c r="M37" s="2724"/>
      <c r="N37" s="2724"/>
      <c r="O37" s="2724"/>
      <c r="P37" s="3711" t="str">
        <f>A37</f>
        <v>估价对象XX用房的比较价值（楼面单价，元/平方米）</v>
      </c>
      <c r="Q37" s="3712"/>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1796</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1677</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1714</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1679</v>
      </c>
      <c r="B49" s="459"/>
      <c r="C49" s="471" t="s">
        <v>1774</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1717</v>
      </c>
      <c r="B51" s="477" t="s">
        <v>1683</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1686</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1861</v>
      </c>
      <c r="C63" s="527" t="s">
        <v>1719</v>
      </c>
      <c r="D63" s="527" t="s">
        <v>1720</v>
      </c>
      <c r="E63" s="527" t="s">
        <v>1721</v>
      </c>
      <c r="F63" s="527" t="s">
        <v>1722</v>
      </c>
      <c r="G63" s="527" t="s">
        <v>1723</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1811</v>
      </c>
      <c r="C65" s="608" t="s">
        <v>1797</v>
      </c>
      <c r="D65" s="608" t="s">
        <v>1798</v>
      </c>
      <c r="E65" s="608" t="s">
        <v>1799</v>
      </c>
      <c r="F65" s="608" t="s">
        <v>1800</v>
      </c>
      <c r="G65" s="608" t="s">
        <v>1801</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1731</v>
      </c>
      <c r="C67" s="527" t="s">
        <v>1719</v>
      </c>
      <c r="D67" s="527" t="s">
        <v>1720</v>
      </c>
      <c r="E67" s="527" t="s">
        <v>1721</v>
      </c>
      <c r="F67" s="527" t="s">
        <v>1722</v>
      </c>
      <c r="G67" s="527" t="s">
        <v>1723</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1850</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1692</v>
      </c>
      <c r="B77" s="477" t="s">
        <v>1738</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1854</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1862</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1864</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1767</v>
      </c>
      <c r="B4" s="356"/>
      <c r="C4" s="3697" t="s">
        <v>1768</v>
      </c>
      <c r="D4" s="3698"/>
      <c r="E4" s="3699" t="s">
        <v>1769</v>
      </c>
      <c r="F4" s="3700"/>
      <c r="G4" s="3697" t="s">
        <v>1770</v>
      </c>
      <c r="H4" s="3698"/>
      <c r="I4" s="3697" t="s">
        <v>1771</v>
      </c>
      <c r="J4" s="3698"/>
      <c r="K4" s="559" t="s">
        <v>1772</v>
      </c>
      <c r="L4" s="2714"/>
      <c r="M4" s="2715"/>
      <c r="N4" s="2715"/>
      <c r="O4" s="2715"/>
      <c r="P4" s="3701" t="s">
        <v>1773</v>
      </c>
      <c r="Q4" s="3702"/>
      <c r="R4" s="3684" t="s">
        <v>1769</v>
      </c>
      <c r="S4" s="3685"/>
      <c r="T4" s="3684" t="s">
        <v>1770</v>
      </c>
      <c r="U4" s="3685"/>
      <c r="V4" s="3709" t="s">
        <v>1771</v>
      </c>
      <c r="W4" s="3709"/>
      <c r="X4" s="1355"/>
      <c r="Y4" s="3684" t="s">
        <v>1773</v>
      </c>
      <c r="Z4" s="3685"/>
      <c r="AA4" s="3679" t="s">
        <v>1769</v>
      </c>
      <c r="AB4" s="3680" t="s">
        <v>1770</v>
      </c>
      <c r="AC4" s="3679" t="s">
        <v>1771</v>
      </c>
    </row>
    <row r="5" spans="1:30" ht="15">
      <c r="A5" s="358"/>
      <c r="B5" s="359"/>
      <c r="C5" s="3690" t="s">
        <v>1671</v>
      </c>
      <c r="D5" s="3691"/>
      <c r="E5" s="3688" t="s">
        <v>1672</v>
      </c>
      <c r="F5" s="3689"/>
      <c r="G5" s="3690" t="s">
        <v>1673</v>
      </c>
      <c r="H5" s="3691"/>
      <c r="I5" s="3690" t="s">
        <v>1674</v>
      </c>
      <c r="J5" s="3691"/>
      <c r="K5" s="559"/>
      <c r="L5" s="2714"/>
      <c r="M5" s="2715"/>
      <c r="N5" s="2715"/>
      <c r="O5" s="2715"/>
      <c r="P5" s="3703"/>
      <c r="Q5" s="3704"/>
      <c r="R5" s="3686"/>
      <c r="S5" s="3687"/>
      <c r="T5" s="3686"/>
      <c r="U5" s="3687"/>
      <c r="V5" s="3709"/>
      <c r="W5" s="3709"/>
      <c r="X5" s="1355"/>
      <c r="Y5" s="3686"/>
      <c r="Z5" s="3687"/>
      <c r="AA5" s="3680"/>
      <c r="AB5" s="3680"/>
      <c r="AC5" s="3680"/>
    </row>
    <row r="6" spans="1:30" ht="15.75" thickBot="1">
      <c r="A6" s="360"/>
      <c r="B6" s="361"/>
      <c r="C6" s="3692" t="s">
        <v>1675</v>
      </c>
      <c r="D6" s="3693"/>
      <c r="E6" s="3694" t="s">
        <v>1675</v>
      </c>
      <c r="F6" s="3695"/>
      <c r="G6" s="3692" t="s">
        <v>1675</v>
      </c>
      <c r="H6" s="3693"/>
      <c r="I6" s="3692" t="s">
        <v>1675</v>
      </c>
      <c r="J6" s="3693"/>
      <c r="K6" s="559" t="s">
        <v>1676</v>
      </c>
      <c r="L6" s="2714"/>
      <c r="M6" s="2715"/>
      <c r="N6" s="2715"/>
      <c r="O6" s="2715"/>
      <c r="P6" s="3705"/>
      <c r="Q6" s="3706"/>
      <c r="R6" s="3686"/>
      <c r="S6" s="3687"/>
      <c r="T6" s="3707"/>
      <c r="U6" s="3708"/>
      <c r="V6" s="3709"/>
      <c r="W6" s="3709"/>
      <c r="X6" s="1355"/>
      <c r="Y6" s="3707"/>
      <c r="Z6" s="3708"/>
      <c r="AA6" s="3681"/>
      <c r="AB6" s="3681"/>
      <c r="AC6" s="3681"/>
    </row>
    <row r="7" spans="1:30" s="108" customFormat="1" ht="15.75" thickBot="1">
      <c r="A7" s="362" t="s">
        <v>1677</v>
      </c>
      <c r="B7" s="363"/>
      <c r="C7" s="364">
        <f>'数据-取费表'!B2</f>
        <v>45131</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82" t="s">
        <v>1678</v>
      </c>
      <c r="Q7" s="3710"/>
      <c r="R7" s="701" t="s">
        <v>14</v>
      </c>
      <c r="S7" s="702">
        <f t="shared" ref="S7:S15" si="0">F7</f>
        <v>0</v>
      </c>
      <c r="T7" s="701" t="s">
        <v>14</v>
      </c>
      <c r="U7" s="702">
        <f t="shared" ref="U7:U15" si="1">H7</f>
        <v>0</v>
      </c>
      <c r="V7" s="701" t="s">
        <v>14</v>
      </c>
      <c r="W7" s="702">
        <f t="shared" ref="W7:W15" si="2">J7</f>
        <v>0</v>
      </c>
      <c r="X7" s="703"/>
      <c r="Y7" s="3682" t="s">
        <v>1678</v>
      </c>
      <c r="Z7" s="3683"/>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2" t="s">
        <v>1681</v>
      </c>
      <c r="Q8" s="3683"/>
      <c r="R8" s="701" t="s">
        <v>14</v>
      </c>
      <c r="S8" s="702">
        <f t="shared" si="0"/>
        <v>0</v>
      </c>
      <c r="T8" s="701" t="s">
        <v>14</v>
      </c>
      <c r="U8" s="702">
        <f t="shared" si="1"/>
        <v>0</v>
      </c>
      <c r="V8" s="701" t="s">
        <v>14</v>
      </c>
      <c r="W8" s="702">
        <f t="shared" si="2"/>
        <v>0</v>
      </c>
      <c r="X8" s="703"/>
      <c r="Y8" s="3682" t="s">
        <v>1681</v>
      </c>
      <c r="Z8" s="3683"/>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14" t="s">
        <v>1684</v>
      </c>
      <c r="Q9" s="1343" t="str">
        <f t="shared" ref="Q9:Q15" si="6">B9</f>
        <v>用途</v>
      </c>
      <c r="R9" s="701" t="s">
        <v>14</v>
      </c>
      <c r="S9" s="702">
        <f t="shared" si="0"/>
        <v>100</v>
      </c>
      <c r="T9" s="701" t="s">
        <v>14</v>
      </c>
      <c r="U9" s="702">
        <f t="shared" si="1"/>
        <v>100</v>
      </c>
      <c r="V9" s="701" t="s">
        <v>14</v>
      </c>
      <c r="W9" s="702">
        <f t="shared" si="2"/>
        <v>100</v>
      </c>
      <c r="X9" s="703"/>
      <c r="Y9" s="3626"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103</v>
      </c>
      <c r="G10" s="414"/>
      <c r="H10" s="127">
        <f>ROUND(100/'数据-取费表'!G16,0)</f>
        <v>103</v>
      </c>
      <c r="I10" s="414"/>
      <c r="J10" s="127">
        <f>ROUND(100/'数据-取费表'!G16,0)</f>
        <v>103</v>
      </c>
      <c r="K10" s="620"/>
      <c r="L10" s="2718"/>
      <c r="M10" s="2719"/>
      <c r="N10" s="2719"/>
      <c r="O10" s="2772"/>
      <c r="P10" s="3714"/>
      <c r="Q10" s="1343" t="str">
        <f t="shared" si="6"/>
        <v>土地使用年限（年）</v>
      </c>
      <c r="R10" s="701" t="s">
        <v>14</v>
      </c>
      <c r="S10" s="702">
        <f t="shared" si="0"/>
        <v>103</v>
      </c>
      <c r="T10" s="701" t="s">
        <v>14</v>
      </c>
      <c r="U10" s="702">
        <f t="shared" si="1"/>
        <v>103</v>
      </c>
      <c r="V10" s="701" t="s">
        <v>14</v>
      </c>
      <c r="W10" s="702">
        <f t="shared" si="2"/>
        <v>103</v>
      </c>
      <c r="X10" s="703"/>
      <c r="Y10" s="3626"/>
      <c r="Z10" s="52" t="str">
        <f t="shared" si="7"/>
        <v>土地使用年限（年）</v>
      </c>
      <c r="AA10" s="704">
        <f t="shared" si="3"/>
        <v>0.970873786407767</v>
      </c>
      <c r="AB10" s="704">
        <f t="shared" si="4"/>
        <v>0.970873786407767</v>
      </c>
      <c r="AC10" s="704">
        <f t="shared" si="5"/>
        <v>0.970873786407767</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4"/>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4"/>
      <c r="Q12" s="1343" t="str">
        <f t="shared" si="6"/>
        <v>配建</v>
      </c>
      <c r="R12" s="701" t="s">
        <v>14</v>
      </c>
      <c r="S12" s="702">
        <f t="shared" si="0"/>
        <v>100</v>
      </c>
      <c r="T12" s="701" t="s">
        <v>14</v>
      </c>
      <c r="U12" s="702">
        <f t="shared" si="1"/>
        <v>100</v>
      </c>
      <c r="V12" s="701" t="s">
        <v>14</v>
      </c>
      <c r="W12" s="702">
        <f t="shared" si="2"/>
        <v>100</v>
      </c>
      <c r="X12" s="703"/>
      <c r="Y12" s="362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4"/>
      <c r="Q14" s="1343">
        <f t="shared" si="6"/>
        <v>111</v>
      </c>
      <c r="R14" s="701" t="s">
        <v>14</v>
      </c>
      <c r="S14" s="702">
        <f t="shared" si="0"/>
        <v>100</v>
      </c>
      <c r="T14" s="701" t="s">
        <v>14</v>
      </c>
      <c r="U14" s="702">
        <f t="shared" si="1"/>
        <v>100</v>
      </c>
      <c r="V14" s="701" t="s">
        <v>14</v>
      </c>
      <c r="W14" s="702">
        <f t="shared" si="2"/>
        <v>100</v>
      </c>
      <c r="X14" s="703"/>
      <c r="Y14" s="3626"/>
      <c r="Z14" s="52">
        <f t="shared" si="7"/>
        <v>111</v>
      </c>
      <c r="AA14" s="704">
        <f>D14/F14</f>
        <v>1</v>
      </c>
      <c r="AB14" s="704">
        <f>D14/H14</f>
        <v>1</v>
      </c>
      <c r="AC14" s="704">
        <f>D14/J14</f>
        <v>1</v>
      </c>
    </row>
    <row r="15" spans="1:30" ht="99.75">
      <c r="A15" s="391" t="s">
        <v>1688</v>
      </c>
      <c r="B15" s="61" t="s">
        <v>1255</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6" t="s">
        <v>1689</v>
      </c>
      <c r="Q15" s="1352" t="str">
        <f t="shared" si="6"/>
        <v>居住社区成熟度</v>
      </c>
      <c r="R15" s="705" t="s">
        <v>14</v>
      </c>
      <c r="S15" s="706">
        <f t="shared" si="0"/>
        <v>100</v>
      </c>
      <c r="T15" s="705" t="s">
        <v>14</v>
      </c>
      <c r="U15" s="706">
        <f t="shared" si="1"/>
        <v>100</v>
      </c>
      <c r="V15" s="705" t="s">
        <v>14</v>
      </c>
      <c r="W15" s="706">
        <f t="shared" si="2"/>
        <v>100</v>
      </c>
      <c r="X15" s="1355"/>
      <c r="Y15" s="3716"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17"/>
      <c r="Q16" s="1352"/>
      <c r="R16" s="705"/>
      <c r="S16" s="706"/>
      <c r="T16" s="705"/>
      <c r="U16" s="706"/>
      <c r="V16" s="705"/>
      <c r="W16" s="706"/>
      <c r="X16" s="1355"/>
      <c r="Y16" s="3717"/>
      <c r="Z16" s="1356"/>
      <c r="AA16" s="1353">
        <v>1</v>
      </c>
      <c r="AB16" s="1353">
        <v>1</v>
      </c>
      <c r="AC16" s="1353">
        <v>1</v>
      </c>
    </row>
    <row r="17" spans="1:29" ht="71.25">
      <c r="A17" s="379"/>
      <c r="B17" s="402" t="s">
        <v>1775</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7"/>
      <c r="Q17" s="1352" t="str">
        <f>B17</f>
        <v>商业繁华度</v>
      </c>
      <c r="R17" s="705" t="s">
        <v>14</v>
      </c>
      <c r="S17" s="706">
        <f>F17</f>
        <v>100</v>
      </c>
      <c r="T17" s="705" t="s">
        <v>14</v>
      </c>
      <c r="U17" s="706">
        <f>H17</f>
        <v>100</v>
      </c>
      <c r="V17" s="705" t="s">
        <v>14</v>
      </c>
      <c r="W17" s="706">
        <f>J17</f>
        <v>100</v>
      </c>
      <c r="X17" s="1355"/>
      <c r="Y17" s="371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17"/>
      <c r="Q18" s="1352"/>
      <c r="R18" s="705"/>
      <c r="S18" s="706"/>
      <c r="T18" s="705"/>
      <c r="U18" s="706"/>
      <c r="V18" s="705"/>
      <c r="W18" s="706"/>
      <c r="X18" s="1355"/>
      <c r="Y18" s="3717"/>
      <c r="Z18" s="1356"/>
      <c r="AA18" s="1353">
        <v>1</v>
      </c>
      <c r="AB18" s="1353">
        <v>1</v>
      </c>
      <c r="AC18" s="1353">
        <v>1</v>
      </c>
    </row>
    <row r="19" spans="1:29" ht="71.25">
      <c r="A19" s="379"/>
      <c r="B19" s="402" t="s">
        <v>1809</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7"/>
      <c r="Q19" s="1352" t="str">
        <f>B19</f>
        <v>办公集聚程度</v>
      </c>
      <c r="R19" s="705" t="s">
        <v>14</v>
      </c>
      <c r="S19" s="706">
        <f>F19</f>
        <v>100</v>
      </c>
      <c r="T19" s="705" t="s">
        <v>14</v>
      </c>
      <c r="U19" s="706">
        <f>H19</f>
        <v>100</v>
      </c>
      <c r="V19" s="705" t="s">
        <v>14</v>
      </c>
      <c r="W19" s="706">
        <f>J19</f>
        <v>100</v>
      </c>
      <c r="X19" s="1355"/>
      <c r="Y19" s="371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17"/>
      <c r="Q20" s="1352"/>
      <c r="R20" s="705"/>
      <c r="S20" s="706"/>
      <c r="T20" s="705"/>
      <c r="U20" s="706"/>
      <c r="V20" s="705"/>
      <c r="W20" s="706"/>
      <c r="X20" s="1355"/>
      <c r="Y20" s="3717"/>
      <c r="Z20" s="1356"/>
      <c r="AA20" s="1353">
        <v>1</v>
      </c>
      <c r="AB20" s="1353">
        <v>1</v>
      </c>
      <c r="AC20" s="1353">
        <v>1</v>
      </c>
    </row>
    <row r="21" spans="1:29" ht="85.5">
      <c r="A21" s="379"/>
      <c r="B21" s="402" t="s">
        <v>1831</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7"/>
      <c r="Q21" s="1352" t="str">
        <f>B21</f>
        <v>交通便捷度</v>
      </c>
      <c r="R21" s="705" t="s">
        <v>14</v>
      </c>
      <c r="S21" s="706">
        <f>F21</f>
        <v>100</v>
      </c>
      <c r="T21" s="705" t="s">
        <v>14</v>
      </c>
      <c r="U21" s="706">
        <f>H21</f>
        <v>100</v>
      </c>
      <c r="V21" s="705" t="s">
        <v>14</v>
      </c>
      <c r="W21" s="706">
        <f>J21</f>
        <v>100</v>
      </c>
      <c r="X21" s="1355"/>
      <c r="Y21" s="371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17"/>
      <c r="Q22" s="1352"/>
      <c r="R22" s="705"/>
      <c r="S22" s="706"/>
      <c r="T22" s="705"/>
      <c r="U22" s="706"/>
      <c r="V22" s="705"/>
      <c r="W22" s="706"/>
      <c r="X22" s="1355"/>
      <c r="Y22" s="3717"/>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7"/>
      <c r="Q23" s="1352" t="str">
        <f t="shared" ref="Q23:Q37" si="8">B23</f>
        <v>区域土地利用方向</v>
      </c>
      <c r="R23" s="705" t="s">
        <v>14</v>
      </c>
      <c r="S23" s="706">
        <f>F23</f>
        <v>100</v>
      </c>
      <c r="T23" s="705" t="s">
        <v>14</v>
      </c>
      <c r="U23" s="706">
        <f>H23</f>
        <v>100</v>
      </c>
      <c r="V23" s="705" t="s">
        <v>14</v>
      </c>
      <c r="W23" s="706">
        <f>J23</f>
        <v>100</v>
      </c>
      <c r="X23" s="1355"/>
      <c r="Y23" s="371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17"/>
      <c r="Q24" s="1352"/>
      <c r="R24" s="705"/>
      <c r="S24" s="706"/>
      <c r="T24" s="705"/>
      <c r="U24" s="706"/>
      <c r="V24" s="705"/>
      <c r="W24" s="706"/>
      <c r="X24" s="1355"/>
      <c r="Y24" s="3717"/>
      <c r="Z24" s="1356"/>
      <c r="AA24" s="1353"/>
      <c r="AB24" s="1353"/>
      <c r="AC24" s="1353"/>
    </row>
    <row r="25" spans="1:29" ht="57">
      <c r="A25" s="358"/>
      <c r="B25" s="1131" t="s">
        <v>1870</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7"/>
      <c r="Q25" s="1352" t="str">
        <f t="shared" si="8"/>
        <v>自然及人文环境状况</v>
      </c>
      <c r="R25" s="705" t="s">
        <v>14</v>
      </c>
      <c r="S25" s="706">
        <f>F25</f>
        <v>100</v>
      </c>
      <c r="T25" s="705" t="s">
        <v>14</v>
      </c>
      <c r="U25" s="706">
        <f>H25</f>
        <v>100</v>
      </c>
      <c r="V25" s="705" t="s">
        <v>14</v>
      </c>
      <c r="W25" s="706">
        <f>J25</f>
        <v>100</v>
      </c>
      <c r="X25" s="1355"/>
      <c r="Y25" s="371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17"/>
      <c r="Q26" s="1352"/>
      <c r="R26" s="705"/>
      <c r="S26" s="706"/>
      <c r="T26" s="705"/>
      <c r="U26" s="706"/>
      <c r="V26" s="705"/>
      <c r="W26" s="706"/>
      <c r="X26" s="1355"/>
      <c r="Y26" s="3717"/>
      <c r="Z26" s="1356"/>
      <c r="AA26" s="1353">
        <v>1</v>
      </c>
      <c r="AB26" s="1353">
        <v>1</v>
      </c>
      <c r="AC26" s="1353">
        <v>1</v>
      </c>
    </row>
    <row r="27" spans="1:29" s="108" customFormat="1" ht="42.75">
      <c r="A27" s="597"/>
      <c r="B27" s="1131" t="s">
        <v>1776</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7"/>
      <c r="Q27" s="1343" t="str">
        <f t="shared" si="8"/>
        <v>公共配套设施</v>
      </c>
      <c r="R27" s="701" t="s">
        <v>14</v>
      </c>
      <c r="S27" s="702">
        <f>F27</f>
        <v>100</v>
      </c>
      <c r="T27" s="701" t="s">
        <v>14</v>
      </c>
      <c r="U27" s="702">
        <f>H27</f>
        <v>100</v>
      </c>
      <c r="V27" s="701" t="s">
        <v>14</v>
      </c>
      <c r="W27" s="702">
        <f>J27</f>
        <v>100</v>
      </c>
      <c r="X27" s="703"/>
      <c r="Y27" s="371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17"/>
      <c r="Q28" s="1343"/>
      <c r="R28" s="701"/>
      <c r="S28" s="702"/>
      <c r="T28" s="701"/>
      <c r="U28" s="702"/>
      <c r="V28" s="701"/>
      <c r="W28" s="702"/>
      <c r="X28" s="703"/>
      <c r="Y28" s="3717"/>
      <c r="Z28" s="52"/>
      <c r="AA28" s="1353">
        <v>1</v>
      </c>
      <c r="AB28" s="1353">
        <v>1</v>
      </c>
      <c r="AC28" s="1353">
        <v>1</v>
      </c>
    </row>
    <row r="29" spans="1:29" s="108" customFormat="1" ht="28.5">
      <c r="A29" s="597"/>
      <c r="B29" s="1131" t="s">
        <v>1777</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7"/>
      <c r="Q29" s="1343" t="str">
        <f t="shared" ref="Q29" si="9">B29</f>
        <v>基础设施水平</v>
      </c>
      <c r="R29" s="701" t="s">
        <v>14</v>
      </c>
      <c r="S29" s="702">
        <f>F29</f>
        <v>100</v>
      </c>
      <c r="T29" s="701" t="s">
        <v>14</v>
      </c>
      <c r="U29" s="702">
        <f>H29</f>
        <v>100</v>
      </c>
      <c r="V29" s="701" t="s">
        <v>14</v>
      </c>
      <c r="W29" s="702">
        <f>J29</f>
        <v>100</v>
      </c>
      <c r="X29" s="703"/>
      <c r="Y29" s="371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17"/>
      <c r="Q30" s="1343"/>
      <c r="R30" s="701"/>
      <c r="S30" s="702"/>
      <c r="T30" s="701"/>
      <c r="U30" s="702"/>
      <c r="V30" s="701"/>
      <c r="W30" s="702"/>
      <c r="X30" s="703"/>
      <c r="Y30" s="3717"/>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7"/>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7"/>
      <c r="Q32" s="1352" t="str">
        <f t="shared" si="8"/>
        <v>毗邻道路的类型与等级</v>
      </c>
      <c r="R32" s="705" t="s">
        <v>14</v>
      </c>
      <c r="S32" s="706">
        <f t="shared" si="10"/>
        <v>100</v>
      </c>
      <c r="T32" s="705" t="s">
        <v>14</v>
      </c>
      <c r="U32" s="706">
        <f t="shared" si="11"/>
        <v>100</v>
      </c>
      <c r="V32" s="705" t="s">
        <v>14</v>
      </c>
      <c r="W32" s="706">
        <f t="shared" si="12"/>
        <v>100</v>
      </c>
      <c r="X32" s="1355"/>
      <c r="Y32" s="371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17"/>
      <c r="Q33" s="1352"/>
      <c r="R33" s="705"/>
      <c r="S33" s="706"/>
      <c r="T33" s="705"/>
      <c r="U33" s="706"/>
      <c r="V33" s="705"/>
      <c r="W33" s="706"/>
      <c r="X33" s="1355"/>
      <c r="Y33" s="3717"/>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7"/>
      <c r="Q34" s="1352" t="str">
        <f t="shared" si="8"/>
        <v>土地级别</v>
      </c>
      <c r="R34" s="705" t="s">
        <v>14</v>
      </c>
      <c r="S34" s="706">
        <f t="shared" si="10"/>
        <v>100</v>
      </c>
      <c r="T34" s="705" t="s">
        <v>14</v>
      </c>
      <c r="U34" s="706">
        <f t="shared" si="11"/>
        <v>100</v>
      </c>
      <c r="V34" s="705" t="s">
        <v>14</v>
      </c>
      <c r="W34" s="706">
        <f t="shared" si="12"/>
        <v>100</v>
      </c>
      <c r="X34" s="1355"/>
      <c r="Y34" s="371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7"/>
      <c r="Q35" s="1352">
        <f t="shared" si="8"/>
        <v>111</v>
      </c>
      <c r="R35" s="705" t="s">
        <v>14</v>
      </c>
      <c r="S35" s="706">
        <f t="shared" si="10"/>
        <v>100</v>
      </c>
      <c r="T35" s="705" t="s">
        <v>14</v>
      </c>
      <c r="U35" s="706">
        <f t="shared" si="11"/>
        <v>100</v>
      </c>
      <c r="V35" s="705" t="s">
        <v>14</v>
      </c>
      <c r="W35" s="706">
        <f t="shared" si="12"/>
        <v>100</v>
      </c>
      <c r="X35" s="1355"/>
      <c r="Y35" s="371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0" t="s">
        <v>1694</v>
      </c>
      <c r="Q36" s="1352">
        <f t="shared" si="8"/>
        <v>111</v>
      </c>
      <c r="R36" s="705" t="s">
        <v>14</v>
      </c>
      <c r="S36" s="706">
        <f t="shared" si="10"/>
        <v>100</v>
      </c>
      <c r="T36" s="705" t="s">
        <v>14</v>
      </c>
      <c r="U36" s="706">
        <f t="shared" si="11"/>
        <v>100</v>
      </c>
      <c r="V36" s="705" t="s">
        <v>14</v>
      </c>
      <c r="W36" s="706">
        <f t="shared" si="12"/>
        <v>100</v>
      </c>
      <c r="X36" s="1355"/>
      <c r="Y36" s="3721"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1"/>
      <c r="Q37" s="1352">
        <f t="shared" si="8"/>
        <v>111</v>
      </c>
      <c r="R37" s="708" t="s">
        <v>14</v>
      </c>
      <c r="S37" s="709">
        <f t="shared" si="10"/>
        <v>100</v>
      </c>
      <c r="T37" s="708" t="s">
        <v>14</v>
      </c>
      <c r="U37" s="709">
        <f t="shared" si="11"/>
        <v>100</v>
      </c>
      <c r="V37" s="708" t="s">
        <v>14</v>
      </c>
      <c r="W37" s="709">
        <f t="shared" si="12"/>
        <v>100</v>
      </c>
      <c r="X37" s="710"/>
      <c r="Y37" s="3721"/>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21"/>
      <c r="Q38" s="1352" t="str">
        <f>B38</f>
        <v>宗地面积</v>
      </c>
      <c r="R38" s="705" t="s">
        <v>14</v>
      </c>
      <c r="S38" s="706" t="e">
        <f t="shared" si="10"/>
        <v>#N/A</v>
      </c>
      <c r="T38" s="705" t="s">
        <v>14</v>
      </c>
      <c r="U38" s="706" t="e">
        <f t="shared" si="11"/>
        <v>#N/A</v>
      </c>
      <c r="V38" s="705" t="s">
        <v>14</v>
      </c>
      <c r="W38" s="706" t="e">
        <f t="shared" si="12"/>
        <v>#N/A</v>
      </c>
      <c r="X38" s="1355"/>
      <c r="Y38" s="3721"/>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21"/>
      <c r="Q39" s="1352" t="str">
        <f t="shared" ref="Q39:Q45" si="14">B39</f>
        <v>宗地形状</v>
      </c>
      <c r="R39" s="705" t="s">
        <v>14</v>
      </c>
      <c r="S39" s="706">
        <f t="shared" si="10"/>
        <v>100</v>
      </c>
      <c r="T39" s="705" t="s">
        <v>14</v>
      </c>
      <c r="U39" s="706">
        <f t="shared" si="11"/>
        <v>100</v>
      </c>
      <c r="V39" s="705" t="s">
        <v>14</v>
      </c>
      <c r="W39" s="706">
        <f t="shared" si="12"/>
        <v>100</v>
      </c>
      <c r="X39" s="1355"/>
      <c r="Y39" s="3721"/>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21"/>
      <c r="Q40" s="1352" t="str">
        <f t="shared" si="14"/>
        <v>临街宽度及深度</v>
      </c>
      <c r="R40" s="705" t="s">
        <v>14</v>
      </c>
      <c r="S40" s="706">
        <f t="shared" si="10"/>
        <v>100</v>
      </c>
      <c r="T40" s="705" t="s">
        <v>14</v>
      </c>
      <c r="U40" s="706">
        <f t="shared" si="11"/>
        <v>100</v>
      </c>
      <c r="V40" s="705" t="s">
        <v>14</v>
      </c>
      <c r="W40" s="706">
        <f t="shared" si="12"/>
        <v>100</v>
      </c>
      <c r="X40" s="1355"/>
      <c r="Y40" s="3721"/>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21"/>
      <c r="Q41" s="1352" t="str">
        <f t="shared" si="14"/>
        <v>宗地开发程度</v>
      </c>
      <c r="R41" s="701" t="s">
        <v>14</v>
      </c>
      <c r="S41" s="702">
        <f t="shared" si="10"/>
        <v>100</v>
      </c>
      <c r="T41" s="701" t="s">
        <v>14</v>
      </c>
      <c r="U41" s="702">
        <f t="shared" si="11"/>
        <v>100</v>
      </c>
      <c r="V41" s="701" t="s">
        <v>14</v>
      </c>
      <c r="W41" s="702">
        <f t="shared" si="12"/>
        <v>100</v>
      </c>
      <c r="X41" s="703"/>
      <c r="Y41" s="3721"/>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21" t="s">
        <v>1694</v>
      </c>
      <c r="Q42" s="1352" t="str">
        <f t="shared" si="14"/>
        <v>工程地质条件</v>
      </c>
      <c r="R42" s="705" t="s">
        <v>14</v>
      </c>
      <c r="S42" s="706">
        <f t="shared" si="10"/>
        <v>100</v>
      </c>
      <c r="T42" s="705" t="s">
        <v>14</v>
      </c>
      <c r="U42" s="706">
        <f t="shared" si="11"/>
        <v>100</v>
      </c>
      <c r="V42" s="705" t="s">
        <v>14</v>
      </c>
      <c r="W42" s="706">
        <f t="shared" si="12"/>
        <v>100</v>
      </c>
      <c r="X42" s="1355"/>
      <c r="Y42" s="3721"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1"/>
      <c r="Q43" s="1352">
        <f t="shared" si="14"/>
        <v>111</v>
      </c>
      <c r="R43" s="705" t="s">
        <v>14</v>
      </c>
      <c r="S43" s="706">
        <f t="shared" si="10"/>
        <v>100</v>
      </c>
      <c r="T43" s="705" t="s">
        <v>14</v>
      </c>
      <c r="U43" s="706">
        <f t="shared" si="11"/>
        <v>100</v>
      </c>
      <c r="V43" s="705" t="s">
        <v>14</v>
      </c>
      <c r="W43" s="706">
        <f t="shared" si="12"/>
        <v>100</v>
      </c>
      <c r="X43" s="1355"/>
      <c r="Y43" s="372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1"/>
      <c r="Q44" s="1352">
        <f t="shared" si="14"/>
        <v>111</v>
      </c>
      <c r="R44" s="705" t="s">
        <v>14</v>
      </c>
      <c r="S44" s="706">
        <f t="shared" si="10"/>
        <v>100</v>
      </c>
      <c r="T44" s="705" t="s">
        <v>14</v>
      </c>
      <c r="U44" s="706">
        <f t="shared" si="11"/>
        <v>100</v>
      </c>
      <c r="V44" s="705" t="s">
        <v>14</v>
      </c>
      <c r="W44" s="706">
        <f t="shared" si="12"/>
        <v>100</v>
      </c>
      <c r="X44" s="1355"/>
      <c r="Y44" s="372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1"/>
      <c r="Q45" s="1352">
        <f t="shared" si="14"/>
        <v>111</v>
      </c>
      <c r="R45" s="708" t="s">
        <v>14</v>
      </c>
      <c r="S45" s="709">
        <f t="shared" si="10"/>
        <v>100</v>
      </c>
      <c r="T45" s="708" t="s">
        <v>14</v>
      </c>
      <c r="U45" s="709">
        <f t="shared" si="11"/>
        <v>100</v>
      </c>
      <c r="V45" s="708" t="s">
        <v>14</v>
      </c>
      <c r="W45" s="709">
        <f t="shared" si="12"/>
        <v>100</v>
      </c>
      <c r="X45" s="710"/>
      <c r="Y45" s="3721"/>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3"/>
      <c r="M46" s="2724"/>
      <c r="N46" s="2715"/>
      <c r="O46" s="2724"/>
      <c r="P46" s="3714" t="str">
        <f>A46</f>
        <v>成交单价</v>
      </c>
      <c r="Q46" s="3714"/>
      <c r="R46" s="3709">
        <f>E46</f>
        <v>0</v>
      </c>
      <c r="S46" s="3709"/>
      <c r="T46" s="3709">
        <f>G46</f>
        <v>0</v>
      </c>
      <c r="U46" s="3709"/>
      <c r="V46" s="3709">
        <f>I46</f>
        <v>0</v>
      </c>
      <c r="W46" s="3709"/>
      <c r="X46" s="690"/>
      <c r="Y46" s="712"/>
      <c r="Z46" s="690"/>
      <c r="AA46" s="690"/>
      <c r="AB46" s="690"/>
      <c r="AC46" s="690"/>
    </row>
    <row r="47" spans="1:29" ht="15.75" thickBot="1">
      <c r="A47" s="437" t="s">
        <v>1791</v>
      </c>
      <c r="B47" s="631"/>
      <c r="C47" s="440" t="e">
        <f>R48</f>
        <v>#DIV/0!</v>
      </c>
      <c r="D47" s="2317" t="s">
        <v>2134</v>
      </c>
      <c r="E47" s="440" t="e">
        <f>R47</f>
        <v>#DIV/0!</v>
      </c>
      <c r="F47" s="2318"/>
      <c r="G47" s="439" t="e">
        <f>T47</f>
        <v>#DIV/0!</v>
      </c>
      <c r="H47" s="2318"/>
      <c r="I47" s="440" t="e">
        <f>V47</f>
        <v>#DIV/0!</v>
      </c>
      <c r="J47" s="2318"/>
      <c r="K47" s="2320">
        <f>F47+H47+J47</f>
        <v>0</v>
      </c>
      <c r="L47" s="2723"/>
      <c r="M47" s="2724"/>
      <c r="N47" s="2724"/>
      <c r="O47" s="2724"/>
      <c r="P47" s="3714" t="str">
        <f>A47</f>
        <v>比较价值（元/平方米）</v>
      </c>
      <c r="Q47" s="3714"/>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3"/>
      <c r="M48" s="2724"/>
      <c r="N48" s="2724"/>
      <c r="O48" s="2724"/>
      <c r="P48" s="3711" t="str">
        <f>A48</f>
        <v>估价对象XX用房的比较价值（楼面单价，元/平方米）</v>
      </c>
      <c r="Q48" s="3712"/>
      <c r="R48" s="3743" t="e">
        <f>ROUND(IF(D47="简单平均",AVERAGE(R47:W47),R47*F47+T47*H47+V47*J47),0)</f>
        <v>#DIV/0!</v>
      </c>
      <c r="S48" s="3743"/>
      <c r="T48" s="3743"/>
      <c r="U48" s="3743"/>
      <c r="V48" s="3743"/>
      <c r="W48" s="3743"/>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1879</v>
      </c>
      <c r="B55" s="633" t="s">
        <v>1880</v>
      </c>
      <c r="C55" s="1983" t="s">
        <v>1881</v>
      </c>
      <c r="D55" s="1984" t="s">
        <v>1882</v>
      </c>
      <c r="E55" s="634" t="s">
        <v>1883</v>
      </c>
      <c r="F55" s="890" t="s">
        <v>1884</v>
      </c>
      <c r="G55" s="3697" t="s">
        <v>1885</v>
      </c>
      <c r="H55" s="3744"/>
      <c r="I55" s="135" t="s">
        <v>1886</v>
      </c>
      <c r="J55" s="1985">
        <f>项目基本情况!F35</f>
        <v>0</v>
      </c>
      <c r="K55" s="1986" t="s">
        <v>1887</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1888</v>
      </c>
      <c r="B56" s="637" t="e">
        <f>C48</f>
        <v>#DIV/0!</v>
      </c>
      <c r="C56" s="638">
        <v>1</v>
      </c>
      <c r="D56" s="944">
        <v>1</v>
      </c>
      <c r="E56" s="638">
        <f>'数据-汇总表'!E8+'数据-汇总表'!E9</f>
        <v>8390.83</v>
      </c>
      <c r="F56" s="886" t="e">
        <f t="shared" ref="F56:F64" si="15">ROUND(B56*E56/10000,0)</f>
        <v>#DIV/0!</v>
      </c>
      <c r="G56" s="3696"/>
      <c r="H56" s="3714"/>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1889</v>
      </c>
      <c r="B57" s="218" t="e">
        <f>ROUND($C$48*C57*D57,0)</f>
        <v>#DIV/0!</v>
      </c>
      <c r="C57" s="171">
        <f t="shared" ref="C57:C64" si="16">IF($C$55="北京市系数",I57,J57)</f>
        <v>0</v>
      </c>
      <c r="D57" s="945">
        <v>0.25</v>
      </c>
      <c r="E57" s="642"/>
      <c r="F57" s="886" t="e">
        <f t="shared" si="15"/>
        <v>#DIV/0!</v>
      </c>
      <c r="G57" s="3005" t="s">
        <v>1890</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1891</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1892</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1901</v>
      </c>
      <c r="B65" s="644" t="s">
        <v>22</v>
      </c>
      <c r="C65" s="644" t="s">
        <v>23</v>
      </c>
      <c r="D65" s="644" t="s">
        <v>392</v>
      </c>
      <c r="E65" s="644">
        <f>IF(B46="楼面地价",SUM(E56:E64),'数据-汇总表'!D3)</f>
        <v>8390.83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4"/>
      <c r="Q67" s="2724"/>
      <c r="R67" s="2724"/>
      <c r="S67" s="2724"/>
      <c r="T67" s="2724"/>
      <c r="U67" s="2724"/>
      <c r="V67" s="2724"/>
      <c r="W67" s="2724"/>
      <c r="X67" s="2724"/>
      <c r="Y67" s="2724"/>
      <c r="Z67" s="2724"/>
      <c r="AA67" s="2724"/>
      <c r="AB67" s="2724"/>
      <c r="AC67" s="2724"/>
    </row>
    <row r="68" spans="1:29" ht="21.75" thickBot="1">
      <c r="A68" s="694" t="s">
        <v>1796</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1902</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1714</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1679</v>
      </c>
      <c r="B72" s="459"/>
      <c r="C72" s="471" t="s">
        <v>1774</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1717</v>
      </c>
      <c r="B74" s="477" t="s">
        <v>1683</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1686</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1688</v>
      </c>
      <c r="B87" s="477" t="s">
        <v>1718</v>
      </c>
      <c r="C87" s="522" t="s">
        <v>1719</v>
      </c>
      <c r="D87" s="522" t="s">
        <v>1720</v>
      </c>
      <c r="E87" s="522" t="s">
        <v>1721</v>
      </c>
      <c r="F87" s="522" t="s">
        <v>1722</v>
      </c>
      <c r="G87" s="522" t="s">
        <v>1723</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1904</v>
      </c>
      <c r="C89" s="527" t="s">
        <v>1719</v>
      </c>
      <c r="D89" s="527" t="s">
        <v>1720</v>
      </c>
      <c r="E89" s="527" t="s">
        <v>1721</v>
      </c>
      <c r="F89" s="527" t="s">
        <v>1722</v>
      </c>
      <c r="G89" s="527" t="s">
        <v>1723</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1819</v>
      </c>
      <c r="C91" s="527" t="s">
        <v>1719</v>
      </c>
      <c r="D91" s="527" t="s">
        <v>1720</v>
      </c>
      <c r="E91" s="527" t="s">
        <v>1721</v>
      </c>
      <c r="F91" s="527" t="s">
        <v>1722</v>
      </c>
      <c r="G91" s="527" t="s">
        <v>1723</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1724</v>
      </c>
      <c r="C93" s="527" t="s">
        <v>1719</v>
      </c>
      <c r="D93" s="527" t="s">
        <v>1720</v>
      </c>
      <c r="E93" s="527" t="s">
        <v>1721</v>
      </c>
      <c r="F93" s="527" t="s">
        <v>1722</v>
      </c>
      <c r="G93" s="527" t="s">
        <v>1723</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1813</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1871</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1912</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1913</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1914</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1915</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1" zoomScale="85" zoomScaleNormal="60" zoomScaleSheetLayoutView="85" workbookViewId="0">
      <selection activeCell="C68" sqref="C6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f>F61</f>
        <v>409</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1462</v>
      </c>
      <c r="B3" s="558">
        <f>ROUND(IF(D3="",B2*10000/'数据-汇总表'!E3,B2*10000/D3),0)</f>
        <v>487</v>
      </c>
      <c r="C3" s="203" t="s">
        <v>1867</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1767</v>
      </c>
      <c r="B4" s="356"/>
      <c r="C4" s="3697" t="s">
        <v>1768</v>
      </c>
      <c r="D4" s="3698"/>
      <c r="E4" s="3699" t="s">
        <v>1769</v>
      </c>
      <c r="F4" s="3700"/>
      <c r="G4" s="3697" t="s">
        <v>1770</v>
      </c>
      <c r="H4" s="3698"/>
      <c r="I4" s="3697" t="s">
        <v>1771</v>
      </c>
      <c r="J4" s="3698"/>
      <c r="K4" s="559" t="s">
        <v>1772</v>
      </c>
      <c r="L4" s="2714"/>
      <c r="M4" s="2715"/>
      <c r="N4" s="2715"/>
      <c r="O4" s="2715"/>
      <c r="P4" s="3701" t="s">
        <v>1773</v>
      </c>
      <c r="Q4" s="3702"/>
      <c r="R4" s="3684" t="s">
        <v>1769</v>
      </c>
      <c r="S4" s="3685"/>
      <c r="T4" s="3684" t="s">
        <v>1770</v>
      </c>
      <c r="U4" s="3685"/>
      <c r="V4" s="3709" t="s">
        <v>1771</v>
      </c>
      <c r="W4" s="3709"/>
      <c r="X4" s="1355"/>
      <c r="Y4" s="3684" t="s">
        <v>1773</v>
      </c>
      <c r="Z4" s="3685"/>
      <c r="AA4" s="3679" t="s">
        <v>1769</v>
      </c>
      <c r="AB4" s="3680" t="s">
        <v>1770</v>
      </c>
      <c r="AC4" s="3679" t="s">
        <v>1771</v>
      </c>
    </row>
    <row r="5" spans="1:29" ht="15">
      <c r="A5" s="358"/>
      <c r="B5" s="359"/>
      <c r="C5" s="3690" t="s">
        <v>1671</v>
      </c>
      <c r="D5" s="3691"/>
      <c r="E5" s="3688" t="str">
        <f>Sheet0!A6</f>
        <v>松高路南侧、经八路北侧、镇东路东侧、纬七路西侧</v>
      </c>
      <c r="F5" s="3689"/>
      <c r="G5" s="3690" t="str">
        <f>Sheet0!A11</f>
        <v>经六路南侧、松高路北侧、工业路东侧、涿新路西侧</v>
      </c>
      <c r="H5" s="3691"/>
      <c r="I5" s="3690" t="str">
        <f>Sheet0!A12</f>
        <v>史各庄村学校街南侧、经四路北侧</v>
      </c>
      <c r="J5" s="3691"/>
      <c r="K5" s="559"/>
      <c r="L5" s="2714"/>
      <c r="M5" s="2715"/>
      <c r="N5" s="2715"/>
      <c r="O5" s="2715"/>
      <c r="P5" s="3703"/>
      <c r="Q5" s="3704"/>
      <c r="R5" s="3686"/>
      <c r="S5" s="3687"/>
      <c r="T5" s="3686"/>
      <c r="U5" s="3687"/>
      <c r="V5" s="3709"/>
      <c r="W5" s="3709"/>
      <c r="X5" s="1355"/>
      <c r="Y5" s="3686"/>
      <c r="Z5" s="3687"/>
      <c r="AA5" s="3680"/>
      <c r="AB5" s="3680"/>
      <c r="AC5" s="3680"/>
    </row>
    <row r="6" spans="1:29" ht="15.75" thickBot="1">
      <c r="A6" s="360"/>
      <c r="B6" s="361"/>
      <c r="C6" s="3745" t="s">
        <v>1917</v>
      </c>
      <c r="D6" s="3746"/>
      <c r="E6" s="3747" t="s">
        <v>1917</v>
      </c>
      <c r="F6" s="3748"/>
      <c r="G6" s="3745" t="s">
        <v>1917</v>
      </c>
      <c r="H6" s="3746"/>
      <c r="I6" s="3745" t="s">
        <v>1917</v>
      </c>
      <c r="J6" s="3746"/>
      <c r="K6" s="559" t="s">
        <v>1676</v>
      </c>
      <c r="L6" s="2714"/>
      <c r="M6" s="2715"/>
      <c r="N6" s="2715"/>
      <c r="O6" s="2715"/>
      <c r="P6" s="3705"/>
      <c r="Q6" s="3706"/>
      <c r="R6" s="3686"/>
      <c r="S6" s="3687"/>
      <c r="T6" s="3707"/>
      <c r="U6" s="3708"/>
      <c r="V6" s="3709"/>
      <c r="W6" s="3709"/>
      <c r="X6" s="1355"/>
      <c r="Y6" s="3707"/>
      <c r="Z6" s="3708"/>
      <c r="AA6" s="3681"/>
      <c r="AB6" s="3681"/>
      <c r="AC6" s="3681"/>
    </row>
    <row r="7" spans="1:29" s="108" customFormat="1" ht="15.75" thickBot="1">
      <c r="A7" s="362" t="s">
        <v>1677</v>
      </c>
      <c r="B7" s="363"/>
      <c r="C7" s="364">
        <f>'数据-取费表'!B2</f>
        <v>45131</v>
      </c>
      <c r="D7" s="365">
        <v>100</v>
      </c>
      <c r="E7" s="366" t="str">
        <f>Sheet0!K6</f>
        <v>2023-02-27</v>
      </c>
      <c r="F7" s="367">
        <f>SUMIF(65:65,YEAR(E7)&amp;"-"&amp;INT((MONTH(E7)+2)/3),66:66)</f>
        <v>99.4</v>
      </c>
      <c r="G7" s="1974" t="str">
        <f>Sheet0!K11</f>
        <v>2022-06-28</v>
      </c>
      <c r="H7" s="365">
        <f>SUMIF(65:65,YEAR(G7)&amp;"-"&amp;INT((MONTH(G7)+2)/3),66:66)</f>
        <v>98.500000000000014</v>
      </c>
      <c r="I7" s="1974" t="str">
        <f>Sheet0!K12</f>
        <v>2022-03-24</v>
      </c>
      <c r="J7" s="365">
        <f>SUMIF(65:65,YEAR(I7)&amp;"-"&amp;INT((MONTH(I7)+2)/3),66:66)</f>
        <v>98.200000000000017</v>
      </c>
      <c r="K7" s="560"/>
      <c r="L7" s="2716"/>
      <c r="M7" s="2717"/>
      <c r="N7" s="2717"/>
      <c r="O7" s="2717"/>
      <c r="P7" s="3682" t="s">
        <v>1678</v>
      </c>
      <c r="Q7" s="3710"/>
      <c r="R7" s="701" t="s">
        <v>14</v>
      </c>
      <c r="S7" s="702">
        <f t="shared" ref="S7:S15" si="0">F7</f>
        <v>99.4</v>
      </c>
      <c r="T7" s="701" t="s">
        <v>14</v>
      </c>
      <c r="U7" s="702">
        <f t="shared" ref="U7:U15" si="1">H7</f>
        <v>98.500000000000014</v>
      </c>
      <c r="V7" s="701" t="s">
        <v>14</v>
      </c>
      <c r="W7" s="702">
        <f t="shared" ref="W7:W15" si="2">J7</f>
        <v>98.200000000000017</v>
      </c>
      <c r="X7" s="703"/>
      <c r="Y7" s="3682" t="s">
        <v>1678</v>
      </c>
      <c r="Z7" s="3683"/>
      <c r="AA7" s="704">
        <f>D7/F7</f>
        <v>1.0060362173038229</v>
      </c>
      <c r="AB7" s="704">
        <f>D7/H7</f>
        <v>1.015228426395939</v>
      </c>
      <c r="AC7" s="704">
        <f>D7/J7</f>
        <v>1.0183299389002034</v>
      </c>
    </row>
    <row r="8" spans="1:29" s="108" customFormat="1" ht="15.75" thickBot="1">
      <c r="A8" s="362" t="s">
        <v>1679</v>
      </c>
      <c r="B8" s="363"/>
      <c r="C8" s="368" t="s">
        <v>1680</v>
      </c>
      <c r="D8" s="365">
        <v>100</v>
      </c>
      <c r="E8" s="368" t="s">
        <v>3479</v>
      </c>
      <c r="F8" s="367">
        <f>SUMIF(68:68,E8,69:69)-SUMIF(68:68,C8,69:69)+100</f>
        <v>100</v>
      </c>
      <c r="G8" s="368" t="s">
        <v>3479</v>
      </c>
      <c r="H8" s="365">
        <f>SUMIF(68:68,G8,69:69)-SUMIF(68:68,C8,69:69)+100</f>
        <v>100</v>
      </c>
      <c r="I8" s="368" t="s">
        <v>3479</v>
      </c>
      <c r="J8" s="365">
        <f>SUMIF(68:68,I8,69:69)-SUMIF(68:68,C8,69:69)+100</f>
        <v>100</v>
      </c>
      <c r="K8" s="560"/>
      <c r="L8" s="2716"/>
      <c r="M8" s="2717"/>
      <c r="N8" s="2717"/>
      <c r="O8" s="2717"/>
      <c r="P8" s="3682" t="s">
        <v>1681</v>
      </c>
      <c r="Q8" s="3683"/>
      <c r="R8" s="701" t="s">
        <v>14</v>
      </c>
      <c r="S8" s="702">
        <f t="shared" si="0"/>
        <v>100</v>
      </c>
      <c r="T8" s="701" t="s">
        <v>14</v>
      </c>
      <c r="U8" s="702">
        <f t="shared" si="1"/>
        <v>100</v>
      </c>
      <c r="V8" s="701" t="s">
        <v>14</v>
      </c>
      <c r="W8" s="702">
        <f t="shared" si="2"/>
        <v>100</v>
      </c>
      <c r="X8" s="703"/>
      <c r="Y8" s="3682" t="s">
        <v>1681</v>
      </c>
      <c r="Z8" s="3683"/>
      <c r="AA8" s="704">
        <f t="shared" ref="AA8:AA40" si="3">D8/F8</f>
        <v>1</v>
      </c>
      <c r="AB8" s="704">
        <f t="shared" ref="AB8:AB40" si="4">D8/H8</f>
        <v>1</v>
      </c>
      <c r="AC8" s="704">
        <f t="shared" ref="AC8:AC40" si="5">D8/J8</f>
        <v>1</v>
      </c>
    </row>
    <row r="9" spans="1:29" s="108" customFormat="1">
      <c r="A9" s="369" t="s">
        <v>1682</v>
      </c>
      <c r="B9" s="63" t="s">
        <v>1683</v>
      </c>
      <c r="C9" s="1977" t="s">
        <v>3</v>
      </c>
      <c r="D9" s="126">
        <v>100</v>
      </c>
      <c r="E9" s="1977" t="s">
        <v>3</v>
      </c>
      <c r="F9" s="126">
        <f>SUMIF(70:70,E9,71:71)-SUMIF(70:70,C9,71:71)+100</f>
        <v>100</v>
      </c>
      <c r="G9" s="1977" t="s">
        <v>3</v>
      </c>
      <c r="H9" s="126">
        <f>SUMIF(70:70,G9,71:71)-SUMIF(70:70,C9,71:71)+100</f>
        <v>100</v>
      </c>
      <c r="I9" s="1977" t="s">
        <v>3</v>
      </c>
      <c r="J9" s="126">
        <f>SUMIF(70:70,I9,71:71)-SUMIF(70:70,C9,71:71)+100</f>
        <v>100</v>
      </c>
      <c r="K9" s="560"/>
      <c r="L9" s="2716"/>
      <c r="M9" s="2717"/>
      <c r="N9" s="2717"/>
      <c r="O9" s="2771"/>
      <c r="P9" s="3714" t="s">
        <v>1684</v>
      </c>
      <c r="Q9" s="1343" t="str">
        <f t="shared" ref="Q9:Q15" si="6">B9</f>
        <v>用途</v>
      </c>
      <c r="R9" s="701" t="s">
        <v>14</v>
      </c>
      <c r="S9" s="702">
        <f t="shared" si="0"/>
        <v>100</v>
      </c>
      <c r="T9" s="701" t="s">
        <v>14</v>
      </c>
      <c r="U9" s="702">
        <f t="shared" si="1"/>
        <v>100</v>
      </c>
      <c r="V9" s="701" t="s">
        <v>14</v>
      </c>
      <c r="W9" s="702">
        <f t="shared" si="2"/>
        <v>100</v>
      </c>
      <c r="X9" s="703"/>
      <c r="Y9" s="3626"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103</v>
      </c>
      <c r="G10" s="383"/>
      <c r="H10" s="127">
        <f>ROUND(100/'数据-取费表'!G16,0)</f>
        <v>103</v>
      </c>
      <c r="I10" s="383"/>
      <c r="J10" s="127">
        <f>ROUND(100/'数据-取费表'!G16,0)</f>
        <v>103</v>
      </c>
      <c r="K10" s="620"/>
      <c r="L10" s="2718"/>
      <c r="M10" s="2719"/>
      <c r="N10" s="2719"/>
      <c r="O10" s="2772"/>
      <c r="P10" s="3714"/>
      <c r="Q10" s="1343" t="str">
        <f t="shared" si="6"/>
        <v>土地使用年限（年）</v>
      </c>
      <c r="R10" s="701" t="s">
        <v>14</v>
      </c>
      <c r="S10" s="702">
        <f t="shared" si="0"/>
        <v>103</v>
      </c>
      <c r="T10" s="701" t="s">
        <v>14</v>
      </c>
      <c r="U10" s="702">
        <f t="shared" si="1"/>
        <v>103</v>
      </c>
      <c r="V10" s="701" t="s">
        <v>14</v>
      </c>
      <c r="W10" s="702">
        <f t="shared" si="2"/>
        <v>103</v>
      </c>
      <c r="X10" s="703"/>
      <c r="Y10" s="3626"/>
      <c r="Z10" s="52" t="str">
        <f t="shared" si="7"/>
        <v>土地使用年限（年）</v>
      </c>
      <c r="AA10" s="704">
        <f t="shared" si="3"/>
        <v>0.970873786407767</v>
      </c>
      <c r="AB10" s="704">
        <f t="shared" si="4"/>
        <v>0.970873786407767</v>
      </c>
      <c r="AC10" s="704">
        <f t="shared" si="5"/>
        <v>0.970873786407767</v>
      </c>
    </row>
    <row r="11" spans="1:29" ht="15.75" thickBot="1">
      <c r="A11" s="379"/>
      <c r="B11" s="375" t="s">
        <v>1687</v>
      </c>
      <c r="C11" s="3462">
        <f>'数据-汇总表'!I7</f>
        <v>1.68</v>
      </c>
      <c r="D11" s="127">
        <v>100</v>
      </c>
      <c r="E11" s="380">
        <v>1.5</v>
      </c>
      <c r="F11" s="127">
        <f>LOOKUP(E11,75:75,76:76)-LOOKUP(C11,75:75,76:76)+100</f>
        <v>100</v>
      </c>
      <c r="G11" s="381">
        <v>1.5</v>
      </c>
      <c r="H11" s="127">
        <f>LOOKUP(G11,75:75,76:76)-LOOKUP(C11,75:75,76:76)+100</f>
        <v>100</v>
      </c>
      <c r="I11" s="380">
        <v>1.5</v>
      </c>
      <c r="J11" s="127">
        <f>LOOKUP(I11,75:75,76:76)-LOOKUP(C11,75:75,76:76)+100</f>
        <v>100</v>
      </c>
      <c r="K11" s="621">
        <v>2</v>
      </c>
      <c r="L11" s="2720"/>
      <c r="M11" s="2715"/>
      <c r="N11" s="2715"/>
      <c r="O11" s="2773"/>
      <c r="P11" s="3714"/>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704">
        <f t="shared" si="5"/>
        <v>1</v>
      </c>
    </row>
    <row r="12" spans="1:29" s="108" customFormat="1" ht="15" hidden="1">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hidden="1">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hidden="1"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4"/>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15">
      <c r="A15" s="391" t="s">
        <v>1688</v>
      </c>
      <c r="B15" s="577" t="s">
        <v>1918</v>
      </c>
      <c r="C15" s="1971">
        <f>估价对象房地状况!G15</f>
        <v>0</v>
      </c>
      <c r="D15" s="392">
        <v>100</v>
      </c>
      <c r="E15" s="393"/>
      <c r="F15" s="392">
        <f>SUMIF(83:83,E16,84:84)-SUMIF(83:83,C16,84:84)+100</f>
        <v>100</v>
      </c>
      <c r="G15" s="393"/>
      <c r="H15" s="392">
        <f>SUMIF(83:83,G16,84:84)-SUMIF(83:83,C16,84:84)+100</f>
        <v>100</v>
      </c>
      <c r="I15" s="395"/>
      <c r="J15" s="392">
        <f>SUMIF(83:83,I16,84:84)-SUMIF(83:83,C16,84:84)+100</f>
        <v>100</v>
      </c>
      <c r="K15" s="621">
        <v>3</v>
      </c>
      <c r="L15" s="2721"/>
      <c r="M15" s="2715"/>
      <c r="N15" s="2715"/>
      <c r="O15" s="2773"/>
      <c r="P15" s="3716" t="s">
        <v>1689</v>
      </c>
      <c r="Q15" s="1352" t="str">
        <f t="shared" si="6"/>
        <v>产业集聚程度</v>
      </c>
      <c r="R15" s="705" t="s">
        <v>14</v>
      </c>
      <c r="S15" s="706">
        <f t="shared" si="0"/>
        <v>100</v>
      </c>
      <c r="T15" s="705" t="s">
        <v>14</v>
      </c>
      <c r="U15" s="706">
        <f t="shared" si="1"/>
        <v>100</v>
      </c>
      <c r="V15" s="705" t="s">
        <v>14</v>
      </c>
      <c r="W15" s="706">
        <f t="shared" si="2"/>
        <v>100</v>
      </c>
      <c r="X15" s="1355"/>
      <c r="Y15" s="3716" t="s">
        <v>1689</v>
      </c>
      <c r="Z15" s="1356" t="str">
        <f t="shared" si="7"/>
        <v>产业集聚程度</v>
      </c>
      <c r="AA15" s="1353">
        <f t="shared" si="3"/>
        <v>1</v>
      </c>
      <c r="AB15" s="1353">
        <f t="shared" si="4"/>
        <v>1</v>
      </c>
      <c r="AC15" s="1353">
        <f t="shared" si="5"/>
        <v>1</v>
      </c>
    </row>
    <row r="16" spans="1:29" ht="15">
      <c r="A16" s="379"/>
      <c r="B16" s="578"/>
      <c r="C16" s="398" t="s">
        <v>3482</v>
      </c>
      <c r="D16" s="399"/>
      <c r="E16" s="398" t="s">
        <v>3482</v>
      </c>
      <c r="F16" s="399"/>
      <c r="G16" s="398" t="s">
        <v>3482</v>
      </c>
      <c r="H16" s="401"/>
      <c r="I16" s="398" t="s">
        <v>3482</v>
      </c>
      <c r="J16" s="399"/>
      <c r="K16" s="620"/>
      <c r="L16" s="2721"/>
      <c r="M16" s="2715"/>
      <c r="N16" s="2715"/>
      <c r="O16" s="2773"/>
      <c r="P16" s="3717"/>
      <c r="Q16" s="1352"/>
      <c r="R16" s="705"/>
      <c r="S16" s="706"/>
      <c r="T16" s="705"/>
      <c r="U16" s="706"/>
      <c r="V16" s="705"/>
      <c r="W16" s="706"/>
      <c r="X16" s="1355"/>
      <c r="Y16" s="3717"/>
      <c r="Z16" s="1356"/>
      <c r="AA16" s="1353">
        <v>1</v>
      </c>
      <c r="AB16" s="1353">
        <v>1</v>
      </c>
      <c r="AC16" s="1353">
        <v>1</v>
      </c>
    </row>
    <row r="17" spans="1:29" ht="15">
      <c r="A17" s="379"/>
      <c r="B17" s="579" t="s">
        <v>1831</v>
      </c>
      <c r="C17" s="1900">
        <f>估价对象房地状况!G16</f>
        <v>0</v>
      </c>
      <c r="D17" s="401">
        <v>100</v>
      </c>
      <c r="E17" s="403"/>
      <c r="F17" s="406">
        <f>SUMIF(85:85,E18,86:86)-SUMIF(85:85,C18,86:86)+100</f>
        <v>100</v>
      </c>
      <c r="G17" s="403"/>
      <c r="H17" s="406">
        <f>SUMIF(85:85,G18,86:86)-SUMIF(85:85,C18,86:86)+100</f>
        <v>100</v>
      </c>
      <c r="I17" s="405"/>
      <c r="J17" s="401">
        <f>SUMIF(85:85,I18,86:86)-SUMIF(85:85,C18,86:86)+100</f>
        <v>100</v>
      </c>
      <c r="K17" s="621">
        <v>3</v>
      </c>
      <c r="L17" s="2721"/>
      <c r="M17" s="2715"/>
      <c r="N17" s="2715"/>
      <c r="O17" s="2773"/>
      <c r="P17" s="3717"/>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580"/>
      <c r="C18" s="398" t="s">
        <v>3482</v>
      </c>
      <c r="D18" s="399"/>
      <c r="E18" s="398" t="s">
        <v>3482</v>
      </c>
      <c r="F18" s="399"/>
      <c r="G18" s="398" t="s">
        <v>3482</v>
      </c>
      <c r="H18" s="399"/>
      <c r="I18" s="398" t="s">
        <v>3482</v>
      </c>
      <c r="J18" s="399"/>
      <c r="K18" s="620"/>
      <c r="L18" s="2721"/>
      <c r="M18" s="2715"/>
      <c r="N18" s="2715"/>
      <c r="O18" s="2773"/>
      <c r="P18" s="3717"/>
      <c r="Q18" s="1352"/>
      <c r="R18" s="705"/>
      <c r="S18" s="706"/>
      <c r="T18" s="705"/>
      <c r="U18" s="706"/>
      <c r="V18" s="705"/>
      <c r="W18" s="706"/>
      <c r="X18" s="1355"/>
      <c r="Y18" s="3717"/>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21"/>
      <c r="M19" s="2715"/>
      <c r="N19" s="2715"/>
      <c r="O19" s="2773"/>
      <c r="P19" s="3717"/>
      <c r="Q19" s="1352" t="str">
        <f t="shared" ref="Q19:Q33" si="8">B19</f>
        <v>区域土地利用方向</v>
      </c>
      <c r="R19" s="705" t="s">
        <v>14</v>
      </c>
      <c r="S19" s="706">
        <f>F19</f>
        <v>100</v>
      </c>
      <c r="T19" s="705" t="s">
        <v>14</v>
      </c>
      <c r="U19" s="706">
        <f>H19</f>
        <v>100</v>
      </c>
      <c r="V19" s="705" t="s">
        <v>14</v>
      </c>
      <c r="W19" s="706">
        <f>J19</f>
        <v>100</v>
      </c>
      <c r="X19" s="1355"/>
      <c r="Y19" s="3717"/>
      <c r="Z19" s="1356" t="str">
        <f>Q19</f>
        <v>区域土地利用方向</v>
      </c>
      <c r="AA19" s="1353">
        <f t="shared" si="3"/>
        <v>1</v>
      </c>
      <c r="AB19" s="1353">
        <f t="shared" si="4"/>
        <v>1</v>
      </c>
      <c r="AC19" s="1353">
        <f t="shared" si="5"/>
        <v>1</v>
      </c>
    </row>
    <row r="20" spans="1:29" ht="15">
      <c r="A20" s="358"/>
      <c r="B20" s="580"/>
      <c r="C20" s="398" t="s">
        <v>3483</v>
      </c>
      <c r="D20" s="399"/>
      <c r="E20" s="398" t="s">
        <v>3483</v>
      </c>
      <c r="F20" s="399"/>
      <c r="G20" s="398" t="s">
        <v>3483</v>
      </c>
      <c r="H20" s="399"/>
      <c r="I20" s="398" t="s">
        <v>3483</v>
      </c>
      <c r="J20" s="399"/>
      <c r="K20" s="740"/>
      <c r="L20" s="2721"/>
      <c r="M20" s="2715"/>
      <c r="N20" s="2715"/>
      <c r="O20" s="2773"/>
      <c r="P20" s="3717"/>
      <c r="Q20" s="1352"/>
      <c r="R20" s="705"/>
      <c r="S20" s="706"/>
      <c r="T20" s="705"/>
      <c r="U20" s="706"/>
      <c r="V20" s="705"/>
      <c r="W20" s="706"/>
      <c r="X20" s="1355"/>
      <c r="Y20" s="3717"/>
      <c r="Z20" s="1356"/>
      <c r="AA20" s="1353"/>
      <c r="AB20" s="1353"/>
      <c r="AC20" s="1353"/>
    </row>
    <row r="21" spans="1:29" ht="15">
      <c r="A21" s="358"/>
      <c r="B21" s="579" t="s">
        <v>1919</v>
      </c>
      <c r="C21" s="1900">
        <f>估价对象房地状况!G18</f>
        <v>0</v>
      </c>
      <c r="D21" s="401">
        <v>100</v>
      </c>
      <c r="E21" s="403"/>
      <c r="F21" s="401">
        <f>SUMIF(89:89,E22,90:90)-SUMIF(89:89,C22,90:90)+100</f>
        <v>100</v>
      </c>
      <c r="G21" s="403"/>
      <c r="H21" s="401">
        <f>SUMIF(89:89,G22,90:90)-SUMIF(89:89,C22,90:90)+100</f>
        <v>100</v>
      </c>
      <c r="I21" s="405"/>
      <c r="J21" s="401">
        <f>SUMIF(89:89,I22,90:90)-SUMIF(89:89,C22,90:90)+100</f>
        <v>100</v>
      </c>
      <c r="K21" s="621">
        <v>3</v>
      </c>
      <c r="L21" s="2721"/>
      <c r="M21" s="2715"/>
      <c r="N21" s="2715"/>
      <c r="O21" s="2773"/>
      <c r="P21" s="3717"/>
      <c r="Q21" s="1352" t="str">
        <f t="shared" si="8"/>
        <v>环境状况</v>
      </c>
      <c r="R21" s="705" t="s">
        <v>14</v>
      </c>
      <c r="S21" s="706">
        <f>F21</f>
        <v>100</v>
      </c>
      <c r="T21" s="705" t="s">
        <v>14</v>
      </c>
      <c r="U21" s="706">
        <f>H21</f>
        <v>100</v>
      </c>
      <c r="V21" s="705" t="s">
        <v>14</v>
      </c>
      <c r="W21" s="706">
        <f>J21</f>
        <v>100</v>
      </c>
      <c r="X21" s="1355"/>
      <c r="Y21" s="3717"/>
      <c r="Z21" s="1356" t="str">
        <f>Q21</f>
        <v>环境状况</v>
      </c>
      <c r="AA21" s="1353">
        <f t="shared" si="3"/>
        <v>1</v>
      </c>
      <c r="AB21" s="1353">
        <f t="shared" si="4"/>
        <v>1</v>
      </c>
      <c r="AC21" s="1353">
        <f t="shared" si="5"/>
        <v>1</v>
      </c>
    </row>
    <row r="22" spans="1:29" ht="15">
      <c r="A22" s="358"/>
      <c r="B22" s="580"/>
      <c r="C22" s="398" t="s">
        <v>3482</v>
      </c>
      <c r="D22" s="399"/>
      <c r="E22" s="398" t="s">
        <v>3482</v>
      </c>
      <c r="F22" s="399"/>
      <c r="G22" s="398" t="s">
        <v>3482</v>
      </c>
      <c r="H22" s="399"/>
      <c r="I22" s="398" t="s">
        <v>3482</v>
      </c>
      <c r="J22" s="399"/>
      <c r="K22" s="620"/>
      <c r="L22" s="2721"/>
      <c r="M22" s="2715"/>
      <c r="N22" s="2715"/>
      <c r="O22" s="2773"/>
      <c r="P22" s="3717"/>
      <c r="Q22" s="1352"/>
      <c r="R22" s="705"/>
      <c r="S22" s="706"/>
      <c r="T22" s="705"/>
      <c r="U22" s="706"/>
      <c r="V22" s="705"/>
      <c r="W22" s="706"/>
      <c r="X22" s="1355"/>
      <c r="Y22" s="3717"/>
      <c r="Z22" s="1356"/>
      <c r="AA22" s="1353">
        <v>1</v>
      </c>
      <c r="AB22" s="1353">
        <v>1</v>
      </c>
      <c r="AC22" s="1353">
        <v>1</v>
      </c>
    </row>
    <row r="23" spans="1:29" s="108" customFormat="1" ht="15">
      <c r="A23" s="597"/>
      <c r="B23" s="581" t="s">
        <v>1776</v>
      </c>
      <c r="C23" s="1900">
        <f>估价对象房地状况!G19</f>
        <v>0</v>
      </c>
      <c r="D23" s="401">
        <v>100</v>
      </c>
      <c r="E23" s="403"/>
      <c r="F23" s="401">
        <f>SUMIF(91:91,E24,92:92)-SUMIF(91:91,C24,92:92)+100</f>
        <v>100</v>
      </c>
      <c r="G23" s="403"/>
      <c r="H23" s="401">
        <f>SUMIF(91:91,G24,92:92)-SUMIF(91:91,C24,92:92)+100</f>
        <v>100</v>
      </c>
      <c r="I23" s="405"/>
      <c r="J23" s="401">
        <f>SUMIF(91:91,I24,92:92)-SUMIF(91:91,C24,92:92)+100</f>
        <v>100</v>
      </c>
      <c r="K23" s="621">
        <v>3</v>
      </c>
      <c r="L23" s="2716"/>
      <c r="M23" s="2717"/>
      <c r="N23" s="2717"/>
      <c r="O23" s="2771"/>
      <c r="P23" s="3717"/>
      <c r="Q23" s="1343" t="str">
        <f t="shared" si="8"/>
        <v>公共配套设施</v>
      </c>
      <c r="R23" s="701" t="s">
        <v>14</v>
      </c>
      <c r="S23" s="702">
        <f>F23</f>
        <v>100</v>
      </c>
      <c r="T23" s="701" t="s">
        <v>14</v>
      </c>
      <c r="U23" s="702">
        <f>H23</f>
        <v>100</v>
      </c>
      <c r="V23" s="701" t="s">
        <v>14</v>
      </c>
      <c r="W23" s="702">
        <f>J23</f>
        <v>100</v>
      </c>
      <c r="X23" s="703"/>
      <c r="Y23" s="3717"/>
      <c r="Z23" s="52" t="str">
        <f>Q23</f>
        <v>公共配套设施</v>
      </c>
      <c r="AA23" s="1353">
        <f>D23/F23</f>
        <v>1</v>
      </c>
      <c r="AB23" s="1353">
        <f>D23/H23</f>
        <v>1</v>
      </c>
      <c r="AC23" s="1353">
        <f>D23/J23</f>
        <v>1</v>
      </c>
    </row>
    <row r="24" spans="1:29" s="108" customFormat="1" ht="15">
      <c r="A24" s="597"/>
      <c r="B24" s="580"/>
      <c r="C24" s="398" t="s">
        <v>3482</v>
      </c>
      <c r="D24" s="399"/>
      <c r="E24" s="398" t="s">
        <v>3482</v>
      </c>
      <c r="F24" s="399"/>
      <c r="G24" s="398" t="s">
        <v>3482</v>
      </c>
      <c r="H24" s="399"/>
      <c r="I24" s="398" t="s">
        <v>3482</v>
      </c>
      <c r="J24" s="399"/>
      <c r="K24" s="620"/>
      <c r="L24" s="2716"/>
      <c r="M24" s="2717"/>
      <c r="N24" s="2717"/>
      <c r="O24" s="2771"/>
      <c r="P24" s="3717"/>
      <c r="Q24" s="1343"/>
      <c r="R24" s="701"/>
      <c r="S24" s="702"/>
      <c r="T24" s="701"/>
      <c r="U24" s="702"/>
      <c r="V24" s="701"/>
      <c r="W24" s="702"/>
      <c r="X24" s="703"/>
      <c r="Y24" s="3717"/>
      <c r="Z24" s="52"/>
      <c r="AA24" s="704">
        <v>1</v>
      </c>
      <c r="AB24" s="704">
        <v>1</v>
      </c>
      <c r="AC24" s="704">
        <v>1</v>
      </c>
    </row>
    <row r="25" spans="1:29" s="108" customFormat="1" ht="15">
      <c r="A25" s="597"/>
      <c r="B25" s="581" t="s">
        <v>1777</v>
      </c>
      <c r="C25" s="1900">
        <f>估价对象房地状况!G20</f>
        <v>0</v>
      </c>
      <c r="D25" s="401">
        <v>100</v>
      </c>
      <c r="E25" s="403"/>
      <c r="F25" s="401">
        <f>SUMIF(93:93,E26,94:94)-SUMIF(93:93,C26,94:94)+100</f>
        <v>100</v>
      </c>
      <c r="G25" s="403"/>
      <c r="H25" s="401">
        <f>SUMIF(93:93,G26,94:94)-SUMIF(93:93,C26,94:94)+100</f>
        <v>100</v>
      </c>
      <c r="I25" s="405"/>
      <c r="J25" s="401">
        <f>SUMIF(93:93,I26,94:94)-SUMIF(93:93,C26,94:94)+100</f>
        <v>100</v>
      </c>
      <c r="K25" s="621">
        <v>3</v>
      </c>
      <c r="L25" s="2716"/>
      <c r="M25" s="2717"/>
      <c r="N25" s="2717"/>
      <c r="O25" s="2771"/>
      <c r="P25" s="3717"/>
      <c r="Q25" s="1343" t="str">
        <f t="shared" ref="Q25" si="9">B25</f>
        <v>基础设施水平</v>
      </c>
      <c r="R25" s="701" t="s">
        <v>14</v>
      </c>
      <c r="S25" s="702">
        <f>F25</f>
        <v>100</v>
      </c>
      <c r="T25" s="701" t="s">
        <v>14</v>
      </c>
      <c r="U25" s="702">
        <f>H25</f>
        <v>100</v>
      </c>
      <c r="V25" s="701" t="s">
        <v>14</v>
      </c>
      <c r="W25" s="702">
        <f>J25</f>
        <v>100</v>
      </c>
      <c r="X25" s="703"/>
      <c r="Y25" s="3717"/>
      <c r="Z25" s="52" t="str">
        <f>Q25</f>
        <v>基础设施水平</v>
      </c>
      <c r="AA25" s="1353">
        <f>D25/F25</f>
        <v>1</v>
      </c>
      <c r="AB25" s="1353">
        <f>D25/H25</f>
        <v>1</v>
      </c>
      <c r="AC25" s="1353">
        <f>D25/J25</f>
        <v>1</v>
      </c>
    </row>
    <row r="26" spans="1:29" s="108" customFormat="1" ht="15.75" thickBot="1">
      <c r="A26" s="597"/>
      <c r="B26" s="580"/>
      <c r="C26" s="1978" t="s">
        <v>3484</v>
      </c>
      <c r="D26" s="399"/>
      <c r="E26" s="1978" t="s">
        <v>3484</v>
      </c>
      <c r="F26" s="399"/>
      <c r="G26" s="1978" t="s">
        <v>3484</v>
      </c>
      <c r="H26" s="399"/>
      <c r="I26" s="1978" t="s">
        <v>3484</v>
      </c>
      <c r="J26" s="399"/>
      <c r="K26" s="620"/>
      <c r="L26" s="2716"/>
      <c r="M26" s="2717"/>
      <c r="N26" s="2717"/>
      <c r="O26" s="2771"/>
      <c r="P26" s="3717"/>
      <c r="Q26" s="1343"/>
      <c r="R26" s="701"/>
      <c r="S26" s="702"/>
      <c r="T26" s="701"/>
      <c r="U26" s="702"/>
      <c r="V26" s="701"/>
      <c r="W26" s="702"/>
      <c r="X26" s="703"/>
      <c r="Y26" s="3717"/>
      <c r="Z26" s="52"/>
      <c r="AA26" s="704">
        <v>1</v>
      </c>
      <c r="AB26" s="704">
        <v>1</v>
      </c>
      <c r="AC26" s="704">
        <v>1</v>
      </c>
    </row>
    <row r="27" spans="1:29" ht="15" hidden="1">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7"/>
      <c r="Z27" s="1356" t="str">
        <f t="shared" ref="Z27:Z40" si="13">Q27</f>
        <v>临街状况</v>
      </c>
      <c r="AA27" s="1353">
        <f t="shared" si="3"/>
        <v>1</v>
      </c>
      <c r="AB27" s="1353">
        <f t="shared" si="4"/>
        <v>1</v>
      </c>
      <c r="AC27" s="1353">
        <f t="shared" si="5"/>
        <v>1</v>
      </c>
    </row>
    <row r="28" spans="1:29" ht="27" hidden="1">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7"/>
      <c r="Q28" s="1352" t="str">
        <f t="shared" si="8"/>
        <v>毗邻道路的类型与等级</v>
      </c>
      <c r="R28" s="705" t="s">
        <v>14</v>
      </c>
      <c r="S28" s="706">
        <f t="shared" si="10"/>
        <v>100</v>
      </c>
      <c r="T28" s="705" t="s">
        <v>14</v>
      </c>
      <c r="U28" s="706">
        <f t="shared" si="11"/>
        <v>100</v>
      </c>
      <c r="V28" s="705" t="s">
        <v>14</v>
      </c>
      <c r="W28" s="706">
        <f t="shared" si="12"/>
        <v>100</v>
      </c>
      <c r="X28" s="1355"/>
      <c r="Y28" s="3717"/>
      <c r="Z28" s="1356" t="str">
        <f t="shared" si="13"/>
        <v>毗邻道路的类型与等级</v>
      </c>
      <c r="AA28" s="1353">
        <f t="shared" si="3"/>
        <v>1</v>
      </c>
      <c r="AB28" s="1353">
        <f t="shared" si="4"/>
        <v>1</v>
      </c>
      <c r="AC28" s="1353">
        <f t="shared" si="5"/>
        <v>1</v>
      </c>
    </row>
    <row r="29" spans="1:29" ht="15" hidden="1">
      <c r="A29" s="379"/>
      <c r="B29" s="580"/>
      <c r="C29" s="398"/>
      <c r="D29" s="399"/>
      <c r="E29" s="1904"/>
      <c r="F29" s="399"/>
      <c r="G29" s="1904"/>
      <c r="H29" s="399"/>
      <c r="I29" s="1904"/>
      <c r="J29" s="399"/>
      <c r="K29" s="562"/>
      <c r="L29" s="2721"/>
      <c r="M29" s="2715"/>
      <c r="N29" s="2715"/>
      <c r="O29" s="2773"/>
      <c r="P29" s="3717"/>
      <c r="Q29" s="1352"/>
      <c r="R29" s="705"/>
      <c r="S29" s="706"/>
      <c r="T29" s="705"/>
      <c r="U29" s="706"/>
      <c r="V29" s="705"/>
      <c r="W29" s="706"/>
      <c r="X29" s="1355"/>
      <c r="Y29" s="3717"/>
      <c r="Z29" s="1356"/>
      <c r="AA29" s="1353">
        <v>1</v>
      </c>
      <c r="AB29" s="1353">
        <v>1</v>
      </c>
      <c r="AC29" s="1353">
        <v>1</v>
      </c>
    </row>
    <row r="30" spans="1:29" ht="15" hidden="1">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7"/>
      <c r="Q30" s="1352" t="str">
        <f t="shared" si="8"/>
        <v>土地级别</v>
      </c>
      <c r="R30" s="705" t="s">
        <v>14</v>
      </c>
      <c r="S30" s="706">
        <f t="shared" si="10"/>
        <v>100</v>
      </c>
      <c r="T30" s="705" t="s">
        <v>14</v>
      </c>
      <c r="U30" s="706">
        <f t="shared" si="11"/>
        <v>100</v>
      </c>
      <c r="V30" s="705" t="s">
        <v>14</v>
      </c>
      <c r="W30" s="706">
        <f t="shared" si="12"/>
        <v>100</v>
      </c>
      <c r="X30" s="1355"/>
      <c r="Y30" s="3717"/>
      <c r="Z30" s="1356" t="str">
        <f t="shared" si="13"/>
        <v>土地级别</v>
      </c>
      <c r="AA30" s="1353">
        <f t="shared" si="3"/>
        <v>1</v>
      </c>
      <c r="AB30" s="1353">
        <f t="shared" si="4"/>
        <v>1</v>
      </c>
      <c r="AC30" s="1353">
        <f t="shared" si="5"/>
        <v>1</v>
      </c>
    </row>
    <row r="31" spans="1:29" ht="15" hidden="1">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7"/>
      <c r="Q31" s="1352">
        <f t="shared" si="8"/>
        <v>111</v>
      </c>
      <c r="R31" s="705" t="s">
        <v>14</v>
      </c>
      <c r="S31" s="706">
        <f t="shared" si="10"/>
        <v>100</v>
      </c>
      <c r="T31" s="705" t="s">
        <v>14</v>
      </c>
      <c r="U31" s="706">
        <f t="shared" si="11"/>
        <v>100</v>
      </c>
      <c r="V31" s="705" t="s">
        <v>14</v>
      </c>
      <c r="W31" s="706">
        <f t="shared" si="12"/>
        <v>100</v>
      </c>
      <c r="X31" s="1355"/>
      <c r="Y31" s="3717"/>
      <c r="Z31" s="1356">
        <f t="shared" si="13"/>
        <v>111</v>
      </c>
      <c r="AA31" s="1353">
        <f t="shared" si="3"/>
        <v>1</v>
      </c>
      <c r="AB31" s="1353">
        <f t="shared" si="4"/>
        <v>1</v>
      </c>
      <c r="AC31" s="1353">
        <f t="shared" si="5"/>
        <v>1</v>
      </c>
    </row>
    <row r="32" spans="1:29" ht="15" hidden="1">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0" t="s">
        <v>1694</v>
      </c>
      <c r="Q32" s="1352">
        <f t="shared" si="8"/>
        <v>111</v>
      </c>
      <c r="R32" s="705" t="s">
        <v>14</v>
      </c>
      <c r="S32" s="706">
        <f t="shared" si="10"/>
        <v>100</v>
      </c>
      <c r="T32" s="705" t="s">
        <v>14</v>
      </c>
      <c r="U32" s="706">
        <f t="shared" si="11"/>
        <v>100</v>
      </c>
      <c r="V32" s="705" t="s">
        <v>14</v>
      </c>
      <c r="W32" s="706">
        <f t="shared" si="12"/>
        <v>100</v>
      </c>
      <c r="X32" s="1355"/>
      <c r="Y32" s="3721" t="s">
        <v>1694</v>
      </c>
      <c r="Z32" s="1356">
        <f t="shared" si="13"/>
        <v>111</v>
      </c>
      <c r="AA32" s="1353">
        <f t="shared" si="3"/>
        <v>1</v>
      </c>
      <c r="AB32" s="1353">
        <f t="shared" si="4"/>
        <v>1</v>
      </c>
      <c r="AC32" s="1353">
        <f t="shared" si="5"/>
        <v>1</v>
      </c>
    </row>
    <row r="33" spans="1:31" s="422" customFormat="1" ht="15.75" hidden="1"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1"/>
      <c r="Q33" s="1352">
        <f t="shared" si="8"/>
        <v>111</v>
      </c>
      <c r="R33" s="708" t="s">
        <v>14</v>
      </c>
      <c r="S33" s="709">
        <f t="shared" si="10"/>
        <v>100</v>
      </c>
      <c r="T33" s="708" t="s">
        <v>14</v>
      </c>
      <c r="U33" s="709">
        <f t="shared" si="11"/>
        <v>100</v>
      </c>
      <c r="V33" s="708" t="s">
        <v>14</v>
      </c>
      <c r="W33" s="709">
        <f t="shared" si="12"/>
        <v>100</v>
      </c>
      <c r="X33" s="710"/>
      <c r="Y33" s="3721"/>
      <c r="Z33" s="711">
        <f t="shared" si="13"/>
        <v>111</v>
      </c>
      <c r="AA33" s="1353">
        <f t="shared" si="3"/>
        <v>1</v>
      </c>
      <c r="AB33" s="1353">
        <f t="shared" si="4"/>
        <v>1</v>
      </c>
      <c r="AC33" s="1353">
        <f t="shared" si="5"/>
        <v>1</v>
      </c>
    </row>
    <row r="34" spans="1:31" ht="15">
      <c r="A34" s="391" t="s">
        <v>1692</v>
      </c>
      <c r="B34" s="407" t="s">
        <v>1872</v>
      </c>
      <c r="C34" s="627">
        <f>'数据-基础表'!A3</f>
        <v>26509.51</v>
      </c>
      <c r="D34" s="418">
        <v>100</v>
      </c>
      <c r="E34" s="627">
        <f>Sheet0!D6</f>
        <v>67980.02</v>
      </c>
      <c r="F34" s="418">
        <f>LOOKUP(E34,108:108,109:109)-LOOKUP(C34,108:108,109:109)+100</f>
        <v>101</v>
      </c>
      <c r="G34" s="627">
        <f>Sheet0!D11</f>
        <v>181908.68</v>
      </c>
      <c r="H34" s="418">
        <f>LOOKUP(G34,108:108,109:109)-LOOKUP(C34,108:108,109:109)+100</f>
        <v>102</v>
      </c>
      <c r="I34" s="479">
        <f>Sheet0!D12</f>
        <v>18175.64</v>
      </c>
      <c r="J34" s="418">
        <f>LOOKUP(I34,108:108,109:109)-LOOKUP(C34,108:108,109:109)+100</f>
        <v>100</v>
      </c>
      <c r="K34" s="562"/>
      <c r="L34" s="2721"/>
      <c r="M34" s="2715"/>
      <c r="N34" s="2715"/>
      <c r="O34" s="2773"/>
      <c r="P34" s="3721"/>
      <c r="Q34" s="1352" t="str">
        <f>B34</f>
        <v>宗地面积</v>
      </c>
      <c r="R34" s="705" t="s">
        <v>14</v>
      </c>
      <c r="S34" s="706">
        <f t="shared" si="10"/>
        <v>101</v>
      </c>
      <c r="T34" s="705" t="s">
        <v>14</v>
      </c>
      <c r="U34" s="706">
        <f t="shared" si="11"/>
        <v>102</v>
      </c>
      <c r="V34" s="705" t="s">
        <v>14</v>
      </c>
      <c r="W34" s="706">
        <f t="shared" si="12"/>
        <v>100</v>
      </c>
      <c r="X34" s="1355"/>
      <c r="Y34" s="3721"/>
      <c r="Z34" s="1356" t="str">
        <f t="shared" si="13"/>
        <v>宗地面积</v>
      </c>
      <c r="AA34" s="1353">
        <f t="shared" si="3"/>
        <v>0.99009900990099009</v>
      </c>
      <c r="AB34" s="1353">
        <f t="shared" si="4"/>
        <v>0.98039215686274506</v>
      </c>
      <c r="AC34" s="1353">
        <f t="shared" si="5"/>
        <v>1</v>
      </c>
    </row>
    <row r="35" spans="1:31" ht="15">
      <c r="A35" s="423"/>
      <c r="B35" s="375" t="s">
        <v>1873</v>
      </c>
      <c r="C35" s="1906" t="s">
        <v>3485</v>
      </c>
      <c r="D35" s="386">
        <v>100</v>
      </c>
      <c r="E35" s="1906" t="s">
        <v>3485</v>
      </c>
      <c r="F35" s="386">
        <f>SUMIF(110:110,E35,111:111)-SUMIF(110:110,C35,111:111)+100</f>
        <v>100</v>
      </c>
      <c r="G35" s="1906" t="s">
        <v>3485</v>
      </c>
      <c r="H35" s="386">
        <f>SUMIF(110:110,G35,111:111)-SUMIF(110:110,C35,111:111)+100</f>
        <v>100</v>
      </c>
      <c r="I35" s="1906" t="s">
        <v>3485</v>
      </c>
      <c r="J35" s="386">
        <f>SUMIF(110:110,I35,111:111)-SUMIF(110:110,C35,111:111)+100</f>
        <v>100</v>
      </c>
      <c r="K35" s="561">
        <v>1</v>
      </c>
      <c r="L35" s="2721"/>
      <c r="M35" s="2715"/>
      <c r="N35" s="2715"/>
      <c r="O35" s="2773"/>
      <c r="P35" s="3721"/>
      <c r="Q35" s="1352" t="str">
        <f t="shared" ref="Q35:Q40" si="14">B35</f>
        <v>宗地形状</v>
      </c>
      <c r="R35" s="705" t="s">
        <v>14</v>
      </c>
      <c r="S35" s="706">
        <f t="shared" si="10"/>
        <v>100</v>
      </c>
      <c r="T35" s="705" t="s">
        <v>14</v>
      </c>
      <c r="U35" s="706">
        <f t="shared" si="11"/>
        <v>100</v>
      </c>
      <c r="V35" s="705" t="s">
        <v>14</v>
      </c>
      <c r="W35" s="706">
        <f t="shared" si="12"/>
        <v>100</v>
      </c>
      <c r="X35" s="1355"/>
      <c r="Y35" s="3721"/>
      <c r="Z35" s="1356" t="str">
        <f t="shared" si="13"/>
        <v>宗地形状</v>
      </c>
      <c r="AA35" s="1353">
        <f t="shared" si="3"/>
        <v>1</v>
      </c>
      <c r="AB35" s="1353">
        <f t="shared" si="4"/>
        <v>1</v>
      </c>
      <c r="AC35" s="1353">
        <f t="shared" si="5"/>
        <v>1</v>
      </c>
    </row>
    <row r="36" spans="1:31" s="108" customFormat="1" ht="15">
      <c r="A36" s="424"/>
      <c r="B36" s="375" t="s">
        <v>1875</v>
      </c>
      <c r="C36" s="1980" t="s">
        <v>3486</v>
      </c>
      <c r="D36" s="127">
        <v>100</v>
      </c>
      <c r="E36" s="1980" t="s">
        <v>3486</v>
      </c>
      <c r="F36" s="386">
        <f>SUMIF(112:112,E36,113:113)-SUMIF(112:112,C36,113:113)+100</f>
        <v>100</v>
      </c>
      <c r="G36" s="1980" t="s">
        <v>3486</v>
      </c>
      <c r="H36" s="386">
        <f>SUMIF(112:112,G36,113:113)-SUMIF(112:112,C36,113:113)+100</f>
        <v>100</v>
      </c>
      <c r="I36" s="1980" t="s">
        <v>3486</v>
      </c>
      <c r="J36" s="386">
        <f>SUMIF(112:112,I36,113:113)-SUMIF(112:112,C36,113:113)+100</f>
        <v>100</v>
      </c>
      <c r="K36" s="561">
        <v>1</v>
      </c>
      <c r="L36" s="2716"/>
      <c r="M36" s="2717"/>
      <c r="N36" s="2717"/>
      <c r="O36" s="2771"/>
      <c r="P36" s="3721"/>
      <c r="Q36" s="1352" t="str">
        <f t="shared" si="14"/>
        <v>宗地开发程度</v>
      </c>
      <c r="R36" s="701" t="s">
        <v>14</v>
      </c>
      <c r="S36" s="702">
        <f t="shared" si="10"/>
        <v>100</v>
      </c>
      <c r="T36" s="701" t="s">
        <v>14</v>
      </c>
      <c r="U36" s="702">
        <f t="shared" si="11"/>
        <v>100</v>
      </c>
      <c r="V36" s="701" t="s">
        <v>14</v>
      </c>
      <c r="W36" s="702">
        <f t="shared" si="12"/>
        <v>100</v>
      </c>
      <c r="X36" s="703"/>
      <c r="Y36" s="3721"/>
      <c r="Z36" s="52" t="str">
        <f t="shared" si="13"/>
        <v>宗地开发程度</v>
      </c>
      <c r="AA36" s="704">
        <f t="shared" si="3"/>
        <v>1</v>
      </c>
      <c r="AB36" s="704">
        <f t="shared" si="4"/>
        <v>1</v>
      </c>
      <c r="AC36" s="704">
        <f t="shared" si="5"/>
        <v>1</v>
      </c>
    </row>
    <row r="37" spans="1:31" ht="15.75" thickBot="1">
      <c r="A37" s="423"/>
      <c r="B37" s="375" t="s">
        <v>1876</v>
      </c>
      <c r="C37" s="1906" t="s">
        <v>3483</v>
      </c>
      <c r="D37" s="386">
        <v>100</v>
      </c>
      <c r="E37" s="1906" t="s">
        <v>3483</v>
      </c>
      <c r="F37" s="386">
        <f>SUMIF(114:114,E37,115:115)-SUMIF(114:114,C37,115:115)+100</f>
        <v>100</v>
      </c>
      <c r="G37" s="1906" t="s">
        <v>3483</v>
      </c>
      <c r="H37" s="386">
        <f>SUMIF(114:114,G37,115:115)-SUMIF(114:114,C37,115:115)+100</f>
        <v>100</v>
      </c>
      <c r="I37" s="1906" t="s">
        <v>3483</v>
      </c>
      <c r="J37" s="386">
        <f>SUMIF(114:114,I37,115:115)-SUMIF(114:114,C37,115:115)+100</f>
        <v>100</v>
      </c>
      <c r="K37" s="561">
        <v>1</v>
      </c>
      <c r="L37" s="2721"/>
      <c r="M37" s="2715"/>
      <c r="N37" s="2715"/>
      <c r="O37" s="2773"/>
      <c r="P37" s="3721" t="s">
        <v>1694</v>
      </c>
      <c r="Q37" s="1352" t="str">
        <f t="shared" si="14"/>
        <v>工程地质条件</v>
      </c>
      <c r="R37" s="705" t="s">
        <v>14</v>
      </c>
      <c r="S37" s="706">
        <f t="shared" si="10"/>
        <v>100</v>
      </c>
      <c r="T37" s="705" t="s">
        <v>14</v>
      </c>
      <c r="U37" s="706">
        <f t="shared" si="11"/>
        <v>100</v>
      </c>
      <c r="V37" s="705" t="s">
        <v>14</v>
      </c>
      <c r="W37" s="706">
        <f t="shared" si="12"/>
        <v>100</v>
      </c>
      <c r="X37" s="1355"/>
      <c r="Y37" s="3721" t="s">
        <v>1694</v>
      </c>
      <c r="Z37" s="1356" t="str">
        <f t="shared" si="13"/>
        <v>工程地质条件</v>
      </c>
      <c r="AA37" s="1353">
        <f t="shared" si="3"/>
        <v>1</v>
      </c>
      <c r="AB37" s="1353">
        <f t="shared" si="4"/>
        <v>1</v>
      </c>
      <c r="AC37" s="1353">
        <f t="shared" si="5"/>
        <v>1</v>
      </c>
    </row>
    <row r="38" spans="1:31" ht="15" hidden="1">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1"/>
      <c r="Q38" s="1352">
        <f t="shared" si="14"/>
        <v>111</v>
      </c>
      <c r="R38" s="705" t="s">
        <v>14</v>
      </c>
      <c r="S38" s="706">
        <f t="shared" si="10"/>
        <v>100</v>
      </c>
      <c r="T38" s="705" t="s">
        <v>14</v>
      </c>
      <c r="U38" s="706">
        <f t="shared" si="11"/>
        <v>100</v>
      </c>
      <c r="V38" s="705" t="s">
        <v>14</v>
      </c>
      <c r="W38" s="706">
        <f t="shared" si="12"/>
        <v>100</v>
      </c>
      <c r="X38" s="1355"/>
      <c r="Y38" s="3721"/>
      <c r="Z38" s="1356">
        <f t="shared" si="13"/>
        <v>111</v>
      </c>
      <c r="AA38" s="1353">
        <f t="shared" si="3"/>
        <v>1</v>
      </c>
      <c r="AB38" s="1353">
        <f t="shared" si="4"/>
        <v>1</v>
      </c>
      <c r="AC38" s="1353">
        <f t="shared" si="5"/>
        <v>1</v>
      </c>
    </row>
    <row r="39" spans="1:31" ht="15" hidden="1">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1"/>
      <c r="Q39" s="1352">
        <f t="shared" si="14"/>
        <v>111</v>
      </c>
      <c r="R39" s="705" t="s">
        <v>14</v>
      </c>
      <c r="S39" s="706">
        <f t="shared" si="10"/>
        <v>100</v>
      </c>
      <c r="T39" s="705" t="s">
        <v>14</v>
      </c>
      <c r="U39" s="706">
        <f t="shared" si="11"/>
        <v>100</v>
      </c>
      <c r="V39" s="705" t="s">
        <v>14</v>
      </c>
      <c r="W39" s="706">
        <f t="shared" si="12"/>
        <v>100</v>
      </c>
      <c r="X39" s="1355"/>
      <c r="Y39" s="3721"/>
      <c r="Z39" s="1356">
        <f t="shared" si="13"/>
        <v>111</v>
      </c>
      <c r="AA39" s="1353">
        <f t="shared" si="3"/>
        <v>1</v>
      </c>
      <c r="AB39" s="1353">
        <f t="shared" si="4"/>
        <v>1</v>
      </c>
      <c r="AC39" s="1353">
        <f t="shared" si="5"/>
        <v>1</v>
      </c>
    </row>
    <row r="40" spans="1:31" s="422" customFormat="1" ht="15.75" hidden="1"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1"/>
      <c r="Q40" s="1352">
        <f t="shared" si="14"/>
        <v>111</v>
      </c>
      <c r="R40" s="708" t="s">
        <v>14</v>
      </c>
      <c r="S40" s="709">
        <f t="shared" si="10"/>
        <v>100</v>
      </c>
      <c r="T40" s="708" t="s">
        <v>14</v>
      </c>
      <c r="U40" s="709">
        <f t="shared" si="11"/>
        <v>100</v>
      </c>
      <c r="V40" s="708" t="s">
        <v>14</v>
      </c>
      <c r="W40" s="709">
        <f t="shared" si="12"/>
        <v>100</v>
      </c>
      <c r="X40" s="710"/>
      <c r="Y40" s="3721"/>
      <c r="Z40" s="711">
        <f t="shared" si="13"/>
        <v>111</v>
      </c>
      <c r="AA40" s="1353">
        <f t="shared" si="3"/>
        <v>1</v>
      </c>
      <c r="AB40" s="1353">
        <f t="shared" si="4"/>
        <v>1</v>
      </c>
      <c r="AC40" s="1353">
        <f t="shared" si="5"/>
        <v>1</v>
      </c>
    </row>
    <row r="41" spans="1:31" ht="15">
      <c r="A41" s="430" t="s">
        <v>1842</v>
      </c>
      <c r="B41" s="1982" t="s">
        <v>3481</v>
      </c>
      <c r="C41" s="630" t="s">
        <v>0</v>
      </c>
      <c r="D41" s="432"/>
      <c r="E41" s="433">
        <f>ROUND(Sheet0!O6,0)</f>
        <v>500</v>
      </c>
      <c r="F41" s="434"/>
      <c r="G41" s="435">
        <f>ROUND(Sheet0!O11,0)</f>
        <v>500</v>
      </c>
      <c r="H41" s="436"/>
      <c r="I41" s="433">
        <f>ROUND(Sheet0!O12,0)</f>
        <v>500</v>
      </c>
      <c r="J41" s="436"/>
      <c r="K41" s="714"/>
      <c r="L41" s="2723"/>
      <c r="M41" s="2715"/>
      <c r="N41" s="2715"/>
      <c r="O41" s="2724"/>
      <c r="P41" s="3714" t="str">
        <f>A41</f>
        <v>成交单价</v>
      </c>
      <c r="Q41" s="3714"/>
      <c r="R41" s="3709">
        <f>E41</f>
        <v>500</v>
      </c>
      <c r="S41" s="3709"/>
      <c r="T41" s="3709">
        <f>G41</f>
        <v>500</v>
      </c>
      <c r="U41" s="3709"/>
      <c r="V41" s="3709">
        <f>I41</f>
        <v>500</v>
      </c>
      <c r="W41" s="3709"/>
      <c r="X41" s="690"/>
      <c r="Y41" s="712"/>
      <c r="Z41" s="690"/>
      <c r="AA41" s="690"/>
      <c r="AB41" s="690"/>
      <c r="AC41" s="690"/>
    </row>
    <row r="42" spans="1:31" ht="15.75" thickBot="1">
      <c r="A42" s="437" t="s">
        <v>1791</v>
      </c>
      <c r="B42" s="631"/>
      <c r="C42" s="440">
        <f>R43</f>
        <v>487</v>
      </c>
      <c r="D42" s="2317" t="s">
        <v>2134</v>
      </c>
      <c r="E42" s="440">
        <f>R42</f>
        <v>484</v>
      </c>
      <c r="F42" s="2318"/>
      <c r="G42" s="439">
        <f>T42</f>
        <v>483</v>
      </c>
      <c r="H42" s="2318"/>
      <c r="I42" s="440">
        <f>V42</f>
        <v>494</v>
      </c>
      <c r="J42" s="2318"/>
      <c r="K42" s="2320">
        <f>F42+H42+J42</f>
        <v>0</v>
      </c>
      <c r="L42" s="2723"/>
      <c r="M42" s="2715"/>
      <c r="N42" s="2715"/>
      <c r="O42" s="2724"/>
      <c r="P42" s="3714" t="str">
        <f>A42</f>
        <v>比较价值（元/平方米）</v>
      </c>
      <c r="Q42" s="3714"/>
      <c r="R42" s="3742">
        <f>ROUND(PRODUCT(R41,AA7:AA40),0)</f>
        <v>484</v>
      </c>
      <c r="S42" s="3742"/>
      <c r="T42" s="3742">
        <f>ROUND(PRODUCT(T41,AB7:AB40),0)</f>
        <v>483</v>
      </c>
      <c r="U42" s="3742"/>
      <c r="V42" s="3742">
        <f>ROUND(PRODUCT(V41,AC7:AC40),0)</f>
        <v>494</v>
      </c>
      <c r="W42" s="3742"/>
      <c r="X42" s="690"/>
      <c r="Y42" s="690"/>
      <c r="Z42" s="690"/>
      <c r="AA42" s="690"/>
      <c r="AB42" s="690"/>
      <c r="AC42" s="690"/>
    </row>
    <row r="43" spans="1:31" ht="15.75" thickBot="1">
      <c r="A43" s="441" t="s">
        <v>1792</v>
      </c>
      <c r="B43" s="442"/>
      <c r="C43" s="443">
        <f>R43</f>
        <v>487</v>
      </c>
      <c r="D43" s="443"/>
      <c r="E43" s="443"/>
      <c r="F43" s="443"/>
      <c r="G43" s="443"/>
      <c r="H43" s="443"/>
      <c r="I43" s="443"/>
      <c r="J43" s="443"/>
      <c r="K43" s="715"/>
      <c r="L43" s="2723"/>
      <c r="M43" s="2715"/>
      <c r="N43" s="2715"/>
      <c r="O43" s="2724"/>
      <c r="P43" s="3711" t="str">
        <f>A43</f>
        <v>估价对象XX用房的比较价值（楼面单价，元/平方米）</v>
      </c>
      <c r="Q43" s="3712"/>
      <c r="R43" s="3743">
        <f>ROUND(IF(D42="简单平均",AVERAGE(R42:W42),R42*F42+T42*H42+V42*J42),0)</f>
        <v>487</v>
      </c>
      <c r="S43" s="3743"/>
      <c r="T43" s="3743"/>
      <c r="U43" s="3743"/>
      <c r="V43" s="3743"/>
      <c r="W43" s="3743"/>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1793</v>
      </c>
      <c r="D46" s="447"/>
      <c r="E46" s="448">
        <f>IF(E41&lt;E42,E42/E41-1,E41/E42-1)</f>
        <v>3.3057851239669311E-2</v>
      </c>
      <c r="F46" s="449" t="str">
        <f>IF(OR(E46&gt;=0.3,E46&lt;=-0.3),"超过30%","")</f>
        <v/>
      </c>
      <c r="G46" s="448">
        <f>IF(G41&lt;G42,G42/G41-1,G41/G42-1)</f>
        <v>3.5196687370600444E-2</v>
      </c>
      <c r="H46" s="449" t="str">
        <f>IF(OR(G46&gt;=0.3,G46&lt;=-0.3),"超过30%","")</f>
        <v/>
      </c>
      <c r="I46" s="448">
        <f>IF(I41&lt;I42,I42/I41-1,I41/I42-1)</f>
        <v>1.2145748987854255E-2</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1794</v>
      </c>
      <c r="D47" s="450"/>
      <c r="E47" s="448">
        <f>IF(E42&lt;G42,G42/E42-1,E42/G42-1)</f>
        <v>2.0703933747412417E-3</v>
      </c>
      <c r="F47" s="449" t="str">
        <f>IF(OR(E47&gt;=0.2,E47&lt;=-0.2),"超过20%","")</f>
        <v/>
      </c>
      <c r="G47" s="448">
        <f>IF(G42&lt;I42,I42/G42-1,G42/I42-1)</f>
        <v>2.2774327122153215E-2</v>
      </c>
      <c r="H47" s="449" t="str">
        <f>IF(OR(G47&gt;=0.2,G47&lt;=-0.2),"超过20%","")</f>
        <v/>
      </c>
      <c r="I47" s="448">
        <f>IF(I42&lt;E42,E42/I42-1,I42/E42-1)</f>
        <v>2.0661157024793431E-2</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1795</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1879</v>
      </c>
      <c r="B50" s="633" t="s">
        <v>1880</v>
      </c>
      <c r="C50" s="1983" t="s">
        <v>1881</v>
      </c>
      <c r="D50" s="1984" t="s">
        <v>1882</v>
      </c>
      <c r="E50" s="634" t="s">
        <v>1883</v>
      </c>
      <c r="F50" s="635" t="s">
        <v>1884</v>
      </c>
      <c r="G50" s="3697" t="s">
        <v>1885</v>
      </c>
      <c r="H50" s="3744"/>
      <c r="I50" s="1356" t="s">
        <v>1920</v>
      </c>
      <c r="J50" s="1356">
        <f>项目基本情况!F35</f>
        <v>0</v>
      </c>
      <c r="K50" s="1986" t="s">
        <v>1887</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1888</v>
      </c>
      <c r="B51" s="637">
        <f>C43</f>
        <v>487</v>
      </c>
      <c r="C51" s="638">
        <v>1</v>
      </c>
      <c r="D51" s="944">
        <v>1</v>
      </c>
      <c r="E51" s="638">
        <f>'数据-汇总表'!E8+'数据-汇总表'!E9</f>
        <v>8390.83</v>
      </c>
      <c r="F51" s="639">
        <f t="shared" ref="F51:F60" si="15">ROUND(B51*E51/10000,0)</f>
        <v>409</v>
      </c>
      <c r="G51" s="3696"/>
      <c r="H51" s="3714"/>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1889</v>
      </c>
      <c r="B52" s="218">
        <f>ROUND($C$43*C52*D52,0)</f>
        <v>0</v>
      </c>
      <c r="C52" s="171">
        <f t="shared" ref="C52:C60" si="16">IF($C$50="北京市系数",I52,J52)</f>
        <v>0</v>
      </c>
      <c r="D52" s="945">
        <v>0.25</v>
      </c>
      <c r="E52" s="642"/>
      <c r="F52" s="639">
        <f t="shared" si="15"/>
        <v>0</v>
      </c>
      <c r="G52" s="3005" t="s">
        <v>1890</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1891</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1892</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1893</v>
      </c>
      <c r="B56" s="218">
        <f t="shared" si="17"/>
        <v>0</v>
      </c>
      <c r="C56" s="171">
        <f t="shared" si="16"/>
        <v>0</v>
      </c>
      <c r="D56" s="945">
        <v>0.25</v>
      </c>
      <c r="E56" s="217">
        <f>'数据-汇总表'!E11</f>
        <v>0</v>
      </c>
      <c r="F56" s="639">
        <f t="shared" si="15"/>
        <v>0</v>
      </c>
      <c r="G56" s="1987" t="s">
        <v>1894</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1895</v>
      </c>
      <c r="B57" s="218">
        <f t="shared" si="17"/>
        <v>0</v>
      </c>
      <c r="C57" s="171">
        <f t="shared" si="16"/>
        <v>0</v>
      </c>
      <c r="D57" s="945">
        <v>0.25</v>
      </c>
      <c r="E57" s="217">
        <f>'数据-汇总表'!E12</f>
        <v>0</v>
      </c>
      <c r="F57" s="639">
        <f t="shared" si="15"/>
        <v>0</v>
      </c>
      <c r="G57" s="892" t="s">
        <v>1896</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1897</v>
      </c>
      <c r="B58" s="218">
        <f t="shared" si="17"/>
        <v>0</v>
      </c>
      <c r="C58" s="171">
        <f t="shared" si="16"/>
        <v>0</v>
      </c>
      <c r="D58" s="945">
        <v>0.25</v>
      </c>
      <c r="E58" s="217">
        <f>'数据-汇总表'!E13</f>
        <v>0</v>
      </c>
      <c r="F58" s="639">
        <f t="shared" si="15"/>
        <v>0</v>
      </c>
      <c r="G58" s="892" t="s">
        <v>1898</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1899</v>
      </c>
      <c r="B59" s="218">
        <f t="shared" si="17"/>
        <v>0</v>
      </c>
      <c r="C59" s="171">
        <f t="shared" si="16"/>
        <v>0</v>
      </c>
      <c r="D59" s="945">
        <v>0.25</v>
      </c>
      <c r="E59" s="217">
        <f>'数据-汇总表'!E14</f>
        <v>0</v>
      </c>
      <c r="F59" s="639">
        <f t="shared" si="15"/>
        <v>0</v>
      </c>
      <c r="G59" s="1987" t="s">
        <v>1890</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1900</v>
      </c>
      <c r="B60" s="218">
        <f t="shared" si="17"/>
        <v>0</v>
      </c>
      <c r="C60" s="171">
        <f t="shared" si="16"/>
        <v>0</v>
      </c>
      <c r="D60" s="945">
        <v>0.25</v>
      </c>
      <c r="E60" s="217">
        <f>'数据-汇总表'!E15</f>
        <v>0</v>
      </c>
      <c r="F60" s="639">
        <f t="shared" si="15"/>
        <v>0</v>
      </c>
      <c r="G60" s="1988" t="s">
        <v>1894</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1901</v>
      </c>
      <c r="B61" s="644" t="s">
        <v>22</v>
      </c>
      <c r="C61" s="644" t="s">
        <v>23</v>
      </c>
      <c r="D61" s="644" t="s">
        <v>392</v>
      </c>
      <c r="E61" s="644">
        <f>IF(B41="楼面地价",SUM(E51:E60),'数据-汇总表'!D3)</f>
        <v>8390.83</v>
      </c>
      <c r="F61" s="645">
        <f>IF(B41="楼面地价",SUM(F51:F60),ROUND(C43*E61/10000,0))</f>
        <v>409</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4"/>
      <c r="Q63" s="2724"/>
      <c r="R63" s="2724"/>
      <c r="S63" s="2724"/>
      <c r="T63" s="2724"/>
      <c r="U63" s="2724"/>
      <c r="V63" s="2724"/>
      <c r="W63" s="2724"/>
      <c r="X63" s="2724"/>
      <c r="Y63" s="2724"/>
      <c r="Z63" s="2724"/>
      <c r="AA63" s="2724"/>
      <c r="AB63" s="2724"/>
      <c r="AC63" s="2724"/>
      <c r="AD63" s="2724"/>
      <c r="AE63" s="2724"/>
    </row>
    <row r="64" spans="1:31" ht="21.75" thickBot="1">
      <c r="A64" s="694" t="s">
        <v>1796</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1902</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1921</v>
      </c>
      <c r="B66" s="288" t="str">
        <f>"北京市平均增长率"&amp;TEXT(基准地价修正!P28,"0.00%")</f>
        <v>北京市平均增长率0.00%</v>
      </c>
      <c r="C66" s="552">
        <v>100</v>
      </c>
      <c r="D66" s="544">
        <f>C66-$C$67</f>
        <v>99.7</v>
      </c>
      <c r="E66" s="544">
        <f t="shared" ref="E66:M66" si="20">D66-$C$67</f>
        <v>99.4</v>
      </c>
      <c r="F66" s="544">
        <f t="shared" si="20"/>
        <v>99.100000000000009</v>
      </c>
      <c r="G66" s="544">
        <f t="shared" si="20"/>
        <v>98.800000000000011</v>
      </c>
      <c r="H66" s="544">
        <f t="shared" si="20"/>
        <v>98.500000000000014</v>
      </c>
      <c r="I66" s="544">
        <f t="shared" si="20"/>
        <v>98.200000000000017</v>
      </c>
      <c r="J66" s="544">
        <f t="shared" si="20"/>
        <v>97.90000000000002</v>
      </c>
      <c r="K66" s="544">
        <f t="shared" si="20"/>
        <v>97.600000000000023</v>
      </c>
      <c r="L66" s="544">
        <f t="shared" si="20"/>
        <v>97.300000000000026</v>
      </c>
      <c r="M66" s="544">
        <f t="shared" si="20"/>
        <v>97.000000000000028</v>
      </c>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1714</v>
      </c>
      <c r="B67" s="465"/>
      <c r="C67" s="466">
        <v>0.3</v>
      </c>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1679</v>
      </c>
      <c r="B68" s="459"/>
      <c r="C68" s="471" t="s">
        <v>1774</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1717</v>
      </c>
      <c r="B70" s="477" t="s">
        <v>1683</v>
      </c>
      <c r="C70" s="3451" t="s">
        <v>3480</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1686</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1687</v>
      </c>
      <c r="C74" s="496" t="str">
        <f>C75&amp;"（含）"&amp;"-"&amp;D75</f>
        <v>0（含）-0.5</v>
      </c>
      <c r="D74" s="496" t="str">
        <f t="shared" ref="D74:L74" si="21">D75&amp;"（含）"&amp;"-"&amp;E75</f>
        <v>0.5（含）-1</v>
      </c>
      <c r="E74" s="496" t="str">
        <f t="shared" si="21"/>
        <v>1（含）-1.5</v>
      </c>
      <c r="F74" s="496" t="str">
        <f t="shared" si="21"/>
        <v>1.5（含）-2</v>
      </c>
      <c r="G74" s="496" t="str">
        <f t="shared" si="21"/>
        <v>2（含）-2.5</v>
      </c>
      <c r="H74" s="496" t="str">
        <f t="shared" si="21"/>
        <v>2.5（含）-3</v>
      </c>
      <c r="I74" s="496" t="str">
        <f t="shared" si="21"/>
        <v>3（含）-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0.5</v>
      </c>
      <c r="E75" s="498">
        <v>1</v>
      </c>
      <c r="F75" s="498">
        <v>1.5</v>
      </c>
      <c r="G75" s="498">
        <v>2</v>
      </c>
      <c r="H75" s="498">
        <v>2.5</v>
      </c>
      <c r="I75" s="498">
        <v>3</v>
      </c>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98</v>
      </c>
      <c r="E76" s="493">
        <f t="shared" ref="E76:M76" si="22">IF($B$41="单位面积地价",D76+$K11,D76-$K11)</f>
        <v>96</v>
      </c>
      <c r="F76" s="493">
        <f t="shared" si="22"/>
        <v>94</v>
      </c>
      <c r="G76" s="493">
        <f t="shared" si="22"/>
        <v>92</v>
      </c>
      <c r="H76" s="493">
        <f t="shared" si="22"/>
        <v>90</v>
      </c>
      <c r="I76" s="493">
        <f t="shared" si="22"/>
        <v>88</v>
      </c>
      <c r="J76" s="493">
        <f t="shared" si="22"/>
        <v>86</v>
      </c>
      <c r="K76" s="493">
        <f t="shared" si="22"/>
        <v>84</v>
      </c>
      <c r="L76" s="493">
        <f t="shared" si="22"/>
        <v>82</v>
      </c>
      <c r="M76" s="493">
        <f t="shared" si="22"/>
        <v>80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1688</v>
      </c>
      <c r="B83" s="477" t="s">
        <v>1827</v>
      </c>
      <c r="C83" s="522" t="s">
        <v>1719</v>
      </c>
      <c r="D83" s="522" t="s">
        <v>1720</v>
      </c>
      <c r="E83" s="522" t="s">
        <v>1721</v>
      </c>
      <c r="F83" s="522" t="s">
        <v>1722</v>
      </c>
      <c r="G83" s="522" t="s">
        <v>1723</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97</v>
      </c>
      <c r="E84" s="493">
        <f>D84-$K15</f>
        <v>94</v>
      </c>
      <c r="F84" s="493">
        <f>E84-$K15</f>
        <v>91</v>
      </c>
      <c r="G84" s="493">
        <f>F84-$K15</f>
        <v>88</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1724</v>
      </c>
      <c r="C85" s="527" t="s">
        <v>1719</v>
      </c>
      <c r="D85" s="527" t="s">
        <v>1720</v>
      </c>
      <c r="E85" s="527" t="s">
        <v>1721</v>
      </c>
      <c r="F85" s="527" t="s">
        <v>1722</v>
      </c>
      <c r="G85" s="527" t="s">
        <v>1723</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97</v>
      </c>
      <c r="E86" s="493">
        <f>D86-$K17</f>
        <v>94</v>
      </c>
      <c r="F86" s="493">
        <f>E86-$K17</f>
        <v>91</v>
      </c>
      <c r="G86" s="493">
        <f>F86-$K17</f>
        <v>88</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97</v>
      </c>
      <c r="E90" s="493">
        <f>D90-$K21</f>
        <v>94</v>
      </c>
      <c r="F90" s="493">
        <f>E90-$K21</f>
        <v>91</v>
      </c>
      <c r="G90" s="493">
        <f>F90-$K21</f>
        <v>88</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97</v>
      </c>
      <c r="E92" s="493">
        <f>D92-$K23</f>
        <v>94</v>
      </c>
      <c r="F92" s="493">
        <f>E92-$K23</f>
        <v>91</v>
      </c>
      <c r="G92" s="493">
        <f>F92-$K23</f>
        <v>88</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1922</v>
      </c>
      <c r="C93" s="608" t="s">
        <v>1797</v>
      </c>
      <c r="D93" s="608" t="s">
        <v>1798</v>
      </c>
      <c r="E93" s="608" t="s">
        <v>1799</v>
      </c>
      <c r="F93" s="608" t="s">
        <v>1800</v>
      </c>
      <c r="G93" s="608" t="s">
        <v>1801</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97</v>
      </c>
      <c r="E94" s="493">
        <f>D94-$K25</f>
        <v>94</v>
      </c>
      <c r="F94" s="493">
        <f>E94-$K25</f>
        <v>91</v>
      </c>
      <c r="G94" s="493">
        <f>F94-$K25</f>
        <v>88</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1813</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1871</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1692</v>
      </c>
      <c r="B107" s="477" t="s">
        <v>1911</v>
      </c>
      <c r="C107" s="478" t="str">
        <f t="shared" ref="C107:L107" si="26">C108&amp;"(含)"&amp;"-"&amp;D108</f>
        <v>0(含)-50000</v>
      </c>
      <c r="D107" s="478" t="str">
        <f t="shared" si="26"/>
        <v>50000(含)-100000</v>
      </c>
      <c r="E107" s="478" t="str">
        <f t="shared" si="26"/>
        <v>100000(含)-200000</v>
      </c>
      <c r="F107" s="478" t="str">
        <f t="shared" si="26"/>
        <v>200000(含)-</v>
      </c>
      <c r="G107" s="478" t="str">
        <f t="shared" si="26"/>
        <v>(含)-</v>
      </c>
      <c r="H107" s="478" t="str">
        <f t="shared" si="26"/>
        <v>(含)-</v>
      </c>
      <c r="I107" s="478" t="str">
        <f t="shared" si="26"/>
        <v>(含)-</v>
      </c>
      <c r="J107" s="478" t="str">
        <f t="shared" si="26"/>
        <v>(含)-</v>
      </c>
      <c r="K107" s="1333" t="str">
        <f t="shared" si="26"/>
        <v>(含)-</v>
      </c>
      <c r="L107" s="1333" t="str">
        <f t="shared" si="26"/>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50000</v>
      </c>
      <c r="E108" s="544">
        <v>100000</v>
      </c>
      <c r="F108" s="544">
        <v>200000</v>
      </c>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v>101</v>
      </c>
      <c r="E109" s="540">
        <v>102</v>
      </c>
      <c r="F109" s="540">
        <v>103</v>
      </c>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1912</v>
      </c>
      <c r="C110" s="3452" t="s">
        <v>3487</v>
      </c>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7">C111-$K35</f>
        <v>99</v>
      </c>
      <c r="E111" s="493">
        <f t="shared" si="27"/>
        <v>98</v>
      </c>
      <c r="F111" s="493">
        <f t="shared" si="27"/>
        <v>97</v>
      </c>
      <c r="G111" s="493">
        <f t="shared" si="27"/>
        <v>96</v>
      </c>
      <c r="H111" s="493">
        <f t="shared" si="27"/>
        <v>95</v>
      </c>
      <c r="I111" s="493">
        <f t="shared" si="27"/>
        <v>94</v>
      </c>
      <c r="J111" s="493">
        <f t="shared" si="27"/>
        <v>93</v>
      </c>
      <c r="K111" s="493">
        <f t="shared" si="27"/>
        <v>92</v>
      </c>
      <c r="L111" s="493">
        <f t="shared" si="27"/>
        <v>91</v>
      </c>
      <c r="M111" s="494">
        <f t="shared" si="27"/>
        <v>90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1914</v>
      </c>
      <c r="C112" s="3453" t="s">
        <v>3488</v>
      </c>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8">C113-$K36</f>
        <v>99</v>
      </c>
      <c r="E113" s="493">
        <f t="shared" si="28"/>
        <v>98</v>
      </c>
      <c r="F113" s="493">
        <f t="shared" si="28"/>
        <v>97</v>
      </c>
      <c r="G113" s="493">
        <f t="shared" si="28"/>
        <v>96</v>
      </c>
      <c r="H113" s="493">
        <f t="shared" si="28"/>
        <v>95</v>
      </c>
      <c r="I113" s="493">
        <f t="shared" si="28"/>
        <v>94</v>
      </c>
      <c r="J113" s="493">
        <f t="shared" si="28"/>
        <v>93</v>
      </c>
      <c r="K113" s="493">
        <f t="shared" si="28"/>
        <v>92</v>
      </c>
      <c r="L113" s="493">
        <f t="shared" si="28"/>
        <v>91</v>
      </c>
      <c r="M113" s="494">
        <f t="shared" si="28"/>
        <v>90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1915</v>
      </c>
      <c r="C114" s="3453" t="s">
        <v>3499</v>
      </c>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9">C115-$K37</f>
        <v>99</v>
      </c>
      <c r="E115" s="493">
        <f t="shared" si="29"/>
        <v>98</v>
      </c>
      <c r="F115" s="493">
        <f t="shared" si="29"/>
        <v>97</v>
      </c>
      <c r="G115" s="493">
        <f t="shared" si="29"/>
        <v>96</v>
      </c>
      <c r="H115" s="493">
        <f t="shared" si="29"/>
        <v>95</v>
      </c>
      <c r="I115" s="493">
        <f t="shared" si="29"/>
        <v>94</v>
      </c>
      <c r="J115" s="493">
        <f t="shared" si="29"/>
        <v>93</v>
      </c>
      <c r="K115" s="493">
        <f t="shared" si="29"/>
        <v>92</v>
      </c>
      <c r="L115" s="493">
        <f t="shared" si="29"/>
        <v>91</v>
      </c>
      <c r="M115" s="494">
        <f t="shared" si="29"/>
        <v>90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disablePrompts="1"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42" sqref="D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t="s">
        <v>3492</v>
      </c>
      <c r="D1" s="1362" t="s">
        <v>43</v>
      </c>
      <c r="E1" s="1363" t="s">
        <v>676</v>
      </c>
      <c r="F1" s="1062">
        <f ca="1">J53</f>
        <v>44.88</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802</v>
      </c>
      <c r="B2" s="1386">
        <f ca="1">C40+J29+L46</f>
        <v>2728</v>
      </c>
      <c r="C2" s="1387" t="s">
        <v>803</v>
      </c>
      <c r="D2" s="1387"/>
      <c r="E2" s="1388"/>
      <c r="F2" s="1389"/>
      <c r="G2" s="2705"/>
      <c r="H2" s="2694"/>
      <c r="I2" s="2694"/>
      <c r="J2" s="2694"/>
      <c r="K2" s="2695"/>
      <c r="L2" s="2694"/>
      <c r="M2" s="2694"/>
    </row>
    <row r="3" spans="1:37" ht="18" customHeight="1" thickBot="1">
      <c r="A3" s="1390" t="s">
        <v>804</v>
      </c>
      <c r="B3" s="1391">
        <f ca="1">IF(ISERROR(B2*10000/F43),0,ROUND(B2*10000/F43,0))</f>
        <v>3251</v>
      </c>
      <c r="C3" s="1387" t="s">
        <v>805</v>
      </c>
      <c r="D3" s="1387"/>
      <c r="E3" s="1388"/>
      <c r="F3" s="1389"/>
      <c r="G3" s="2705"/>
      <c r="H3" s="683" t="s">
        <v>874</v>
      </c>
      <c r="I3" s="1382"/>
      <c r="J3" s="1382"/>
      <c r="K3" s="1383"/>
      <c r="L3" s="1382"/>
      <c r="M3" s="1382"/>
    </row>
    <row r="4" spans="1:37" ht="18" customHeight="1">
      <c r="A4" s="295" t="s">
        <v>685</v>
      </c>
      <c r="B4" s="296" t="s">
        <v>686</v>
      </c>
      <c r="C4" s="296" t="s">
        <v>687</v>
      </c>
      <c r="D4" s="296" t="s">
        <v>688</v>
      </c>
      <c r="E4" s="297" t="s">
        <v>689</v>
      </c>
      <c r="F4" s="298"/>
      <c r="G4" s="1384"/>
      <c r="H4" s="295" t="s">
        <v>685</v>
      </c>
      <c r="I4" s="296" t="s">
        <v>686</v>
      </c>
      <c r="J4" s="296" t="s">
        <v>687</v>
      </c>
      <c r="K4" s="296" t="s">
        <v>688</v>
      </c>
      <c r="L4" s="297" t="s">
        <v>689</v>
      </c>
      <c r="M4" s="298"/>
    </row>
    <row r="5" spans="1:37" ht="18" customHeight="1">
      <c r="A5" s="299">
        <v>1</v>
      </c>
      <c r="B5" s="300" t="s">
        <v>690</v>
      </c>
      <c r="C5" s="1070">
        <f ca="1">C6+C10+C12</f>
        <v>165</v>
      </c>
      <c r="D5" s="1364" t="s">
        <v>691</v>
      </c>
      <c r="E5" s="1071"/>
      <c r="F5" s="1072"/>
      <c r="G5" s="1384"/>
      <c r="H5" s="299">
        <v>1</v>
      </c>
      <c r="I5" s="300" t="s">
        <v>690</v>
      </c>
      <c r="J5" s="1070">
        <f ca="1">J6+J10+J12</f>
        <v>0</v>
      </c>
      <c r="K5" s="1364" t="s">
        <v>691</v>
      </c>
      <c r="L5" s="1071"/>
      <c r="M5" s="1072"/>
    </row>
    <row r="6" spans="1:37" ht="18" customHeight="1">
      <c r="A6" s="1069" t="s">
        <v>398</v>
      </c>
      <c r="B6" s="3653" t="s">
        <v>692</v>
      </c>
      <c r="C6" s="1074">
        <f ca="1">ROUND(F6*F8*F7*(1-F9)/10000,0)</f>
        <v>165</v>
      </c>
      <c r="D6" s="155" t="s">
        <v>2105</v>
      </c>
      <c r="E6" s="302" t="s">
        <v>694</v>
      </c>
      <c r="F6" s="303">
        <f ca="1">INDIRECT("'数据-取费表'!u"&amp;$G$1)</f>
        <v>0.6</v>
      </c>
      <c r="G6" s="1384"/>
      <c r="H6" s="1069" t="s">
        <v>398</v>
      </c>
      <c r="I6" s="3653" t="s">
        <v>692</v>
      </c>
      <c r="J6" s="301">
        <f ca="1">ROUND(M6*M8*M7*(1-M9)/10000,0)</f>
        <v>0</v>
      </c>
      <c r="K6" s="155" t="s">
        <v>2104</v>
      </c>
      <c r="L6" s="302" t="s">
        <v>694</v>
      </c>
      <c r="M6" s="303">
        <f ca="1">INDIRECT("'数据-取费表'!z"&amp;$G$1)</f>
        <v>0</v>
      </c>
    </row>
    <row r="7" spans="1:37" ht="18" customHeight="1">
      <c r="A7" s="1073"/>
      <c r="B7" s="3654"/>
      <c r="C7" s="1075"/>
      <c r="D7" s="307"/>
      <c r="E7" s="1076" t="s">
        <v>695</v>
      </c>
      <c r="F7" s="303">
        <f ca="1">IF(INDIRECT("'数据-取费表'!ah"&amp;$G$1)="",INDIRECT("'数据-取费表'!k"&amp;$G$1),INDIRECT("'数据-取费表'!ah"&amp;$G$1))</f>
        <v>8390.83</v>
      </c>
      <c r="G7" s="1384"/>
      <c r="H7" s="304"/>
      <c r="I7" s="3654"/>
      <c r="J7" s="306"/>
      <c r="K7" s="307"/>
      <c r="L7" s="302" t="s">
        <v>695</v>
      </c>
      <c r="M7" s="303">
        <f ca="1">F7</f>
        <v>8390.83</v>
      </c>
    </row>
    <row r="8" spans="1:37" ht="18" customHeight="1">
      <c r="A8" s="304"/>
      <c r="B8" s="3654"/>
      <c r="C8" s="306"/>
      <c r="D8" s="307"/>
      <c r="E8" s="302" t="s">
        <v>696</v>
      </c>
      <c r="F8" s="303">
        <f ca="1">INDIRECT("'数据-取费表'!ai"&amp;$G$1)</f>
        <v>365</v>
      </c>
      <c r="G8" s="1384"/>
      <c r="H8" s="304"/>
      <c r="I8" s="3654"/>
      <c r="J8" s="306"/>
      <c r="K8" s="307"/>
      <c r="L8" s="302" t="s">
        <v>696</v>
      </c>
      <c r="M8" s="303">
        <f ca="1">INDIRECT("'数据-取费表'!ai"&amp;$G$1)</f>
        <v>365</v>
      </c>
    </row>
    <row r="9" spans="1:37" ht="18" customHeight="1">
      <c r="A9" s="304"/>
      <c r="B9" s="3655"/>
      <c r="C9" s="306"/>
      <c r="D9" s="307"/>
      <c r="E9" s="302" t="s">
        <v>697</v>
      </c>
      <c r="F9" s="312">
        <f ca="1">INDIRECT("'数据-取费表'!w"&amp;$G$1)</f>
        <v>0.1</v>
      </c>
      <c r="G9" s="1384"/>
      <c r="H9" s="304"/>
      <c r="I9" s="3655"/>
      <c r="J9" s="306"/>
      <c r="K9" s="307"/>
      <c r="L9" s="313" t="s">
        <v>697</v>
      </c>
      <c r="M9" s="314">
        <f ca="1">INDIRECT("'数据-取费表'!ab"&amp;$G$1)</f>
        <v>0</v>
      </c>
    </row>
    <row r="10" spans="1:37" ht="18" customHeight="1">
      <c r="A10" s="1069" t="s">
        <v>402</v>
      </c>
      <c r="B10" s="1365" t="s">
        <v>698</v>
      </c>
      <c r="C10" s="316">
        <f ca="1">ROUND(IF(F10="押一",C6/12*F11,IF(F10="押二",C6/12*2*F11,IF(F10="押三",C6/12*3*F11,C11*F11))),0)</f>
        <v>0</v>
      </c>
      <c r="D10" s="1366" t="s">
        <v>2113</v>
      </c>
      <c r="E10" s="313" t="s">
        <v>699</v>
      </c>
      <c r="F10" s="1116" t="s">
        <v>3493</v>
      </c>
      <c r="G10" s="1384"/>
      <c r="H10" s="1069" t="s">
        <v>402</v>
      </c>
      <c r="I10" s="1365" t="s">
        <v>698</v>
      </c>
      <c r="J10" s="301">
        <f ca="1">ROUND(IF(M10="押一",J6/12*M11,IF(M10="押二",J6/12*2*M11,IF(M10="押三",J6/12*3*M11,J11*M11))),0)</f>
        <v>0</v>
      </c>
      <c r="K10" s="1366" t="s">
        <v>2112</v>
      </c>
      <c r="L10" s="313" t="s">
        <v>699</v>
      </c>
      <c r="M10" s="1116"/>
    </row>
    <row r="11" spans="1:37" ht="18" customHeight="1">
      <c r="A11" s="308"/>
      <c r="B11" s="1367" t="s">
        <v>677</v>
      </c>
      <c r="C11" s="959"/>
      <c r="D11" s="1368"/>
      <c r="E11" s="313" t="s">
        <v>700</v>
      </c>
      <c r="F11" s="314">
        <f ca="1">'数据-取费表'!B39</f>
        <v>1.4999999999999999E-2</v>
      </c>
      <c r="G11" s="1384"/>
      <c r="H11" s="1077"/>
      <c r="I11" s="1367" t="s">
        <v>677</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2048</v>
      </c>
      <c r="D13" s="1081" t="s">
        <v>703</v>
      </c>
      <c r="E13" s="1081" t="s">
        <v>704</v>
      </c>
      <c r="F13" s="1082">
        <f ca="1">INDIRECT("'数据-取费表'!y"&amp;$G$1)</f>
        <v>0.96</v>
      </c>
      <c r="G13" s="1384"/>
      <c r="H13" s="1079">
        <v>2</v>
      </c>
      <c r="I13" s="1080" t="s">
        <v>702</v>
      </c>
      <c r="J13" s="1068">
        <f ca="1">ROUND(J14*J15,0)</f>
        <v>0</v>
      </c>
      <c r="K13" s="1087" t="s">
        <v>703</v>
      </c>
      <c r="L13" s="1392"/>
      <c r="M13" s="1393"/>
    </row>
    <row r="14" spans="1:37" ht="18" customHeight="1">
      <c r="A14" s="982" t="s">
        <v>397</v>
      </c>
      <c r="B14" s="302" t="s">
        <v>705</v>
      </c>
      <c r="C14" s="318">
        <f ca="1">INDIRECT("'数据-取费表'!m"&amp;$G$1)+INDIRECT("'数据-取费表'!t"&amp;$G$1)</f>
        <v>1552</v>
      </c>
      <c r="D14" s="1345" t="s">
        <v>706</v>
      </c>
      <c r="E14" s="1342"/>
      <c r="F14" s="319"/>
      <c r="G14" s="1384"/>
      <c r="H14" s="982" t="s">
        <v>398</v>
      </c>
      <c r="I14" s="302" t="s">
        <v>707</v>
      </c>
      <c r="J14" s="21">
        <f ca="1">C29</f>
        <v>2133</v>
      </c>
      <c r="K14" s="12"/>
      <c r="L14" s="807"/>
      <c r="M14" s="808"/>
    </row>
    <row r="15" spans="1:37" s="1397" customFormat="1" ht="18" customHeight="1" thickBot="1">
      <c r="A15" s="982" t="s">
        <v>399</v>
      </c>
      <c r="B15" s="302" t="s">
        <v>708</v>
      </c>
      <c r="C15" s="21">
        <f ca="1">ROUND(C14*F15,0)</f>
        <v>47</v>
      </c>
      <c r="D15" s="320" t="s">
        <v>709</v>
      </c>
      <c r="E15" s="320"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ROUND(INDIRECT("'数据-取费表'!m"&amp;$G$1)*F16,0)</f>
        <v>0</v>
      </c>
      <c r="D16" s="302" t="s">
        <v>709</v>
      </c>
      <c r="E16" s="302" t="s">
        <v>710</v>
      </c>
      <c r="F16" s="322">
        <f ca="1">IF(INDIRECT("'数据-取费表'!c"&amp;$G$1)="住宅",'数据-取费表'!B34,0)</f>
        <v>0</v>
      </c>
      <c r="G16" s="1384"/>
      <c r="H16" s="1079" t="s">
        <v>393</v>
      </c>
      <c r="I16" s="1080" t="s">
        <v>712</v>
      </c>
      <c r="J16" s="310">
        <f ca="1">ROUND(J17+J22+J23+J24,0)</f>
        <v>23</v>
      </c>
      <c r="K16" s="1087" t="s">
        <v>713</v>
      </c>
      <c r="L16" s="1088"/>
      <c r="M16" s="1072"/>
    </row>
    <row r="17" spans="1:37" s="1397" customFormat="1" ht="18" customHeight="1">
      <c r="A17" s="982" t="s">
        <v>679</v>
      </c>
      <c r="B17" s="302" t="s">
        <v>714</v>
      </c>
      <c r="C17" s="21">
        <f ca="1">ROUND(F17*(F43+INDIRECT("'数据-取费表'!S"&amp;$G$1))/10000,0)</f>
        <v>168</v>
      </c>
      <c r="D17" s="302" t="s">
        <v>715</v>
      </c>
      <c r="E17" s="302" t="s">
        <v>716</v>
      </c>
      <c r="F17" s="23">
        <f>'数据-取费表'!B35</f>
        <v>200</v>
      </c>
      <c r="G17" s="1396"/>
      <c r="H17" s="982" t="s">
        <v>398</v>
      </c>
      <c r="I17" s="302" t="s">
        <v>717</v>
      </c>
      <c r="J17" s="2316">
        <f ca="1">ROUND(IF(AND(项目基本情况!B11="自然人",项目基本情况!B10="北京市"),J6*M17/(1+'数据-取费表'!C42),J18+J19+J20),2)</f>
        <v>1.73</v>
      </c>
      <c r="K17" s="1345" t="s">
        <v>718</v>
      </c>
      <c r="L17" s="1344" t="s">
        <v>719</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31</v>
      </c>
      <c r="D18" s="302" t="s">
        <v>709</v>
      </c>
      <c r="E18" s="302" t="s">
        <v>710</v>
      </c>
      <c r="F18" s="322">
        <f>'数据-取费表'!B36</f>
        <v>0.02</v>
      </c>
      <c r="G18" s="1396"/>
      <c r="H18" s="982" t="s">
        <v>397</v>
      </c>
      <c r="I18" s="302" t="s">
        <v>721</v>
      </c>
      <c r="J18" s="21">
        <f ca="1">ROUND(J6*M18/(1+'数据-取费表'!C42),2)</f>
        <v>0</v>
      </c>
      <c r="K18" s="1344" t="s">
        <v>722</v>
      </c>
      <c r="L18" s="302" t="s">
        <v>710</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1798</v>
      </c>
      <c r="D19" s="131" t="s">
        <v>724</v>
      </c>
      <c r="E19" s="1360"/>
      <c r="F19" s="23"/>
      <c r="G19" s="1384"/>
      <c r="H19" s="982" t="s">
        <v>399</v>
      </c>
      <c r="I19" s="302" t="s">
        <v>725</v>
      </c>
      <c r="J19" s="21">
        <f ca="1">IF(K19="按租金收入计税",ROUND(J6*M19/(1+'数据-取费表'!C42),2),ROUND(C29*M19*0.7,2))</f>
        <v>0</v>
      </c>
      <c r="K19" s="1370" t="s">
        <v>3336</v>
      </c>
      <c r="L19" s="302" t="s">
        <v>710</v>
      </c>
      <c r="M19" s="322">
        <f>IF(K19="按租金收入计税",'数据-取费表'!B51,'数据-取费表'!B50)</f>
        <v>0.12</v>
      </c>
    </row>
    <row r="20" spans="1:37" s="1397" customFormat="1" ht="18" customHeight="1">
      <c r="A20" s="982" t="s">
        <v>402</v>
      </c>
      <c r="B20" s="302" t="s">
        <v>726</v>
      </c>
      <c r="C20" s="21">
        <f ca="1">ROUND(C19*F20,0)</f>
        <v>36</v>
      </c>
      <c r="D20" s="323" t="s">
        <v>727</v>
      </c>
      <c r="E20" s="302" t="s">
        <v>710</v>
      </c>
      <c r="F20" s="322">
        <f>'数据-取费表'!B37</f>
        <v>0.02</v>
      </c>
      <c r="G20" s="1396"/>
      <c r="H20" s="982" t="s">
        <v>678</v>
      </c>
      <c r="I20" s="155" t="s">
        <v>728</v>
      </c>
      <c r="J20" s="22">
        <f ca="1">ROUND(M20*M21/10000,2)</f>
        <v>1.73</v>
      </c>
      <c r="K20" s="324" t="s">
        <v>729</v>
      </c>
      <c r="L20" s="302" t="s">
        <v>730</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15</v>
      </c>
      <c r="D21" s="323" t="s">
        <v>732</v>
      </c>
      <c r="E21" s="302" t="s">
        <v>733</v>
      </c>
      <c r="F21" s="322">
        <f>'数据-取费表'!B38</f>
        <v>0.02</v>
      </c>
      <c r="G21" s="1396"/>
      <c r="H21" s="326"/>
      <c r="I21" s="311"/>
      <c r="J21" s="26"/>
      <c r="K21" s="327"/>
      <c r="L21" s="302" t="s">
        <v>734</v>
      </c>
      <c r="M21" s="303">
        <f ca="1">INDIRECT("'数据-取费表'!r"&amp;$G$1)</f>
        <v>5753.84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ROUND(J14*M22,2)</f>
        <v>21.33</v>
      </c>
      <c r="K22" s="1344" t="s">
        <v>737</v>
      </c>
      <c r="L22" s="302" t="s">
        <v>710</v>
      </c>
      <c r="M22" s="328">
        <f ca="1">INDIRECT("'数据-取费表'!Ak"&amp;$G$1)</f>
        <v>0.01</v>
      </c>
    </row>
    <row r="23" spans="1:37" s="1397" customFormat="1" ht="18" customHeight="1">
      <c r="A23" s="982" t="s">
        <v>397</v>
      </c>
      <c r="B23" s="302" t="s">
        <v>738</v>
      </c>
      <c r="C23" s="21">
        <f ca="1">IF('数据-取费表'!B22&lt;=1,ROUND(C19*F24*F23/2,0)+ROUND(C20*F24*F23/2,0),ROUND(C19*(POWER((1+F24),F23/2)-1),0)+ROUND(C20*(POWER((1+F24),F23/2)-1),0))</f>
        <v>49</v>
      </c>
      <c r="D23" s="329" t="str">
        <f>IF(F23&lt;=1,"(建造成本+管理费用)×利率×(建设周期÷2)","(建造成本+管理费用)×((1+利率)^(建设周期÷2)-1)")</f>
        <v>(建造成本+管理费用)×((1+利率)^(建设周期÷2)-1)</v>
      </c>
      <c r="E23" s="302" t="s">
        <v>739</v>
      </c>
      <c r="F23" s="325">
        <f>'数据-取费表'!B20</f>
        <v>1.5</v>
      </c>
      <c r="G23" s="1396"/>
      <c r="H23" s="982" t="s">
        <v>437</v>
      </c>
      <c r="I23" s="302" t="s">
        <v>740</v>
      </c>
      <c r="J23" s="21">
        <f ca="1">ROUND(J13*M23,2)</f>
        <v>0</v>
      </c>
      <c r="K23" s="1344" t="s">
        <v>741</v>
      </c>
      <c r="L23" s="302" t="s">
        <v>742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5.0000000000000001E-4</v>
      </c>
      <c r="D24" s="329" t="str">
        <f>IF(F23&lt;=1,"销售费用×利率×(建设周期÷2)","销售费用×((1+利率)^(建设周期÷2)-1)")</f>
        <v>销售费用×((1+利率)^(建设周期÷2)-1)</v>
      </c>
      <c r="E24" s="302" t="s">
        <v>745</v>
      </c>
      <c r="F24" s="331">
        <f ca="1">'数据-取费表'!B40</f>
        <v>3.5499999999999997E-2</v>
      </c>
      <c r="G24" s="1396"/>
      <c r="H24" s="1089" t="s">
        <v>682</v>
      </c>
      <c r="I24" s="1090" t="s">
        <v>726</v>
      </c>
      <c r="J24" s="1091">
        <f ca="1">ROUND(J5*M24,2)</f>
        <v>0</v>
      </c>
      <c r="K24" s="1092" t="s">
        <v>746</v>
      </c>
      <c r="L24" s="1090" t="s">
        <v>742</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747</v>
      </c>
      <c r="B25" s="302" t="s">
        <v>748</v>
      </c>
      <c r="C25" s="21"/>
      <c r="D25" s="131" t="s">
        <v>749</v>
      </c>
      <c r="E25" s="1360"/>
      <c r="F25" s="23"/>
      <c r="G25" s="1384"/>
      <c r="H25" s="1079" t="s">
        <v>394</v>
      </c>
      <c r="I25" s="1094" t="s">
        <v>750</v>
      </c>
      <c r="J25" s="310">
        <f ca="1">J5-J16</f>
        <v>-23</v>
      </c>
      <c r="K25" s="1095" t="s">
        <v>751</v>
      </c>
      <c r="L25" s="1096"/>
      <c r="M25" s="1097"/>
    </row>
    <row r="26" spans="1:37">
      <c r="A26" s="982" t="s">
        <v>397</v>
      </c>
      <c r="B26" s="302" t="s">
        <v>752</v>
      </c>
      <c r="C26" s="21">
        <f ca="1">ROUND((C19+C20)*F26,0)</f>
        <v>92</v>
      </c>
      <c r="D26" s="323" t="s">
        <v>753</v>
      </c>
      <c r="E26" s="313" t="s">
        <v>754</v>
      </c>
      <c r="F26" s="312">
        <f ca="1">INDIRECT("'数据-取费表'!q"&amp;$G$1)</f>
        <v>0.05</v>
      </c>
      <c r="G26" s="1384"/>
      <c r="H26" s="299" t="s">
        <v>395</v>
      </c>
      <c r="I26" s="300" t="s">
        <v>755</v>
      </c>
      <c r="J26" s="301">
        <f ca="1">IF(J5&lt;&gt;0,ROUND(J25*(1-((1+M28)/(1+M26))^M27)/(M26-M28),0),0)</f>
        <v>0</v>
      </c>
      <c r="K26" s="324" t="s">
        <v>756</v>
      </c>
      <c r="L26" s="302" t="s">
        <v>757</v>
      </c>
      <c r="M26" s="312">
        <f ca="1">INDIRECT("'数据-取费表'!I"&amp;$G$1)</f>
        <v>5.5E-2</v>
      </c>
    </row>
    <row r="27" spans="1:37" ht="18" customHeight="1">
      <c r="A27" s="982" t="s">
        <v>399</v>
      </c>
      <c r="B27" s="302" t="s">
        <v>758</v>
      </c>
      <c r="C27" s="21">
        <f ca="1">ROUND(F21*F26,4)</f>
        <v>1E-3</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5.2400000000000002E-2</v>
      </c>
      <c r="D28" s="323" t="s">
        <v>763</v>
      </c>
      <c r="E28" s="302" t="s">
        <v>710</v>
      </c>
      <c r="F28" s="322">
        <f>'数据-取费表'!B41</f>
        <v>5.5000000000000007E-2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2133</v>
      </c>
      <c r="D29" s="1092"/>
      <c r="E29" s="1090"/>
      <c r="F29" s="1093"/>
      <c r="G29" s="1396"/>
      <c r="H29" s="334" t="s">
        <v>396</v>
      </c>
      <c r="I29" s="335" t="s">
        <v>766</v>
      </c>
      <c r="J29" s="336">
        <f ca="1">ROUND(J26/(1+F40)^F41,0)</f>
        <v>0</v>
      </c>
      <c r="K29" s="337" t="s">
        <v>767</v>
      </c>
      <c r="L29" s="338"/>
      <c r="M29" s="339">
        <f ca="1">INDIRECT("'数据-取费表'!k"&amp;$G$1)</f>
        <v>8390.83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53</v>
      </c>
      <c r="D30" s="1087" t="s">
        <v>713</v>
      </c>
      <c r="E30" s="1088"/>
      <c r="F30" s="1072"/>
      <c r="G30" s="1384"/>
      <c r="H30" s="2696"/>
      <c r="I30" s="1398"/>
      <c r="J30" s="1399"/>
      <c r="K30" s="2475"/>
      <c r="L30" s="2697"/>
      <c r="M30" s="2698"/>
    </row>
    <row r="31" spans="1:37" ht="18" customHeight="1">
      <c r="A31" s="982" t="s">
        <v>398</v>
      </c>
      <c r="B31" s="302" t="s">
        <v>717</v>
      </c>
      <c r="C31" s="2316">
        <f ca="1">ROUND(IF(AND(项目基本情况!B11="自然人",项目基本情况!B10="北京市"),C6*F31/(1+'数据-取费表'!C42),C32+C33+C34),2)</f>
        <v>29.23</v>
      </c>
      <c r="D31" s="1345" t="s">
        <v>718</v>
      </c>
      <c r="E31" s="1344" t="s">
        <v>768</v>
      </c>
      <c r="F31" s="2315" t="str">
        <f>IF(项目基本情况!B11="企业","——",IF(M47="住宅",IF(F6*F7*F8/12/(1+'数据-取费表'!F30)&gt;100000,4%,2.5%),IF(F6*F7*F8/12/(1+'数据-取费表'!F30)&gt;100000,12%,7%)))</f>
        <v>——</v>
      </c>
      <c r="G31" s="1384"/>
      <c r="H31" s="2807" t="s">
        <v>2304</v>
      </c>
      <c r="I31" s="1398"/>
      <c r="J31" s="1399"/>
      <c r="K31" s="2475"/>
      <c r="L31" s="2697"/>
      <c r="M31" s="2698"/>
    </row>
    <row r="32" spans="1:37" ht="18" customHeight="1">
      <c r="A32" s="982" t="s">
        <v>397</v>
      </c>
      <c r="B32" s="302" t="s">
        <v>721</v>
      </c>
      <c r="C32" s="21">
        <f ca="1">IF(项目基本情况!B11="自然人","——",ROUND(C6*F32/(1+'数据-取费表'!C42),2))</f>
        <v>8.64</v>
      </c>
      <c r="D32" s="1344" t="s">
        <v>722</v>
      </c>
      <c r="E32" s="302" t="s">
        <v>710</v>
      </c>
      <c r="F32" s="331">
        <f>'数据-取费表'!B41</f>
        <v>5.5000000000000007E-2</v>
      </c>
      <c r="G32" s="1384"/>
      <c r="H32" s="2696"/>
      <c r="I32" s="1398"/>
      <c r="J32" s="1399"/>
      <c r="K32" s="2475"/>
      <c r="L32" s="2697"/>
      <c r="M32" s="2698"/>
    </row>
    <row r="33" spans="1:18" ht="18" customHeight="1">
      <c r="A33" s="982" t="s">
        <v>399</v>
      </c>
      <c r="B33" s="302" t="s">
        <v>725</v>
      </c>
      <c r="C33" s="21">
        <f ca="1">IF(项目基本情况!B11="自然人","——",IF(D33="按租金收入计税",ROUND(C6*F33/(1+'数据-取费表'!C42),2),IF(D33="按房产原值计税",ROUND(C29*F33*0.7,2),INDIRECT("'数据-取费表'!Aj"&amp;$G$1))))</f>
        <v>18.86</v>
      </c>
      <c r="D33" s="1370" t="s">
        <v>3336</v>
      </c>
      <c r="E33" s="302" t="s">
        <v>710</v>
      </c>
      <c r="F33" s="322">
        <f>IF(D33="按票据","——",IF(D33="按租金收入计税",'数据-取费表'!B51,'数据-取费表'!B50))</f>
        <v>0.12</v>
      </c>
      <c r="G33" s="1384"/>
      <c r="H33" s="2699"/>
      <c r="I33" s="1398"/>
      <c r="J33" s="1399"/>
      <c r="K33" s="2700"/>
      <c r="L33" s="2699"/>
      <c r="M33" s="2699"/>
    </row>
    <row r="34" spans="1:18" ht="18" customHeight="1">
      <c r="A34" s="1069" t="s">
        <v>678</v>
      </c>
      <c r="B34" s="155" t="s">
        <v>728</v>
      </c>
      <c r="C34" s="22">
        <f ca="1">IF(项目基本情况!B11="自然人","——",ROUND(F34*F35/10000,2))</f>
        <v>1.73</v>
      </c>
      <c r="D34" s="324" t="s">
        <v>729</v>
      </c>
      <c r="E34" s="302" t="s">
        <v>730</v>
      </c>
      <c r="F34" s="325">
        <f>'数据-取费表'!B52</f>
        <v>3</v>
      </c>
      <c r="G34" s="1384"/>
      <c r="H34" s="2696"/>
      <c r="I34" s="1398"/>
      <c r="J34" s="1399"/>
      <c r="K34" s="2701"/>
      <c r="L34" s="2702"/>
      <c r="M34" s="2702"/>
    </row>
    <row r="35" spans="1:18" ht="18" customHeight="1">
      <c r="A35" s="1103"/>
      <c r="B35" s="1101"/>
      <c r="C35" s="26"/>
      <c r="D35" s="327"/>
      <c r="E35" s="302" t="s">
        <v>734</v>
      </c>
      <c r="F35" s="303">
        <f ca="1">INDIRECT("'数据-取费表'!r"&amp;$G$1)</f>
        <v>5753.84</v>
      </c>
      <c r="G35" s="1384"/>
      <c r="H35" s="2696"/>
      <c r="I35" s="1398"/>
      <c r="J35" s="1399"/>
      <c r="K35" s="2700"/>
      <c r="L35" s="2699"/>
      <c r="M35" s="2699"/>
    </row>
    <row r="36" spans="1:18" ht="18" customHeight="1">
      <c r="A36" s="1102" t="s">
        <v>402</v>
      </c>
      <c r="B36" s="302" t="s">
        <v>736</v>
      </c>
      <c r="C36" s="21">
        <f ca="1">ROUND(C29*F36,2)</f>
        <v>21.33</v>
      </c>
      <c r="D36" s="1344" t="s">
        <v>769</v>
      </c>
      <c r="E36" s="302" t="s">
        <v>710</v>
      </c>
      <c r="F36" s="328">
        <f ca="1">INDIRECT("'数据-取费表'!Ak"&amp;$G$1)</f>
        <v>0.01</v>
      </c>
      <c r="G36" s="1384"/>
      <c r="H36" s="2699"/>
      <c r="I36" s="1398"/>
      <c r="J36" s="1399"/>
      <c r="K36" s="2544"/>
      <c r="L36" s="2699"/>
      <c r="M36" s="2699"/>
    </row>
    <row r="37" spans="1:18" ht="18" customHeight="1">
      <c r="A37" s="982" t="s">
        <v>437</v>
      </c>
      <c r="B37" s="302" t="s">
        <v>740</v>
      </c>
      <c r="C37" s="21">
        <f ca="1">ROUND(C13*F37,2)</f>
        <v>2.0499999999999998</v>
      </c>
      <c r="D37" s="1344" t="s">
        <v>741</v>
      </c>
      <c r="E37" s="302" t="s">
        <v>742</v>
      </c>
      <c r="F37" s="330">
        <f ca="1">INDIRECT("'数据-取费表'!Al"&amp;$G$1)</f>
        <v>1E-3</v>
      </c>
      <c r="G37" s="1384"/>
      <c r="H37" s="2699"/>
      <c r="I37" s="1398"/>
      <c r="J37" s="1399"/>
      <c r="K37" s="2544"/>
      <c r="L37" s="2699"/>
      <c r="M37" s="2699"/>
    </row>
    <row r="38" spans="1:18" ht="18" customHeight="1" thickBot="1">
      <c r="A38" s="1089" t="s">
        <v>682</v>
      </c>
      <c r="B38" s="1090" t="s">
        <v>726</v>
      </c>
      <c r="C38" s="1091">
        <f ca="1">ROUND(C5*F38,2)</f>
        <v>0.83</v>
      </c>
      <c r="D38" s="1092" t="s">
        <v>746</v>
      </c>
      <c r="E38" s="1090" t="s">
        <v>742</v>
      </c>
      <c r="F38" s="1086">
        <f ca="1">INDIRECT("'数据-取费表'!Am"&amp;$G$1)</f>
        <v>5.0000000000000001E-3</v>
      </c>
      <c r="G38" s="1384"/>
      <c r="H38" s="2699"/>
      <c r="I38" s="1398"/>
      <c r="J38" s="1399"/>
      <c r="K38" s="2703"/>
      <c r="L38" s="2699"/>
      <c r="M38" s="2699"/>
    </row>
    <row r="39" spans="1:18" ht="24.6" customHeight="1" thickTop="1">
      <c r="A39" s="1079" t="s">
        <v>394</v>
      </c>
      <c r="B39" s="1094" t="s">
        <v>770</v>
      </c>
      <c r="C39" s="310">
        <f ca="1">C5-C30</f>
        <v>112</v>
      </c>
      <c r="D39" s="1095" t="s">
        <v>771</v>
      </c>
      <c r="E39" s="1096"/>
      <c r="F39" s="1097"/>
      <c r="G39" s="1384"/>
      <c r="H39" s="2699"/>
      <c r="I39" s="1398"/>
      <c r="J39" s="1399"/>
      <c r="K39" s="2703"/>
      <c r="L39" s="2699"/>
      <c r="M39" s="2699"/>
    </row>
    <row r="40" spans="1:18" ht="18" customHeight="1">
      <c r="A40" s="299" t="s">
        <v>395</v>
      </c>
      <c r="B40" s="300" t="s">
        <v>772</v>
      </c>
      <c r="C40" s="301">
        <f ca="1">ROUND(C39*(1-((1+F42)/(1+F40))^F41)/(F40-F42),0)</f>
        <v>2710</v>
      </c>
      <c r="D40" s="324" t="s">
        <v>756</v>
      </c>
      <c r="E40" s="302" t="s">
        <v>757</v>
      </c>
      <c r="F40" s="312">
        <f ca="1">INDIRECT("'数据-取费表'!I"&amp;$G$1)</f>
        <v>5.5E-2</v>
      </c>
      <c r="G40" s="1384"/>
      <c r="H40" s="1461"/>
      <c r="I40" s="1398"/>
      <c r="J40" s="1399"/>
      <c r="K40" s="2703"/>
      <c r="L40" s="1461"/>
      <c r="M40" s="1461"/>
    </row>
    <row r="41" spans="1:18" ht="18" customHeight="1">
      <c r="A41" s="304"/>
      <c r="B41" s="305"/>
      <c r="C41" s="306"/>
      <c r="D41" s="332" t="s">
        <v>773</v>
      </c>
      <c r="E41" s="302" t="s">
        <v>761</v>
      </c>
      <c r="F41" s="333">
        <f ca="1">IF(INDIRECT("'数据-取费表'!af"&amp;$G$1)=0,INDIRECT("'数据-取费表'!ae"&amp;$G$1),INDIRECT("'数据-取费表'!af"&amp;$G$1))</f>
        <v>44.88</v>
      </c>
      <c r="G41" s="1384"/>
      <c r="H41" s="1191"/>
      <c r="I41" s="1398"/>
      <c r="J41" s="1399"/>
      <c r="K41" s="2544"/>
      <c r="L41" s="1191"/>
      <c r="M41" s="1191"/>
    </row>
    <row r="42" spans="1:18" ht="18" customHeight="1">
      <c r="A42" s="308"/>
      <c r="B42" s="309"/>
      <c r="C42" s="310"/>
      <c r="D42" s="327"/>
      <c r="E42" s="302" t="s">
        <v>764</v>
      </c>
      <c r="F42" s="312">
        <f ca="1">INDIRECT("'数据-取费表'!v"&amp;$G$1)</f>
        <v>2.5000000000000001E-2</v>
      </c>
      <c r="G42" s="1384"/>
      <c r="H42" s="1191"/>
      <c r="I42" s="1398"/>
      <c r="J42" s="1399"/>
      <c r="K42" s="2544"/>
      <c r="L42" s="1191"/>
      <c r="M42" s="1191"/>
    </row>
    <row r="43" spans="1:18" ht="18" customHeight="1" thickBot="1">
      <c r="A43" s="334" t="s">
        <v>396</v>
      </c>
      <c r="B43" s="335" t="s">
        <v>774</v>
      </c>
      <c r="C43" s="336">
        <f ca="1">ROUND(C40*10000/F43,0)</f>
        <v>3230</v>
      </c>
      <c r="D43" s="337" t="s">
        <v>775</v>
      </c>
      <c r="E43" s="338" t="s">
        <v>776</v>
      </c>
      <c r="F43" s="339">
        <f ca="1">INDIRECT("'数据-取费表'!k"&amp;$G$1)</f>
        <v>8390.83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806</v>
      </c>
      <c r="P45" s="1461"/>
      <c r="Q45" s="1461"/>
      <c r="R45" s="1461"/>
    </row>
    <row r="46" spans="1:18" s="1384" customFormat="1" ht="13.5" thickBot="1">
      <c r="A46" s="1404" t="s">
        <v>807</v>
      </c>
      <c r="C46" s="1405">
        <f ca="1">C68-C40</f>
        <v>-3123</v>
      </c>
      <c r="D46" s="1406" t="str">
        <f>C2</f>
        <v>万元</v>
      </c>
      <c r="E46" s="1400"/>
      <c r="F46" s="1400"/>
      <c r="I46" s="1407" t="s">
        <v>808</v>
      </c>
      <c r="J46" s="1408"/>
      <c r="K46" s="1409"/>
      <c r="L46" s="1410">
        <f ca="1">IF(M47="住宅",0,IF(L48&gt;J51,L60,J60))</f>
        <v>18</v>
      </c>
      <c r="O46" s="1411" t="s">
        <v>809</v>
      </c>
      <c r="P46" s="1412" t="s">
        <v>810</v>
      </c>
      <c r="Q46" s="1413" t="s">
        <v>811</v>
      </c>
      <c r="R46" s="1413" t="s">
        <v>812</v>
      </c>
    </row>
    <row r="47" spans="1:18" s="1384" customFormat="1" ht="13.5" thickBot="1">
      <c r="A47" s="946" t="s">
        <v>685</v>
      </c>
      <c r="B47" s="978" t="s">
        <v>686</v>
      </c>
      <c r="C47" s="1117" t="s">
        <v>687</v>
      </c>
      <c r="D47" s="978" t="s">
        <v>688</v>
      </c>
      <c r="E47" s="1058" t="s">
        <v>689</v>
      </c>
      <c r="F47" s="1059"/>
      <c r="G47" s="722"/>
      <c r="I47" s="1414" t="s">
        <v>813</v>
      </c>
      <c r="J47" s="1415" t="s">
        <v>3383</v>
      </c>
      <c r="K47" s="1416" t="s">
        <v>814</v>
      </c>
      <c r="L47" s="1417">
        <f ca="1">INDIRECT("'数据-取费表'!d"&amp;$G$1)</f>
        <v>50</v>
      </c>
      <c r="M47" s="1380" t="str">
        <f>IF(ISNUMBER(FIND("住宅",C1)),"住宅","非住宅")</f>
        <v>非住宅</v>
      </c>
      <c r="O47" s="1418" t="s">
        <v>403</v>
      </c>
      <c r="P47" s="1419" t="s">
        <v>815</v>
      </c>
      <c r="Q47" s="1420">
        <f ca="1">C40+J29</f>
        <v>2710</v>
      </c>
      <c r="R47" s="1420" t="s">
        <v>816</v>
      </c>
    </row>
    <row r="48" spans="1:18" s="1384" customFormat="1" ht="28.5" thickBot="1">
      <c r="A48" s="1110" t="s">
        <v>438</v>
      </c>
      <c r="B48" s="300" t="s">
        <v>690</v>
      </c>
      <c r="C48" s="1359">
        <f ca="1">C49+C53+C55</f>
        <v>0</v>
      </c>
      <c r="D48" s="1112"/>
      <c r="E48" s="1113"/>
      <c r="F48" s="962"/>
      <c r="G48" s="722"/>
      <c r="H48" s="723"/>
      <c r="I48" s="1421" t="s">
        <v>817</v>
      </c>
      <c r="J48" s="1422" t="s">
        <v>3384</v>
      </c>
      <c r="K48" s="1423" t="s">
        <v>818</v>
      </c>
      <c r="L48" s="1424">
        <f ca="1">INDIRECT("'数据-取费表'!f"&amp;$G$1)</f>
        <v>44.88</v>
      </c>
      <c r="O48" s="1418" t="s">
        <v>404</v>
      </c>
      <c r="P48" s="1419" t="s">
        <v>819</v>
      </c>
      <c r="Q48" s="1420">
        <f ca="1">J60</f>
        <v>18</v>
      </c>
      <c r="R48" s="1420" t="s">
        <v>820</v>
      </c>
    </row>
    <row r="49" spans="1:18" s="1384" customFormat="1" ht="13.5" thickBot="1">
      <c r="A49" s="975" t="s">
        <v>439</v>
      </c>
      <c r="B49" s="1371" t="s">
        <v>777</v>
      </c>
      <c r="C49" s="1114">
        <f ca="1">ROUND(F49*F51*F50*(1-F52)/10000,0)</f>
        <v>0</v>
      </c>
      <c r="D49" s="1055" t="s">
        <v>2106</v>
      </c>
      <c r="E49" s="1372" t="s">
        <v>778</v>
      </c>
      <c r="F49" s="1060"/>
      <c r="G49" s="1425"/>
      <c r="H49" s="723"/>
      <c r="I49" s="1421" t="s">
        <v>821</v>
      </c>
      <c r="J49" s="1426">
        <v>2021</v>
      </c>
      <c r="K49" s="1423" t="s">
        <v>822</v>
      </c>
      <c r="L49" s="1427"/>
      <c r="O49" s="1428" t="s">
        <v>405</v>
      </c>
      <c r="P49" s="1419" t="s">
        <v>823</v>
      </c>
      <c r="Q49" s="1420">
        <f ca="1">C29</f>
        <v>2133</v>
      </c>
      <c r="R49" s="1420" t="s">
        <v>816</v>
      </c>
    </row>
    <row r="50" spans="1:18" s="1384" customFormat="1" ht="13.5" thickBot="1">
      <c r="A50" s="976"/>
      <c r="B50" s="979"/>
      <c r="C50" s="1118"/>
      <c r="D50" s="953"/>
      <c r="E50" s="1056" t="s">
        <v>695</v>
      </c>
      <c r="F50" s="1057">
        <f ca="1">F7</f>
        <v>8390.83</v>
      </c>
      <c r="H50" s="723"/>
      <c r="I50" s="1421" t="s">
        <v>824</v>
      </c>
      <c r="J50" s="1429">
        <f>SUMPRODUCT((I63:I65=J47)*(J62:L62=J48)*(J63:L65))</f>
        <v>50</v>
      </c>
      <c r="K50" s="1423" t="s">
        <v>825</v>
      </c>
      <c r="L50" s="1427"/>
      <c r="M50" s="1430"/>
      <c r="O50" s="1428" t="s">
        <v>406</v>
      </c>
      <c r="P50" s="1419" t="s">
        <v>826</v>
      </c>
      <c r="Q50" s="1431">
        <f ca="1">J58</f>
        <v>0.4</v>
      </c>
      <c r="R50" s="1420"/>
    </row>
    <row r="51" spans="1:18" s="1384" customFormat="1" ht="13.5" thickBot="1">
      <c r="A51" s="977"/>
      <c r="B51" s="979"/>
      <c r="C51" s="980"/>
      <c r="D51" s="953"/>
      <c r="E51" s="981" t="s">
        <v>696</v>
      </c>
      <c r="F51" s="303">
        <f ca="1">F8</f>
        <v>365</v>
      </c>
      <c r="I51" s="1432" t="s">
        <v>827</v>
      </c>
      <c r="J51" s="1433">
        <f>IF(J49="",J50,J49+J50-YEAR('数据-取费表'!B2))</f>
        <v>48</v>
      </c>
      <c r="K51" s="1434" t="s">
        <v>828</v>
      </c>
      <c r="L51" s="1435">
        <f ca="1">ROUND(-PV(INDIRECT("'数据-取费表'!h"&amp;$G$1),J51,(C39-C13*C76),0),0)</f>
        <v>-1213</v>
      </c>
      <c r="M51" s="1436"/>
      <c r="O51" s="1428" t="s">
        <v>407</v>
      </c>
      <c r="P51" s="1419" t="s">
        <v>829</v>
      </c>
      <c r="Q51" s="1431">
        <f>J52</f>
        <v>0.09</v>
      </c>
      <c r="R51" s="1420"/>
    </row>
    <row r="52" spans="1:18" s="1384" customFormat="1" ht="13.5" thickBot="1">
      <c r="A52" s="977"/>
      <c r="B52" s="979"/>
      <c r="C52" s="980"/>
      <c r="D52" s="953"/>
      <c r="E52" s="981" t="s">
        <v>697</v>
      </c>
      <c r="F52" s="1054"/>
      <c r="I52" s="1437" t="s">
        <v>830</v>
      </c>
      <c r="J52" s="1438">
        <v>0.09</v>
      </c>
      <c r="K52" s="1437" t="s">
        <v>831</v>
      </c>
      <c r="L52" s="1438"/>
      <c r="O52" s="1428" t="s">
        <v>408</v>
      </c>
      <c r="P52" s="1419" t="s">
        <v>832</v>
      </c>
      <c r="Q52" s="1420">
        <f ca="1">J53</f>
        <v>44.88</v>
      </c>
      <c r="R52" s="1420" t="s">
        <v>833</v>
      </c>
    </row>
    <row r="53" spans="1:18" s="1384" customFormat="1" ht="24.75" thickBot="1">
      <c r="A53" s="1152" t="s">
        <v>440</v>
      </c>
      <c r="B53" s="1373" t="s">
        <v>698</v>
      </c>
      <c r="C53" s="316">
        <f ca="1">ROUND(IF(F53="押一",C49/12*F11,IF(F53="押二",C49/12*2*F11,IF(F53="押三",C49/12*3*F11,C54*F11))),0)</f>
        <v>0</v>
      </c>
      <c r="D53" s="1366" t="s">
        <v>2112</v>
      </c>
      <c r="E53" s="313" t="s">
        <v>699</v>
      </c>
      <c r="F53" s="1116"/>
      <c r="I53" s="1439" t="s">
        <v>834</v>
      </c>
      <c r="J53" s="2168">
        <f ca="1">IF(M47="住宅",IF(D1="——",MAX(J51,L48),MAX(J51,L48-'数据-取费表'!B24)),IF(D1="——",MIN(J51,L48),MIN(J51,L48-'数据-取费表'!B24)))</f>
        <v>44.88</v>
      </c>
      <c r="K53" s="3656" t="s">
        <v>835</v>
      </c>
      <c r="L53" s="3657"/>
      <c r="O53" s="1418" t="s">
        <v>409</v>
      </c>
      <c r="P53" s="1419" t="s">
        <v>836</v>
      </c>
      <c r="Q53" s="1420">
        <f ca="1">Q47+Q48</f>
        <v>2728</v>
      </c>
      <c r="R53" s="1420" t="s">
        <v>410</v>
      </c>
    </row>
    <row r="54" spans="1:18" s="1384" customFormat="1" ht="13.5" thickBot="1">
      <c r="A54" s="1153"/>
      <c r="B54" s="1367" t="s">
        <v>677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f ca="1">ROUND(IF(J47="钢混",J57/J50,1-(1-2%)*(J50-J57)/J50),3)</f>
        <v>6.2E-2</v>
      </c>
      <c r="K55" s="1445" t="s">
        <v>839</v>
      </c>
      <c r="L55" s="1446"/>
      <c r="O55" s="1411" t="s">
        <v>809</v>
      </c>
      <c r="P55" s="1412" t="s">
        <v>810</v>
      </c>
      <c r="Q55" s="1413" t="s">
        <v>811</v>
      </c>
      <c r="R55" s="1413" t="s">
        <v>812</v>
      </c>
    </row>
    <row r="56" spans="1:18" s="1384" customFormat="1" ht="25.5" thickTop="1" thickBot="1">
      <c r="A56" s="957">
        <v>2</v>
      </c>
      <c r="B56" s="958" t="s">
        <v>702</v>
      </c>
      <c r="C56" s="232">
        <f ca="1">C13</f>
        <v>2048</v>
      </c>
      <c r="D56" s="1447"/>
      <c r="E56" s="1448"/>
      <c r="F56" s="1440"/>
      <c r="I56" s="1449" t="s">
        <v>840</v>
      </c>
      <c r="J56" s="1450" t="s">
        <v>3380</v>
      </c>
      <c r="K56" s="1421" t="s">
        <v>841</v>
      </c>
      <c r="L56" s="1424" t="str">
        <f ca="1">IF(L48&lt;J51,"——",L48-J53)</f>
        <v>——</v>
      </c>
      <c r="O56" s="1418" t="s">
        <v>403</v>
      </c>
      <c r="P56" s="1419" t="s">
        <v>815</v>
      </c>
      <c r="Q56" s="1420">
        <f ca="1">C40+J29</f>
        <v>2710</v>
      </c>
      <c r="R56" s="1420" t="s">
        <v>816</v>
      </c>
    </row>
    <row r="57" spans="1:18" s="1384" customFormat="1" ht="24.75" thickBot="1">
      <c r="A57" s="1451"/>
      <c r="B57" s="950" t="s">
        <v>765</v>
      </c>
      <c r="C57" s="238">
        <f ca="1">C29</f>
        <v>2133</v>
      </c>
      <c r="D57" s="1452"/>
      <c r="E57" s="1453"/>
      <c r="F57" s="1454"/>
      <c r="I57" s="1455" t="s">
        <v>842</v>
      </c>
      <c r="J57" s="1456">
        <f ca="1">IF(OR(M47="住宅",J51&lt;L48,J56="是"),"——",J51-L48)</f>
        <v>3.1199999999999974</v>
      </c>
      <c r="K57" s="1421" t="s">
        <v>843</v>
      </c>
      <c r="L57" s="1424" t="str">
        <f ca="1">IF(L48&lt;J51,"——",IF(L55="比较法",L49,IF(L55="基准地价",L50,L51)))</f>
        <v>——</v>
      </c>
      <c r="O57" s="1418" t="s">
        <v>404</v>
      </c>
      <c r="P57" s="1419" t="s">
        <v>844</v>
      </c>
      <c r="Q57" s="1420">
        <f ca="1">L60</f>
        <v>0</v>
      </c>
      <c r="R57" s="1420" t="s">
        <v>845</v>
      </c>
    </row>
    <row r="58" spans="1:18" s="1384" customFormat="1" ht="24.75" thickBot="1">
      <c r="A58" s="315" t="s">
        <v>393</v>
      </c>
      <c r="B58" s="958" t="s">
        <v>712</v>
      </c>
      <c r="C58" s="316">
        <f ca="1">ROUND(C59+C64+C65+C66,0)</f>
        <v>25</v>
      </c>
      <c r="D58" s="960" t="s">
        <v>713</v>
      </c>
      <c r="E58" s="961"/>
      <c r="F58" s="962"/>
      <c r="I58" s="1455" t="s">
        <v>846</v>
      </c>
      <c r="J58" s="1457">
        <f ca="1">IF(J55&lt;0.4,0.4,J55)</f>
        <v>0.4</v>
      </c>
      <c r="K58" s="1434" t="s">
        <v>847</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2</v>
      </c>
      <c r="D59" s="963" t="s">
        <v>718</v>
      </c>
      <c r="E59" s="964" t="s">
        <v>719</v>
      </c>
      <c r="F59" s="2315" t="str">
        <f>IF(项目基本情况!B11="企业","——",IF('数据-取费表'!B10="住宅",IF(F49*F50*F51/12/(1+'数据-取费表'!F30)&gt;100000,4%,2.5%),IF(F49*F50*F51/12/(1+'数据-取费表'!F30)&gt;100000,12%,7%)))</f>
        <v>——</v>
      </c>
      <c r="I59" s="1455" t="s">
        <v>849</v>
      </c>
      <c r="J59" s="1456">
        <f ca="1">IF(OR(M47="住宅",J51&lt;L48,J56="是"),"——",ROUND(C29*J58,0))</f>
        <v>853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f ca="1">IF(项目基本情况!B11="自然人","——",ROUND(C48*F60/(1+'数据-取费表'!C42),2))</f>
        <v>0</v>
      </c>
      <c r="D60" s="964" t="s">
        <v>722</v>
      </c>
      <c r="E60" s="950" t="s">
        <v>710</v>
      </c>
      <c r="F60" s="331">
        <f t="shared" ref="F60:F66" si="0">F32</f>
        <v>5.5000000000000007E-2</v>
      </c>
      <c r="I60" s="1458" t="s">
        <v>851</v>
      </c>
      <c r="J60" s="1459">
        <f ca="1">IF(OR(M47="住宅",J51&lt;L48,J56="是"),"0",ROUND(J59/(1+J52)^J53,0))</f>
        <v>18</v>
      </c>
      <c r="K60" s="1460" t="s">
        <v>852</v>
      </c>
      <c r="L60" s="1459">
        <f ca="1">IF(OR(M47="住宅",L48&lt;J51),0,ROUND(L57*(L58/L59-1),0))</f>
        <v>0</v>
      </c>
      <c r="O60" s="1428" t="s">
        <v>407</v>
      </c>
      <c r="P60" s="1419" t="s">
        <v>853</v>
      </c>
      <c r="Q60" s="1420" t="e">
        <f ca="1">L58</f>
        <v>#DIV/0!</v>
      </c>
      <c r="R60" s="1420" t="s">
        <v>854</v>
      </c>
    </row>
    <row r="61" spans="1:18" s="1384" customFormat="1" ht="13.5" thickBot="1">
      <c r="A61" s="982" t="s">
        <v>779</v>
      </c>
      <c r="B61" s="950" t="s">
        <v>780</v>
      </c>
      <c r="C61" s="21">
        <f ca="1">IF(项目基本情况!B11="自然人","——",IF(D61="按租金收入计税",ROUND(C49*F61/(1+'数据-取费表'!C42),2),IF(D61="按房产原值计税",ROUND(C57*F61*0.7,2),INDIRECT("'数据-取费表'!Aj"&amp;$G$1))))</f>
        <v>0</v>
      </c>
      <c r="D61" s="1370" t="s">
        <v>3336</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f ca="1">IF(项目基本情况!B11="自然人","——",ROUND(F62*F63/10000,2))</f>
        <v>1.73</v>
      </c>
      <c r="D62" s="965" t="s">
        <v>784</v>
      </c>
      <c r="E62" s="950" t="s">
        <v>785</v>
      </c>
      <c r="F62" s="325">
        <f t="shared" si="0"/>
        <v>3</v>
      </c>
      <c r="I62" s="1462" t="s">
        <v>856</v>
      </c>
      <c r="J62" s="1463" t="s">
        <v>857</v>
      </c>
      <c r="K62" s="1463" t="s">
        <v>858</v>
      </c>
      <c r="L62" s="1463" t="s">
        <v>859</v>
      </c>
      <c r="M62" s="1464" t="s">
        <v>860</v>
      </c>
      <c r="O62" s="1418" t="s">
        <v>409</v>
      </c>
      <c r="P62" s="1419" t="s">
        <v>861</v>
      </c>
      <c r="Q62" s="1420">
        <f ca="1">Q56+Q57</f>
        <v>2710</v>
      </c>
      <c r="R62" s="1420" t="s">
        <v>410</v>
      </c>
    </row>
    <row r="63" spans="1:18" s="1384" customFormat="1" ht="13.5" thickBot="1">
      <c r="A63" s="326"/>
      <c r="B63" s="956"/>
      <c r="C63" s="26"/>
      <c r="D63" s="966"/>
      <c r="E63" s="950" t="s">
        <v>786</v>
      </c>
      <c r="F63" s="303">
        <f t="shared" ca="1" si="0"/>
        <v>5753.84</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ROUND(C57*F64,2)</f>
        <v>21.33</v>
      </c>
      <c r="D64" s="964" t="s">
        <v>789</v>
      </c>
      <c r="E64" s="950" t="s">
        <v>781</v>
      </c>
      <c r="F64" s="328">
        <f t="shared" ca="1" si="0"/>
        <v>0.01</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ROUND(C56*F65,2)</f>
        <v>2.0499999999999998</v>
      </c>
      <c r="D65" s="964" t="s">
        <v>741</v>
      </c>
      <c r="E65" s="950" t="s">
        <v>742</v>
      </c>
      <c r="F65" s="330">
        <f t="shared" ca="1" si="0"/>
        <v>1E-3</v>
      </c>
      <c r="I65" s="1462" t="s">
        <v>865</v>
      </c>
      <c r="J65" s="1463">
        <v>40</v>
      </c>
      <c r="K65" s="1463">
        <v>30</v>
      </c>
      <c r="L65" s="1463">
        <v>50</v>
      </c>
      <c r="M65" s="1465">
        <v>0.02</v>
      </c>
      <c r="O65" s="1418" t="s">
        <v>403</v>
      </c>
      <c r="P65" s="1419" t="s">
        <v>866</v>
      </c>
      <c r="Q65" s="1420">
        <f ca="1">C40+J29</f>
        <v>2710</v>
      </c>
      <c r="R65" s="1420" t="s">
        <v>816</v>
      </c>
    </row>
    <row r="66" spans="1:18" s="1384" customFormat="1" ht="16.5" thickBot="1">
      <c r="A66" s="982" t="s">
        <v>791</v>
      </c>
      <c r="B66" s="950" t="s">
        <v>726</v>
      </c>
      <c r="C66" s="21">
        <f ca="1">ROUND(C48*F66,2)</f>
        <v>0</v>
      </c>
      <c r="D66" s="964" t="s">
        <v>792</v>
      </c>
      <c r="E66" s="950" t="s">
        <v>710</v>
      </c>
      <c r="F66" s="312">
        <f t="shared" ca="1" si="0"/>
        <v>5.0000000000000001E-3</v>
      </c>
      <c r="O66" s="1418" t="s">
        <v>404</v>
      </c>
      <c r="P66" s="1419" t="s">
        <v>844</v>
      </c>
      <c r="Q66" s="1420">
        <f ca="1">L60</f>
        <v>0</v>
      </c>
      <c r="R66" s="1420" t="s">
        <v>867</v>
      </c>
    </row>
    <row r="67" spans="1:18" s="1384" customFormat="1" ht="16.5" thickBot="1">
      <c r="A67" s="957" t="s">
        <v>394</v>
      </c>
      <c r="B67" s="967" t="s">
        <v>750</v>
      </c>
      <c r="C67" s="316">
        <f ca="1">C48-C58</f>
        <v>-25</v>
      </c>
      <c r="D67" s="963" t="s">
        <v>751</v>
      </c>
      <c r="E67" s="968"/>
      <c r="F67" s="969"/>
      <c r="O67" s="1428" t="s">
        <v>405</v>
      </c>
      <c r="P67" s="1419" t="s">
        <v>848</v>
      </c>
      <c r="Q67" s="1466">
        <f ca="1">L51</f>
        <v>-1213</v>
      </c>
      <c r="R67" s="1420" t="s">
        <v>868</v>
      </c>
    </row>
    <row r="68" spans="1:18" s="1384" customFormat="1" ht="16.5" thickBot="1">
      <c r="A68" s="947" t="s">
        <v>395</v>
      </c>
      <c r="B68" s="948" t="s">
        <v>772</v>
      </c>
      <c r="C68" s="301">
        <f ca="1">ROUND(C67*(1-((1+F70)/(1+F68))^F69)/(F68-F70),0)</f>
        <v>-413</v>
      </c>
      <c r="D68" s="965" t="s">
        <v>756</v>
      </c>
      <c r="E68" s="950" t="s">
        <v>757</v>
      </c>
      <c r="F68" s="312">
        <f ca="1">F40</f>
        <v>5.5E-2</v>
      </c>
      <c r="O68" s="1428" t="s">
        <v>406</v>
      </c>
      <c r="P68" s="1467" t="s">
        <v>869</v>
      </c>
      <c r="Q68" s="1420">
        <f ca="1">ROUND(Q69-Q70*Q71,0)</f>
        <v>-62</v>
      </c>
      <c r="R68" s="1420" t="s">
        <v>414</v>
      </c>
    </row>
    <row r="69" spans="1:18" s="1384" customFormat="1" ht="13.5" thickBot="1">
      <c r="A69" s="951"/>
      <c r="B69" s="952"/>
      <c r="C69" s="306"/>
      <c r="D69" s="970" t="s">
        <v>760</v>
      </c>
      <c r="E69" s="950" t="s">
        <v>761</v>
      </c>
      <c r="F69" s="333">
        <f ca="1">F41</f>
        <v>44.88</v>
      </c>
      <c r="O69" s="1428" t="s">
        <v>411</v>
      </c>
      <c r="P69" s="1467" t="s">
        <v>870</v>
      </c>
      <c r="Q69" s="1420">
        <f ca="1">C39</f>
        <v>112</v>
      </c>
      <c r="R69" s="1420" t="s">
        <v>816</v>
      </c>
    </row>
    <row r="70" spans="1:18" s="1384" customFormat="1" ht="13.5" thickBot="1">
      <c r="A70" s="954"/>
      <c r="B70" s="955"/>
      <c r="C70" s="310"/>
      <c r="D70" s="966"/>
      <c r="E70" s="950" t="s">
        <v>764</v>
      </c>
      <c r="F70" s="1054"/>
      <c r="O70" s="1428" t="s">
        <v>412</v>
      </c>
      <c r="P70" s="1467" t="s">
        <v>871</v>
      </c>
      <c r="Q70" s="1420">
        <f ca="1">C13</f>
        <v>2048</v>
      </c>
      <c r="R70" s="1420" t="s">
        <v>816</v>
      </c>
    </row>
    <row r="71" spans="1:18" s="1384" customFormat="1" ht="13.5" thickBot="1">
      <c r="A71" s="971" t="s">
        <v>396</v>
      </c>
      <c r="B71" s="972" t="s">
        <v>774</v>
      </c>
      <c r="C71" s="336">
        <f ca="1">ROUND(C68*10000/F71,0)</f>
        <v>-492</v>
      </c>
      <c r="D71" s="973" t="s">
        <v>775</v>
      </c>
      <c r="E71" s="974" t="s">
        <v>776</v>
      </c>
      <c r="F71" s="339">
        <f ca="1">F43</f>
        <v>8390.83</v>
      </c>
      <c r="O71" s="1428" t="s">
        <v>413</v>
      </c>
      <c r="P71" s="1467" t="s">
        <v>872</v>
      </c>
      <c r="Q71" s="1431">
        <f ca="1">C76</f>
        <v>8.5000000000000006E-2</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174</v>
      </c>
      <c r="D75" s="1384"/>
      <c r="E75" s="1384"/>
      <c r="F75" s="1384"/>
      <c r="K75" s="1402"/>
      <c r="L75" s="1384"/>
      <c r="O75" s="1418" t="s">
        <v>409</v>
      </c>
      <c r="P75" s="1419" t="s">
        <v>836</v>
      </c>
      <c r="Q75" s="1420">
        <f ca="1">Q65+Q66</f>
        <v>2710</v>
      </c>
      <c r="R75" s="1420" t="s">
        <v>410</v>
      </c>
    </row>
    <row r="76" spans="1:18">
      <c r="B76" s="342" t="s">
        <v>794</v>
      </c>
      <c r="C76" s="343">
        <f ca="1">INDIRECT("'数据-取费表'!j"&amp;$G$1)</f>
        <v>8.5000000000000006E-2</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-0.55400000000000005</v>
      </c>
    </row>
    <row r="80" spans="1:18">
      <c r="B80" s="340" t="s">
        <v>798</v>
      </c>
      <c r="C80" s="274">
        <f ca="1">ROUND(C75/C39,3)</f>
        <v>1.554</v>
      </c>
    </row>
    <row r="81" spans="2:3">
      <c r="B81" s="270" t="s">
        <v>799</v>
      </c>
      <c r="C81" s="238"/>
    </row>
    <row r="82" spans="2:3">
      <c r="B82" s="273" t="s">
        <v>800</v>
      </c>
      <c r="C82" s="275">
        <f ca="1">1-C83</f>
        <v>0.24399999999999999</v>
      </c>
    </row>
    <row r="83" spans="2:3">
      <c r="B83" s="273" t="s">
        <v>801</v>
      </c>
      <c r="C83" s="274">
        <f ca="1">ROUND(C13/C40,3)</f>
        <v>0.75600000000000001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1" priority="56">
      <formula>$L$48&gt;$J$51</formula>
    </cfRule>
  </conditionalFormatting>
  <conditionalFormatting sqref="I55 I60">
    <cfRule type="expression" dxfId="10" priority="57">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1" sqref="U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52" t="s">
        <v>2081</v>
      </c>
      <c r="D1" s="3753"/>
      <c r="E1" s="3753"/>
      <c r="F1" s="3753"/>
      <c r="G1" s="3753"/>
      <c r="H1" s="3753"/>
      <c r="I1" s="3753"/>
      <c r="J1" s="3753"/>
      <c r="K1" s="3753"/>
      <c r="L1" s="3753"/>
      <c r="M1" s="3753"/>
      <c r="N1" s="3753"/>
      <c r="O1" s="3753"/>
      <c r="P1" s="3753"/>
      <c r="Q1" s="3753"/>
      <c r="R1" s="3753"/>
      <c r="S1" s="3754"/>
      <c r="T1" s="983" t="s">
        <v>2082</v>
      </c>
    </row>
    <row r="2" spans="1:45" s="655" customFormat="1" ht="38.25">
      <c r="A2" s="984"/>
      <c r="B2" s="651" t="s">
        <v>2083</v>
      </c>
      <c r="C2" s="652" t="str">
        <f t="shared" ref="C2:L2" si="0">C3&amp;"(含)"&amp;"-"&amp;D3</f>
        <v>0(含)-2000</v>
      </c>
      <c r="D2" s="653" t="str">
        <f t="shared" si="0"/>
        <v>2000(含)-4000</v>
      </c>
      <c r="E2" s="653" t="str">
        <f t="shared" si="0"/>
        <v>4000(含)-6000</v>
      </c>
      <c r="F2" s="653" t="str">
        <f t="shared" si="0"/>
        <v>6000(含)-8000</v>
      </c>
      <c r="G2" s="653" t="str">
        <f t="shared" si="0"/>
        <v>8000(含)-10000</v>
      </c>
      <c r="H2" s="653" t="str">
        <f t="shared" si="0"/>
        <v>10000(含)-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2000</v>
      </c>
      <c r="E3" s="657">
        <v>4000</v>
      </c>
      <c r="F3" s="658">
        <v>6000</v>
      </c>
      <c r="G3" s="657">
        <v>8000</v>
      </c>
      <c r="H3" s="658">
        <v>10000</v>
      </c>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99</v>
      </c>
      <c r="E4" s="989">
        <v>98</v>
      </c>
      <c r="F4" s="990">
        <v>97</v>
      </c>
      <c r="G4" s="989">
        <v>96</v>
      </c>
      <c r="H4" s="990">
        <v>95</v>
      </c>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5" thickBot="1">
      <c r="A20" s="662" t="s">
        <v>2093</v>
      </c>
      <c r="B20" s="294">
        <f ca="1">IF(D20="——",S22,S22-F20)</f>
        <v>5694</v>
      </c>
      <c r="C20" s="159"/>
      <c r="D20" s="2151" t="s">
        <v>43</v>
      </c>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75">
      <c r="A21" s="662" t="s">
        <v>2095</v>
      </c>
      <c r="B21" s="294">
        <f ca="1">ROUND(B20*10000/B22,0)</f>
        <v>3207</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17755.23</v>
      </c>
      <c r="C22" s="3749" t="s">
        <v>27</v>
      </c>
      <c r="D22" s="3750"/>
      <c r="E22" s="3750"/>
      <c r="F22" s="3750"/>
      <c r="G22" s="3750"/>
      <c r="H22" s="3750"/>
      <c r="I22" s="3750"/>
      <c r="J22" s="3750"/>
      <c r="K22" s="3750"/>
      <c r="L22" s="3750"/>
      <c r="M22" s="3750"/>
      <c r="N22" s="3750"/>
      <c r="O22" s="3750"/>
      <c r="P22" s="3750"/>
      <c r="Q22" s="3751"/>
      <c r="R22" s="663">
        <f ca="1">ROUND(S22*10000/B22,0)</f>
        <v>3207</v>
      </c>
      <c r="S22" s="21">
        <f ca="1">SUM(S24:S10000)</f>
        <v>5694</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4" t="s">
        <v>3498</v>
      </c>
      <c r="B24" s="665">
        <f>'数据-基础表'!I13</f>
        <v>8390.83</v>
      </c>
      <c r="C24" s="2809">
        <v>1</v>
      </c>
      <c r="D24" s="2810"/>
      <c r="E24" s="2809">
        <v>1</v>
      </c>
      <c r="F24" s="2810"/>
      <c r="G24" s="2809">
        <v>1</v>
      </c>
      <c r="H24" s="2810"/>
      <c r="I24" s="2809">
        <v>1</v>
      </c>
      <c r="J24" s="2810"/>
      <c r="K24" s="2809">
        <v>1</v>
      </c>
      <c r="L24" s="2810"/>
      <c r="M24" s="2809">
        <v>1</v>
      </c>
      <c r="N24" s="2810"/>
      <c r="O24" s="2809">
        <v>1</v>
      </c>
      <c r="P24" s="2810"/>
      <c r="Q24" s="2809">
        <v>1</v>
      </c>
      <c r="R24" s="668">
        <f ca="1">结果表!G20</f>
        <v>3207</v>
      </c>
      <c r="S24" s="666">
        <f t="shared" ref="S24:S54" ca="1" si="11">ROUND(R24*B24/10000,0)</f>
        <v>2691</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3509</v>
      </c>
      <c r="B25" s="54">
        <f>'数据-基础表'!I17</f>
        <v>9364.4</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3207</v>
      </c>
      <c r="S25" s="316">
        <f t="shared" ca="1" si="11"/>
        <v>3003</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2078</v>
      </c>
      <c r="B1" s="2147"/>
      <c r="C1" s="2147"/>
      <c r="D1" s="2147"/>
      <c r="E1" s="2147"/>
      <c r="F1" s="2792"/>
      <c r="G1" s="2792"/>
      <c r="H1" s="2792"/>
      <c r="I1" s="2792"/>
      <c r="J1" s="2792"/>
      <c r="K1" s="2792"/>
      <c r="L1" s="2792"/>
      <c r="M1" s="2792"/>
      <c r="N1" s="2792"/>
      <c r="O1" s="2792"/>
      <c r="P1" s="2792"/>
    </row>
    <row r="2" spans="1:16" ht="15.75">
      <c r="A2" s="2145" t="s">
        <v>2070</v>
      </c>
      <c r="B2" s="2602" t="e">
        <f ca="1">SUMIF(B6:B13,"&lt;&gt;#ref!",B6:B13)</f>
        <v>#DIV/0!</v>
      </c>
      <c r="C2" s="2145" t="s">
        <v>2071</v>
      </c>
      <c r="D2" s="2145" t="s">
        <v>2072</v>
      </c>
      <c r="E2" s="2612">
        <f ca="1">SUMIF(E6:E13,"&lt;&gt;#ref!",E6:E13)</f>
        <v>0</v>
      </c>
      <c r="F2" s="2792"/>
      <c r="G2" s="2792"/>
      <c r="H2" s="2792"/>
      <c r="I2" s="2792"/>
      <c r="J2" s="2792"/>
      <c r="K2" s="2792"/>
      <c r="L2" s="2792"/>
      <c r="M2" s="2792"/>
      <c r="N2" s="2792"/>
      <c r="O2" s="2792"/>
      <c r="P2" s="2792"/>
    </row>
    <row r="3" spans="1:16" ht="15.75">
      <c r="A3" s="2145" t="s">
        <v>2073</v>
      </c>
      <c r="B3" s="2602" t="e">
        <f ca="1">ROUND(B2*10000/E2,0)</f>
        <v>#DIV/0!</v>
      </c>
      <c r="C3" s="2145" t="s">
        <v>2079</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2074</v>
      </c>
      <c r="B5" s="2610" t="s">
        <v>2075</v>
      </c>
      <c r="C5" s="2146"/>
      <c r="D5" s="2792"/>
      <c r="E5" s="2611" t="s">
        <v>2076</v>
      </c>
      <c r="F5" s="2792"/>
      <c r="G5" s="2792"/>
      <c r="H5" s="2792"/>
      <c r="I5" s="2792"/>
      <c r="J5" s="2792"/>
      <c r="K5" s="2792"/>
      <c r="L5" s="2792"/>
      <c r="M5" s="2792"/>
      <c r="N5" s="2792"/>
      <c r="O5" s="2792"/>
      <c r="P5" s="2792"/>
    </row>
    <row r="6" spans="1:16" ht="15.75">
      <c r="A6" s="2609" t="s">
        <v>2077</v>
      </c>
      <c r="B6" s="2602" t="e">
        <f ca="1">SUMIF(INDIRECT("'"&amp;A6&amp;"'"&amp;"!A:A"),"总价",INDIRECT("'"&amp;A6&amp;"'"&amp;"!B:B"))</f>
        <v>#DIV/0!</v>
      </c>
      <c r="C6" s="2145" t="s">
        <v>2071</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2071</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2071</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2071</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2071</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2071</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2071</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2071</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1923</v>
      </c>
      <c r="B1" s="197"/>
      <c r="C1" s="201" t="s">
        <v>1924</v>
      </c>
      <c r="D1" s="342">
        <f>SUM(D33:D34,D37:D42)</f>
        <v>0</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75">
      <c r="A2" s="201" t="s">
        <v>1931</v>
      </c>
      <c r="B2" s="204" t="e">
        <f>C30</f>
        <v>#DIV/0!</v>
      </c>
      <c r="C2" s="1999" t="s">
        <v>1932</v>
      </c>
      <c r="D2" s="2000" t="s">
        <v>1933</v>
      </c>
      <c r="E2" s="3421"/>
      <c r="F2" s="2000" t="s">
        <v>1934</v>
      </c>
      <c r="G2" s="2001">
        <f>IF(E2="商业",项目基本情况!B37,IF(E2="办公",项目基本情况!C37,IF(E2="住宅",项目基本情况!D37,IF(E2="工业",项目基本情况!E37,项目基本情况!F37))))</f>
        <v>0</v>
      </c>
      <c r="H2" s="2000" t="s">
        <v>1935</v>
      </c>
      <c r="I2" s="2001">
        <f>IF(E2="商业",项目基本情况!B38,IF(E2="办公",项目基本情况!C38,IF(E2="住宅",项目基本情况!D38,IF(E2="工业",项目基本情况!E38,项目基本情况!F38))))</f>
        <v>0</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1937</v>
      </c>
      <c r="B3" s="204" t="e">
        <f>ROUND(B2*10000/D1,0)</f>
        <v>#DIV/0!</v>
      </c>
      <c r="C3" s="1999" t="s">
        <v>1938</v>
      </c>
      <c r="D3" s="2000" t="s">
        <v>1939</v>
      </c>
      <c r="E3" s="3419"/>
      <c r="F3" s="2004"/>
      <c r="G3" s="752">
        <f>IF(F3="宗地容积率",'数据-汇总表'!I4,IF(F3="估价对象容积率",'数据-汇总表'!I6,'数据-汇总表'!I7))</f>
        <v>1.68</v>
      </c>
      <c r="H3" s="170" t="s">
        <v>1940</v>
      </c>
      <c r="I3" s="775"/>
      <c r="J3" s="2002" t="s">
        <v>1941</v>
      </c>
      <c r="K3" s="1119"/>
      <c r="L3" s="2003" t="s">
        <v>1942</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62"/>
      <c r="B4" s="3763"/>
      <c r="C4" s="3763"/>
      <c r="D4" s="3764"/>
      <c r="E4" s="3764"/>
      <c r="F4" s="3764"/>
      <c r="G4" s="3764"/>
      <c r="H4" s="3764"/>
      <c r="I4" s="3764"/>
      <c r="J4" s="3765"/>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1944</v>
      </c>
      <c r="C5" s="753" t="e">
        <f>ROUND(IF(E2="商业",C6*C7*C17+C20,(IF(E2="住宅",C6*C13*C17+C20,IF(E2="办公",C6*C12*C17+C20,C6+C20)))),0)</f>
        <v>#DIV/0!</v>
      </c>
      <c r="D5" s="1339" t="e">
        <f>ROUND(C6*C17+C20,0)</f>
        <v>#DIV/0!</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1946</v>
      </c>
      <c r="B6" s="2016" t="s">
        <v>1947</v>
      </c>
      <c r="C6" s="754">
        <f>SUMIF(L1:L12,G2,M1:M12)</f>
        <v>0</v>
      </c>
      <c r="D6" s="2017"/>
      <c r="E6" s="2018"/>
      <c r="F6" s="2018"/>
      <c r="G6" s="2019"/>
      <c r="H6" s="2019"/>
      <c r="I6" s="2019"/>
      <c r="J6" s="2020"/>
      <c r="K6" s="1384"/>
      <c r="L6" s="2003" t="s">
        <v>1948</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3237</v>
      </c>
      <c r="B7" s="2021" t="s">
        <v>1949</v>
      </c>
      <c r="C7" s="755" t="e">
        <f>IF(C8="不临65条商业街",1,ROUND(1+(1.6*E8+1.2*E9+0.8*E10+0.4*E11)*C9,4))</f>
        <v>#DIV/0!</v>
      </c>
      <c r="D7" s="2022" t="s">
        <v>1950</v>
      </c>
      <c r="E7" s="776"/>
      <c r="F7" s="2023"/>
      <c r="G7" s="2024"/>
      <c r="H7" s="2024"/>
      <c r="I7" s="2024"/>
      <c r="J7" s="2025"/>
      <c r="K7" s="1384"/>
      <c r="L7" s="2003" t="s">
        <v>1951</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1952</v>
      </c>
      <c r="X7" s="1214">
        <f>G2</f>
        <v>0</v>
      </c>
      <c r="Y7" s="1214" t="s">
        <v>1953</v>
      </c>
      <c r="Z7" s="1215">
        <f>G3</f>
        <v>1.68</v>
      </c>
      <c r="AA7" s="1216"/>
      <c r="AB7" s="1216"/>
      <c r="AC7" s="1217"/>
      <c r="AD7" s="1218"/>
      <c r="AE7" s="1218"/>
      <c r="AF7" s="1218"/>
      <c r="AG7" s="1218"/>
      <c r="AH7" s="1218"/>
      <c r="AI7" s="1218"/>
      <c r="AJ7" s="1219"/>
    </row>
    <row r="8" spans="1:36" ht="15">
      <c r="A8" s="3298"/>
      <c r="B8" s="170" t="s">
        <v>1954</v>
      </c>
      <c r="C8" s="2026"/>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59" t="s">
        <v>1957</v>
      </c>
      <c r="X8" s="3760"/>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8"/>
      <c r="B9" s="170" t="s">
        <v>1970</v>
      </c>
      <c r="C9" s="758">
        <f>SUMIF(修正!C71:C138,C8,修正!E71:E138)</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61"/>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1973</v>
      </c>
      <c r="C10" s="171">
        <f>SUMIF(修正!C71:C138,C8,修正!F71:F138)</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6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1979</v>
      </c>
      <c r="C13" s="755">
        <f>ROUND(C16*D16*E16*F16*G16*H16*I16*J16,4)</f>
        <v>0</v>
      </c>
      <c r="D13" s="2035" t="s">
        <v>1980</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1982</v>
      </c>
      <c r="C14" s="2041" t="s">
        <v>1983</v>
      </c>
      <c r="D14" s="1350" t="s">
        <v>1984</v>
      </c>
      <c r="E14" s="27" t="s">
        <v>1985</v>
      </c>
      <c r="F14" s="3311" t="s">
        <v>3243</v>
      </c>
      <c r="G14" s="3311" t="s">
        <v>3243</v>
      </c>
      <c r="H14" s="3311" t="s">
        <v>3243</v>
      </c>
      <c r="I14" s="3311" t="s">
        <v>3243</v>
      </c>
      <c r="J14" s="3311" t="s">
        <v>3243</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1986</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6" t="s">
        <v>3254</v>
      </c>
      <c r="B20" s="167" t="s">
        <v>1991</v>
      </c>
      <c r="C20" s="3324" t="e">
        <f>ROUND(IF(F21="与级别开发程度一致",0,(G21-E21)/C21),0)</f>
        <v>#DIV/0!</v>
      </c>
      <c r="D20" s="3340" t="s">
        <v>1995</v>
      </c>
      <c r="E20" s="3341"/>
      <c r="F20" s="3772" t="s">
        <v>1992</v>
      </c>
      <c r="G20" s="3773"/>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67"/>
      <c r="B21" s="2164" t="s">
        <v>1994</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1997</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1998</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1999</v>
      </c>
      <c r="E23" s="761">
        <v>44197</v>
      </c>
      <c r="F23" s="2054" t="s">
        <v>2000</v>
      </c>
      <c r="G23" s="762">
        <f>'数据-取费表'!B2</f>
        <v>45131</v>
      </c>
      <c r="H23" s="3342" t="s">
        <v>3256</v>
      </c>
      <c r="I23" s="3343" t="str">
        <f>IF(H23="季度增幅（自定义）",SUMIF(N25:N28,E2,O25:O28),"")</f>
        <v/>
      </c>
      <c r="J23" s="3445" t="s">
        <v>3255</v>
      </c>
      <c r="K23" s="1125"/>
      <c r="L23" s="2055" t="s">
        <v>2001</v>
      </c>
      <c r="M23" s="1328">
        <f>ROUND(SUMIF(地价!B2:G2,E2,地价!B16:G16),0)</f>
        <v>0</v>
      </c>
      <c r="N23" s="2056" t="s">
        <v>2002</v>
      </c>
      <c r="O23" s="763">
        <f>ROUNDDOWN(DATEDIF(E23,G23,"M")/3,0)</f>
        <v>10</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2003</v>
      </c>
      <c r="C24" s="764" t="e">
        <f>ROUND(POWER(1+G24,J24-I24)*(POWER(1+G24,I24)-1)/(POWER(1+G24,J24)-1),4)</f>
        <v>#DIV/0!</v>
      </c>
      <c r="D24" s="2060" t="s">
        <v>2004</v>
      </c>
      <c r="E24" s="1335">
        <f>存贷款利率!E23/100</f>
        <v>4.3499999999999997E-2</v>
      </c>
      <c r="F24" s="2060" t="s">
        <v>1996</v>
      </c>
      <c r="G24" s="768">
        <f>SUMIF(M30:Q30,E2,M33:Q33)</f>
        <v>0</v>
      </c>
      <c r="H24" s="2060" t="s">
        <v>2005</v>
      </c>
      <c r="I24" s="769" t="e">
        <f>SUMIF('数据-取费表'!C6:C15,E2,'数据-取费表'!F6:F15)/COUNTIF('数据-取费表'!C6:C15,E2)</f>
        <v>#DIV/0!</v>
      </c>
      <c r="J24" s="770">
        <f>IF(E2="住宅",70,IF(E2="商业",40,50))</f>
        <v>50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0</v>
      </c>
      <c r="D25" s="2067"/>
      <c r="E25" s="2067"/>
      <c r="F25" s="2067"/>
      <c r="G25" s="2067"/>
      <c r="H25" s="2067"/>
      <c r="I25" s="2067"/>
      <c r="J25" s="2068"/>
      <c r="K25" s="1125"/>
      <c r="L25" s="2787"/>
      <c r="M25" s="2787"/>
      <c r="N25" s="2069" t="s">
        <v>2010</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2011</v>
      </c>
      <c r="B26" s="2070" t="s">
        <v>2012</v>
      </c>
      <c r="C26" s="3344" t="s">
        <v>3257</v>
      </c>
      <c r="D26" s="1352">
        <f>IF(E26=G26,F26,IF(G3&lt;10,ROUND(F26+(H26-F26)*(G3-E26)/(G26-E26),4),"——"))</f>
        <v>0</v>
      </c>
      <c r="E26" s="752">
        <f>ROUNDDOWN(G3,1)</f>
        <v>1.6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1.7000000000000002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2" t="str">
        <f>IF(G3&gt;=10,D115,"——")</f>
        <v>——</v>
      </c>
      <c r="K26" s="1125"/>
      <c r="L26" s="2787"/>
      <c r="M26" s="2787"/>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2017</v>
      </c>
      <c r="C28" s="760">
        <f>SUMIF(A47:A101,E2,B47:B101)</f>
        <v>0</v>
      </c>
      <c r="D28" s="2052"/>
      <c r="E28" s="2077"/>
      <c r="F28" s="2077"/>
      <c r="G28" s="2077"/>
      <c r="H28" s="2077"/>
      <c r="I28" s="2077"/>
      <c r="J28" s="2078"/>
      <c r="K28" s="1125"/>
      <c r="L28" s="2787"/>
      <c r="M28" s="2787"/>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2019</v>
      </c>
      <c r="C29" s="765"/>
      <c r="D29" s="2024"/>
      <c r="E29" s="2024"/>
      <c r="F29" s="2081"/>
      <c r="G29" s="2024"/>
      <c r="H29" s="2024"/>
      <c r="I29" s="2024"/>
      <c r="J29" s="2025"/>
      <c r="K29" s="1119"/>
      <c r="L29" s="1997"/>
      <c r="M29" s="1997"/>
      <c r="N29" s="2784" t="s">
        <v>2020</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2021</v>
      </c>
      <c r="C30" s="2321" t="e">
        <f>IF(B25="容积率修正",E33+SUM(E37:E42),SUM(V2:V16)+SUM(E37:E42))</f>
        <v>#DIV/0!</v>
      </c>
      <c r="D30" s="2083"/>
      <c r="E30" s="2046"/>
      <c r="F30" s="2084"/>
      <c r="G30" s="2046"/>
      <c r="H30" s="2046"/>
      <c r="I30" s="2046"/>
      <c r="J30" s="2085"/>
      <c r="K30" s="1119"/>
      <c r="L30" s="3350" t="s">
        <v>1933</v>
      </c>
      <c r="M30" s="3351" t="s">
        <v>1987</v>
      </c>
      <c r="N30" s="3351" t="s">
        <v>1988</v>
      </c>
      <c r="O30" s="3351" t="s">
        <v>1989</v>
      </c>
      <c r="P30" s="3351" t="s">
        <v>1990</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2022</v>
      </c>
      <c r="C31" s="766" t="e">
        <f>E34+SUM(I37:I42)</f>
        <v>#DIV/0!</v>
      </c>
      <c r="D31" s="2087"/>
      <c r="E31" s="2088"/>
      <c r="F31" s="2089"/>
      <c r="G31" s="2088"/>
      <c r="H31" s="2088"/>
      <c r="I31" s="2088"/>
      <c r="J31" s="2090"/>
      <c r="K31" s="1119"/>
      <c r="L31" s="3352" t="s">
        <v>1993</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2023</v>
      </c>
      <c r="C32" s="2093" t="s">
        <v>2024</v>
      </c>
      <c r="D32" s="2093" t="s">
        <v>2025</v>
      </c>
      <c r="E32" s="2094" t="s">
        <v>2026</v>
      </c>
      <c r="F32" s="2095"/>
      <c r="G32" s="2037"/>
      <c r="H32" s="2037"/>
      <c r="I32" s="2037"/>
      <c r="J32" s="2038"/>
      <c r="K32" s="1119"/>
      <c r="L32" s="3353" t="s">
        <v>1996</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2027</v>
      </c>
      <c r="C33" s="175" t="e">
        <f>ROUND(C5*C22*C23*C24*C25*C28,0)</f>
        <v>#DIV/0!</v>
      </c>
      <c r="D33" s="2098"/>
      <c r="E33" s="773" t="e">
        <f>ROUND(C33*D33/10000,0)</f>
        <v>#DIV/0!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2028</v>
      </c>
      <c r="C34" s="187" t="e">
        <f>ROUND(IF(E2="工业",C33*M42,IF(B25="楼层修正",SUM(V2:V16)*M41*10000/D34,C33*M41)),0)</f>
        <v>#DIV/0!</v>
      </c>
      <c r="D34" s="2103"/>
      <c r="E34" s="773" t="e">
        <f>ROUND(IF(B25="楼层修正",SUM(V2:V16)*M40,C34*D34/10000),0)</f>
        <v>#DIV/0!</v>
      </c>
      <c r="F34" s="2104" t="s">
        <v>2029</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6" t="s">
        <v>3261</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2024</v>
      </c>
      <c r="D36" s="447" t="s">
        <v>2025</v>
      </c>
      <c r="E36" s="447" t="s">
        <v>2026</v>
      </c>
      <c r="F36" s="342" t="s">
        <v>2032</v>
      </c>
      <c r="G36" s="2112" t="s">
        <v>2024</v>
      </c>
      <c r="H36" s="2112" t="s">
        <v>2025</v>
      </c>
      <c r="I36" s="2112" t="s">
        <v>2026</v>
      </c>
      <c r="J36" s="243"/>
      <c r="K36" s="3356" t="s">
        <v>3265</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0"/>
      <c r="B37" s="2113" t="s">
        <v>2033</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3266</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1"/>
      <c r="B38" s="2041" t="s">
        <v>2034</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1"/>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2038</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2118</v>
      </c>
      <c r="C44" s="342" t="e">
        <f>ROUND(POWER(1+E44,H44-G44)*(POWER(1+E44,G44)-1)/(POWER(1+E44,H44)-1),4)</f>
        <v>#DIV/0!</v>
      </c>
      <c r="D44" s="171" t="s">
        <v>1996</v>
      </c>
      <c r="E44" s="2153">
        <f>G24</f>
        <v>0</v>
      </c>
      <c r="F44" s="171" t="s">
        <v>2005</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2040</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2041</v>
      </c>
      <c r="B49" s="1351" t="s">
        <v>2042</v>
      </c>
      <c r="C49" s="1351" t="s">
        <v>2043</v>
      </c>
      <c r="D49" s="1351" t="s">
        <v>2044</v>
      </c>
      <c r="E49" s="743" t="s">
        <v>2045</v>
      </c>
      <c r="F49" s="2131" t="s">
        <v>2046</v>
      </c>
      <c r="G49" s="1351" t="s">
        <v>310</v>
      </c>
      <c r="H49" s="2132" t="s">
        <v>2047</v>
      </c>
      <c r="I49" s="1351" t="s">
        <v>2048</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38.25">
      <c r="A50" s="2130" t="s">
        <v>2049</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2050</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2051</v>
      </c>
      <c r="B53" s="2135" t="s">
        <v>2052</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2053</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2054</v>
      </c>
      <c r="B55" s="2136" t="s">
        <v>2055</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2056</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2057</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2058</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2041</v>
      </c>
      <c r="B60" s="1351"/>
      <c r="C60" s="1351" t="s">
        <v>2043</v>
      </c>
      <c r="D60" s="1351" t="s">
        <v>2044</v>
      </c>
      <c r="E60" s="743" t="s">
        <v>2045</v>
      </c>
      <c r="F60" s="2131" t="s">
        <v>2060</v>
      </c>
      <c r="G60" s="1351" t="s">
        <v>310</v>
      </c>
      <c r="H60" s="2132" t="s">
        <v>2047</v>
      </c>
      <c r="I60" s="1351" t="s">
        <v>2048</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8.25">
      <c r="A61" s="2130" t="s">
        <v>2061</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2050</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2051</v>
      </c>
      <c r="B64" s="2135" t="s">
        <v>2052</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2053</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2054</v>
      </c>
      <c r="B66" s="2136" t="s">
        <v>2055</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2056</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2057</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2058</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2041</v>
      </c>
      <c r="B71" s="1351"/>
      <c r="C71" s="1351" t="s">
        <v>2043</v>
      </c>
      <c r="D71" s="1351" t="s">
        <v>2044</v>
      </c>
      <c r="E71" s="743" t="s">
        <v>2045</v>
      </c>
      <c r="F71" s="2131" t="s">
        <v>2060</v>
      </c>
      <c r="G71" s="1351" t="s">
        <v>310</v>
      </c>
      <c r="H71" s="2132" t="s">
        <v>2047</v>
      </c>
      <c r="I71" s="1351" t="s">
        <v>2048</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1">
      <c r="A72" s="2130" t="s">
        <v>2063</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2050</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2064</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2056</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2057</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2054</v>
      </c>
      <c r="B78" s="2136" t="s">
        <v>2055</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2058</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2065</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2066</v>
      </c>
      <c r="B81" s="2127">
        <f>1+E83</f>
        <v>1</v>
      </c>
      <c r="C81" s="741"/>
      <c r="D81" s="741"/>
      <c r="E81" s="742"/>
      <c r="F81" s="2129"/>
      <c r="G81" s="3"/>
      <c r="H81" s="3"/>
      <c r="I81" s="3"/>
      <c r="J81" s="4"/>
      <c r="K81" s="4"/>
      <c r="L81" s="4"/>
      <c r="M81" s="4"/>
      <c r="N81" s="4"/>
      <c r="Z81" s="1998"/>
      <c r="AA81" s="2053"/>
      <c r="AG81" s="1121"/>
      <c r="AK81" s="2053"/>
    </row>
    <row r="82" spans="1:37" ht="24.75">
      <c r="A82" s="2130" t="s">
        <v>2041</v>
      </c>
      <c r="B82" s="1351"/>
      <c r="C82" s="1351" t="s">
        <v>2043</v>
      </c>
      <c r="D82" s="1351" t="s">
        <v>2044</v>
      </c>
      <c r="E82" s="743" t="s">
        <v>2045</v>
      </c>
      <c r="F82" s="2131" t="s">
        <v>2060</v>
      </c>
      <c r="G82" s="1351" t="s">
        <v>310</v>
      </c>
      <c r="H82" s="2132" t="s">
        <v>2047</v>
      </c>
      <c r="I82" s="1351" t="s">
        <v>2048</v>
      </c>
      <c r="J82" s="552" t="s">
        <v>1719</v>
      </c>
      <c r="K82" s="552" t="s">
        <v>1720</v>
      </c>
      <c r="L82" s="552" t="s">
        <v>1721</v>
      </c>
      <c r="M82" s="552" t="s">
        <v>1722</v>
      </c>
      <c r="N82" s="552" t="s">
        <v>1723</v>
      </c>
      <c r="Z82" s="1998"/>
      <c r="AA82" s="2053"/>
      <c r="AG82" s="1121"/>
      <c r="AK82" s="2053"/>
    </row>
    <row r="83" spans="1:37" ht="24">
      <c r="A83" s="2130" t="s">
        <v>2067</v>
      </c>
      <c r="B83" s="2134">
        <f>估价对象房地状况!G15</f>
        <v>0</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14.25">
      <c r="A84" s="2130" t="s">
        <v>2050</v>
      </c>
      <c r="B84" s="2134">
        <f>估价对象房地状况!G16</f>
        <v>0</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2064</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4">
      <c r="A87" s="2130" t="s">
        <v>2056</v>
      </c>
      <c r="B87" s="1326">
        <f>估价对象房地状况!G19</f>
        <v>0</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4">
      <c r="A88" s="2130" t="s">
        <v>2057</v>
      </c>
      <c r="B88" s="1326">
        <f>估价对象房地状况!G20</f>
        <v>0</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2054</v>
      </c>
      <c r="B89" s="2136" t="s">
        <v>2068</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15" thickBot="1">
      <c r="A90" s="2138" t="s">
        <v>2069</v>
      </c>
      <c r="B90" s="2143">
        <f>估价对象房地状况!G18</f>
        <v>0</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2610</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8" t="s">
        <v>3294</v>
      </c>
      <c r="B103" s="3768"/>
      <c r="C103" s="3768"/>
      <c r="D103" s="3768"/>
      <c r="E103" s="3768"/>
      <c r="F103" s="3768"/>
      <c r="G103" s="3768"/>
      <c r="H103" s="3768"/>
      <c r="I103" s="3768"/>
      <c r="J103" s="3768"/>
      <c r="K103" s="3389"/>
      <c r="L103" s="3389"/>
      <c r="M103" s="3389"/>
      <c r="N103" s="3389"/>
    </row>
    <row r="104" spans="1:14">
      <c r="A104" s="3769" t="s">
        <v>3295</v>
      </c>
      <c r="B104" s="3769" t="s">
        <v>3296</v>
      </c>
      <c r="C104" s="3390" t="s">
        <v>3297</v>
      </c>
      <c r="D104" s="3391"/>
      <c r="E104" s="3391"/>
      <c r="F104" s="3391"/>
      <c r="G104" s="3391"/>
      <c r="H104" s="3391"/>
      <c r="I104" s="3391"/>
      <c r="J104" s="3392"/>
      <c r="K104" s="3393"/>
      <c r="L104" s="3393"/>
      <c r="M104" s="3393"/>
      <c r="N104" s="3393"/>
    </row>
    <row r="105" spans="1:14">
      <c r="A105" s="3769"/>
      <c r="B105" s="3769"/>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55"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6"/>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8" t="s">
        <v>3311</v>
      </c>
      <c r="B113" s="3758"/>
      <c r="C113" s="3758"/>
      <c r="D113" s="3758"/>
      <c r="E113" s="3758"/>
      <c r="F113" s="3758"/>
      <c r="G113" s="3758"/>
      <c r="H113" s="3758"/>
      <c r="I113" s="3758"/>
      <c r="J113" s="375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1.68</v>
      </c>
      <c r="C116" s="3399" t="s">
        <v>3313</v>
      </c>
      <c r="D116" s="3400">
        <f>SUMPRODUCT((A118:A122=F116)*(B117:M117=H116)*B118:M122)</f>
        <v>0</v>
      </c>
      <c r="E116" s="2000" t="s">
        <v>3314</v>
      </c>
      <c r="F116" s="3401">
        <f>E2</f>
        <v>0</v>
      </c>
      <c r="G116" s="2000" t="s">
        <v>3315</v>
      </c>
      <c r="H116" s="3401">
        <f>G2</f>
        <v>0</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0.97829999999999995</v>
      </c>
      <c r="C118" s="3387">
        <f>B118</f>
        <v>0.97829999999999995</v>
      </c>
      <c r="D118" s="3387">
        <f>ROUND(0.949-0.014*B116,4)</f>
        <v>0.92549999999999999</v>
      </c>
      <c r="E118" s="3387">
        <f>D118</f>
        <v>0.92549999999999999</v>
      </c>
      <c r="F118" s="3387">
        <f>E118</f>
        <v>0.92549999999999999</v>
      </c>
      <c r="G118" s="3387">
        <f>F118</f>
        <v>0.92549999999999999</v>
      </c>
      <c r="H118" s="3387">
        <f>G118</f>
        <v>0.92549999999999999</v>
      </c>
      <c r="I118" s="3387">
        <f>ROUND(0.8486-0.018*B116,4)</f>
        <v>0.81840000000000002</v>
      </c>
      <c r="J118" s="3387">
        <f t="shared" ref="J118:M122" si="35">I118</f>
        <v>0.81840000000000002</v>
      </c>
      <c r="K118" s="3387">
        <f t="shared" si="35"/>
        <v>0.81840000000000002</v>
      </c>
      <c r="L118" s="3387">
        <f t="shared" si="35"/>
        <v>0.81840000000000002</v>
      </c>
      <c r="M118" s="3410">
        <f t="shared" si="35"/>
        <v>0.81840000000000002</v>
      </c>
      <c r="N118" s="3397"/>
    </row>
    <row r="119" spans="1:14">
      <c r="A119" s="3409" t="s">
        <v>3329</v>
      </c>
      <c r="B119" s="3387">
        <f>ROUND(0.993-0.0112*B116,4)</f>
        <v>0.97419999999999995</v>
      </c>
      <c r="C119" s="3387">
        <f>B119</f>
        <v>0.97419999999999995</v>
      </c>
      <c r="D119" s="3387">
        <f>ROUND(0.9415-0.0142*B116,4)</f>
        <v>0.91759999999999997</v>
      </c>
      <c r="E119" s="3387">
        <f t="shared" ref="E119:H120" si="36">D119</f>
        <v>0.91759999999999997</v>
      </c>
      <c r="F119" s="3387">
        <f t="shared" si="36"/>
        <v>0.91759999999999997</v>
      </c>
      <c r="G119" s="3387">
        <f t="shared" si="36"/>
        <v>0.91759999999999997</v>
      </c>
      <c r="H119" s="3387">
        <f t="shared" si="36"/>
        <v>0.91759999999999997</v>
      </c>
      <c r="I119" s="3387">
        <f>ROUND(0.838-0.0182*B116,4)</f>
        <v>0.80740000000000001</v>
      </c>
      <c r="J119" s="3387">
        <f t="shared" si="35"/>
        <v>0.80740000000000001</v>
      </c>
      <c r="K119" s="3387">
        <f t="shared" si="35"/>
        <v>0.80740000000000001</v>
      </c>
      <c r="L119" s="3387">
        <f t="shared" si="35"/>
        <v>0.80740000000000001</v>
      </c>
      <c r="M119" s="3410">
        <f t="shared" si="35"/>
        <v>0.80740000000000001</v>
      </c>
      <c r="N119" s="3397"/>
    </row>
    <row r="120" spans="1:14">
      <c r="A120" s="3409" t="s">
        <v>3330</v>
      </c>
      <c r="B120" s="3387">
        <f>ROUND(0.9448-0.0115*B116,4)</f>
        <v>0.92549999999999999</v>
      </c>
      <c r="C120" s="3387">
        <f>B120</f>
        <v>0.92549999999999999</v>
      </c>
      <c r="D120" s="3387">
        <f>ROUND(0.937-0.0145*B116,4)</f>
        <v>0.91259999999999997</v>
      </c>
      <c r="E120" s="3387">
        <f t="shared" si="36"/>
        <v>0.91259999999999997</v>
      </c>
      <c r="F120" s="3387">
        <f t="shared" si="36"/>
        <v>0.91259999999999997</v>
      </c>
      <c r="G120" s="3387">
        <f t="shared" si="36"/>
        <v>0.91259999999999997</v>
      </c>
      <c r="H120" s="3387">
        <f t="shared" si="36"/>
        <v>0.91259999999999997</v>
      </c>
      <c r="I120" s="3387">
        <f>ROUND(0.7965-0.0185*B116,4)</f>
        <v>0.76539999999999997</v>
      </c>
      <c r="J120" s="3387">
        <f t="shared" si="35"/>
        <v>0.76539999999999997</v>
      </c>
      <c r="K120" s="3387">
        <f t="shared" si="35"/>
        <v>0.76539999999999997</v>
      </c>
      <c r="L120" s="3387">
        <f t="shared" si="35"/>
        <v>0.76539999999999997</v>
      </c>
      <c r="M120" s="3410">
        <f t="shared" si="35"/>
        <v>0.76539999999999997</v>
      </c>
      <c r="N120" s="3397"/>
    </row>
    <row r="121" spans="1:14" ht="13.5" thickBot="1">
      <c r="A121" s="3411" t="s">
        <v>3331</v>
      </c>
      <c r="B121" s="3412">
        <f>ROUND(0.7836-0.012*B116,4)</f>
        <v>0.76339999999999997</v>
      </c>
      <c r="C121" s="3412">
        <f>B121</f>
        <v>0.76339999999999997</v>
      </c>
      <c r="D121" s="3412">
        <f>ROUND(0.753-0.015*B116,4)</f>
        <v>0.7278</v>
      </c>
      <c r="E121" s="3412">
        <f>D121</f>
        <v>0.7278</v>
      </c>
      <c r="F121" s="3412">
        <f>E121</f>
        <v>0.7278</v>
      </c>
      <c r="G121" s="3412">
        <f>ROUND(0.6612-0.018*B116,4)</f>
        <v>0.63100000000000001</v>
      </c>
      <c r="H121" s="3412">
        <f>G121</f>
        <v>0.63100000000000001</v>
      </c>
      <c r="I121" s="3412">
        <f>ROUND(0.5905-0.019*B116,4)</f>
        <v>0.55859999999999999</v>
      </c>
      <c r="J121" s="3412">
        <f t="shared" si="35"/>
        <v>0.55859999999999999</v>
      </c>
      <c r="K121" s="3412">
        <f t="shared" si="35"/>
        <v>0.55859999999999999</v>
      </c>
      <c r="L121" s="3412">
        <f t="shared" si="35"/>
        <v>0.55859999999999999</v>
      </c>
      <c r="M121" s="3413">
        <f t="shared" si="35"/>
        <v>0.55859999999999999</v>
      </c>
      <c r="N121" s="3397"/>
    </row>
    <row r="122" spans="1:14">
      <c r="A122" s="3414" t="s">
        <v>2610</v>
      </c>
      <c r="B122" s="3387">
        <f>ROUND(0.9404-0.0106*B116,4)</f>
        <v>0.92259999999999998</v>
      </c>
      <c r="C122" s="3387">
        <f>B122</f>
        <v>0.92259999999999998</v>
      </c>
      <c r="D122" s="3387">
        <f>ROUND(0.8955-0.0135*B116,4)</f>
        <v>0.87280000000000002</v>
      </c>
      <c r="E122" s="3387">
        <f t="shared" ref="E122:H122" si="37">D122</f>
        <v>0.87280000000000002</v>
      </c>
      <c r="F122" s="3387">
        <f t="shared" si="37"/>
        <v>0.87280000000000002</v>
      </c>
      <c r="G122" s="3387">
        <f t="shared" si="37"/>
        <v>0.87280000000000002</v>
      </c>
      <c r="H122" s="3387">
        <f t="shared" si="37"/>
        <v>0.87280000000000002</v>
      </c>
      <c r="I122" s="3387">
        <f>ROUND(0.7632-0.0166*B116,4)</f>
        <v>0.73529999999999995</v>
      </c>
      <c r="J122" s="3387">
        <f t="shared" si="35"/>
        <v>0.73529999999999995</v>
      </c>
      <c r="K122" s="3387">
        <f t="shared" si="35"/>
        <v>0.73529999999999995</v>
      </c>
      <c r="L122" s="3387">
        <f t="shared" si="35"/>
        <v>0.73529999999999995</v>
      </c>
      <c r="M122" s="3410">
        <f t="shared" si="35"/>
        <v>0.73529999999999995</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2592</v>
      </c>
      <c r="B1" s="3071" t="s">
        <v>2593</v>
      </c>
      <c r="C1" s="3071" t="s">
        <v>2594</v>
      </c>
      <c r="D1" s="3071" t="s">
        <v>2595</v>
      </c>
      <c r="E1" s="3071" t="s">
        <v>2596</v>
      </c>
      <c r="F1" s="3071" t="s">
        <v>2597</v>
      </c>
      <c r="G1" s="3071" t="s">
        <v>2598</v>
      </c>
      <c r="H1" s="3071" t="s">
        <v>2599</v>
      </c>
      <c r="I1" s="3071" t="s">
        <v>2600</v>
      </c>
      <c r="J1" s="3071" t="s">
        <v>2601</v>
      </c>
      <c r="K1" s="3071" t="s">
        <v>2602</v>
      </c>
      <c r="L1" s="3071" t="s">
        <v>2603</v>
      </c>
      <c r="M1" s="3072" t="s">
        <v>2604</v>
      </c>
    </row>
    <row r="2" spans="1:13" ht="19.5" customHeight="1">
      <c r="A2" s="3074" t="s">
        <v>2605</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2606</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2607</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2608</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2609</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2610</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2611</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2612</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2613</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2614</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2615</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2616</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2617</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2618</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2619</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2620</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2621</v>
      </c>
      <c r="B18" s="3096"/>
      <c r="C18" s="3097"/>
      <c r="D18" s="3097"/>
      <c r="E18" s="3096"/>
      <c r="F18" s="3097"/>
      <c r="G18" s="3097"/>
    </row>
    <row r="19" spans="1:13" ht="19.5" customHeight="1" thickBot="1">
      <c r="A19" s="3094" t="s">
        <v>2622</v>
      </c>
      <c r="B19" s="3099" t="s">
        <v>2623</v>
      </c>
      <c r="C19" s="3099" t="s">
        <v>2624</v>
      </c>
      <c r="D19" s="3100"/>
      <c r="E19" s="3094" t="s">
        <v>2625</v>
      </c>
      <c r="F19" s="3101"/>
      <c r="G19" s="3101"/>
    </row>
    <row r="20" spans="1:13" ht="19.5" customHeight="1">
      <c r="A20" s="3781" t="s">
        <v>2605</v>
      </c>
      <c r="B20" s="3774" t="s">
        <v>2626</v>
      </c>
      <c r="C20" s="3102" t="s">
        <v>2437</v>
      </c>
      <c r="D20" s="3103"/>
      <c r="E20" s="3104">
        <v>1</v>
      </c>
      <c r="F20" s="3105" t="s">
        <v>2438</v>
      </c>
      <c r="G20" s="3105"/>
    </row>
    <row r="21" spans="1:13" ht="19.5" customHeight="1">
      <c r="A21" s="3782"/>
      <c r="B21" s="3775"/>
      <c r="C21" s="3106" t="s">
        <v>2439</v>
      </c>
      <c r="D21" s="3107"/>
      <c r="E21" s="3108">
        <v>1</v>
      </c>
      <c r="F21" s="3105" t="s">
        <v>2440</v>
      </c>
      <c r="G21" s="3105"/>
    </row>
    <row r="22" spans="1:13" ht="19.5" customHeight="1">
      <c r="A22" s="3782"/>
      <c r="B22" s="3775"/>
      <c r="C22" s="3106" t="s">
        <v>2441</v>
      </c>
      <c r="D22" s="3107"/>
      <c r="E22" s="3108">
        <v>0.9</v>
      </c>
      <c r="F22" s="3105" t="s">
        <v>2442</v>
      </c>
      <c r="G22" s="3105"/>
    </row>
    <row r="23" spans="1:13" ht="19.5" customHeight="1">
      <c r="A23" s="3782"/>
      <c r="B23" s="3775"/>
      <c r="C23" s="3106" t="s">
        <v>2443</v>
      </c>
      <c r="D23" s="3107"/>
      <c r="E23" s="3108">
        <v>0.9</v>
      </c>
      <c r="F23" s="3105" t="s">
        <v>2444</v>
      </c>
      <c r="G23" s="3105"/>
    </row>
    <row r="24" spans="1:13" ht="19.5" customHeight="1">
      <c r="A24" s="3782"/>
      <c r="B24" s="3775"/>
      <c r="C24" s="3106" t="s">
        <v>2445</v>
      </c>
      <c r="D24" s="3107"/>
      <c r="E24" s="3108">
        <v>0.8</v>
      </c>
      <c r="F24" s="3105" t="s">
        <v>2446</v>
      </c>
      <c r="G24" s="3105"/>
    </row>
    <row r="25" spans="1:13" ht="19.5" customHeight="1" thickBot="1">
      <c r="A25" s="3783"/>
      <c r="B25" s="3776"/>
      <c r="C25" s="3109" t="s">
        <v>2447</v>
      </c>
      <c r="D25" s="3110"/>
      <c r="E25" s="3111">
        <v>0.8</v>
      </c>
      <c r="F25" s="3105" t="s">
        <v>2448</v>
      </c>
      <c r="G25" s="3105"/>
    </row>
    <row r="26" spans="1:13" ht="19.5" customHeight="1" thickBot="1">
      <c r="A26" s="3112" t="s">
        <v>2627</v>
      </c>
      <c r="B26" s="3113" t="s">
        <v>2626</v>
      </c>
      <c r="C26" s="3114" t="s">
        <v>2628</v>
      </c>
      <c r="D26" s="3115"/>
      <c r="E26" s="3116">
        <v>1</v>
      </c>
      <c r="F26" s="3105" t="s">
        <v>2449</v>
      </c>
      <c r="G26" s="3105"/>
    </row>
    <row r="27" spans="1:13" ht="19.5" customHeight="1">
      <c r="A27" s="3777" t="s">
        <v>2629</v>
      </c>
      <c r="B27" s="3774" t="s">
        <v>2610</v>
      </c>
      <c r="C27" s="3102" t="s">
        <v>2450</v>
      </c>
      <c r="D27" s="3103"/>
      <c r="E27" s="3104">
        <v>1</v>
      </c>
      <c r="F27" s="3105" t="s">
        <v>2451</v>
      </c>
      <c r="G27" s="3105"/>
    </row>
    <row r="28" spans="1:13" ht="19.5" customHeight="1">
      <c r="A28" s="3778"/>
      <c r="B28" s="3775"/>
      <c r="C28" s="3106" t="s">
        <v>2452</v>
      </c>
      <c r="D28" s="3107"/>
      <c r="E28" s="3108">
        <v>1</v>
      </c>
      <c r="F28" s="3105" t="s">
        <v>2453</v>
      </c>
      <c r="G28" s="3105"/>
    </row>
    <row r="29" spans="1:13" ht="19.5" customHeight="1">
      <c r="A29" s="3778"/>
      <c r="B29" s="3775"/>
      <c r="C29" s="3106" t="s">
        <v>2454</v>
      </c>
      <c r="D29" s="3107"/>
      <c r="E29" s="3108">
        <v>0.8</v>
      </c>
      <c r="F29" s="3105" t="s">
        <v>2455</v>
      </c>
      <c r="G29" s="3105"/>
    </row>
    <row r="30" spans="1:13" ht="19.5" customHeight="1">
      <c r="A30" s="3778"/>
      <c r="B30" s="3775"/>
      <c r="C30" s="3106" t="s">
        <v>2456</v>
      </c>
      <c r="D30" s="3107"/>
      <c r="E30" s="3108">
        <v>0.8</v>
      </c>
      <c r="F30" s="3105" t="s">
        <v>2457</v>
      </c>
      <c r="G30" s="3105"/>
    </row>
    <row r="31" spans="1:13" ht="19.5" customHeight="1">
      <c r="A31" s="3778"/>
      <c r="B31" s="3775"/>
      <c r="C31" s="3106" t="s">
        <v>2458</v>
      </c>
      <c r="D31" s="3107"/>
      <c r="E31" s="3108">
        <v>0.8</v>
      </c>
      <c r="F31" s="3105" t="s">
        <v>2459</v>
      </c>
      <c r="G31" s="3105"/>
    </row>
    <row r="32" spans="1:13" ht="19.5" customHeight="1">
      <c r="A32" s="3778"/>
      <c r="B32" s="3775"/>
      <c r="C32" s="3106" t="s">
        <v>2460</v>
      </c>
      <c r="D32" s="3107"/>
      <c r="E32" s="3108">
        <v>0.7</v>
      </c>
      <c r="F32" s="3105" t="s">
        <v>2461</v>
      </c>
      <c r="G32" s="3105"/>
    </row>
    <row r="33" spans="1:7" ht="19.5" customHeight="1">
      <c r="A33" s="3778"/>
      <c r="B33" s="3775"/>
      <c r="C33" s="3106" t="s">
        <v>2462</v>
      </c>
      <c r="D33" s="3107"/>
      <c r="E33" s="3108">
        <v>0.8</v>
      </c>
      <c r="F33" s="3105" t="s">
        <v>2463</v>
      </c>
      <c r="G33" s="3105"/>
    </row>
    <row r="34" spans="1:7" ht="19.5" customHeight="1">
      <c r="A34" s="3778"/>
      <c r="B34" s="3775"/>
      <c r="C34" s="3106" t="s">
        <v>2464</v>
      </c>
      <c r="D34" s="3107"/>
      <c r="E34" s="3108">
        <v>0.6</v>
      </c>
      <c r="F34" s="3105" t="s">
        <v>2465</v>
      </c>
      <c r="G34" s="3105"/>
    </row>
    <row r="35" spans="1:7" ht="19.5" customHeight="1">
      <c r="A35" s="3778"/>
      <c r="B35" s="3775"/>
      <c r="C35" s="3106" t="s">
        <v>2466</v>
      </c>
      <c r="D35" s="3107"/>
      <c r="E35" s="3108">
        <v>0.2</v>
      </c>
      <c r="F35" s="3105" t="s">
        <v>2467</v>
      </c>
      <c r="G35" s="3105"/>
    </row>
    <row r="36" spans="1:7" ht="19.5" customHeight="1">
      <c r="A36" s="3778"/>
      <c r="B36" s="3775"/>
      <c r="C36" s="3106" t="s">
        <v>2468</v>
      </c>
      <c r="D36" s="3107"/>
      <c r="E36" s="3108">
        <v>0.2</v>
      </c>
      <c r="F36" s="3105" t="s">
        <v>2469</v>
      </c>
      <c r="G36" s="3105"/>
    </row>
    <row r="37" spans="1:7" ht="19.5" customHeight="1">
      <c r="A37" s="3778"/>
      <c r="B37" s="3780" t="s">
        <v>2630</v>
      </c>
      <c r="C37" s="3106" t="s">
        <v>2470</v>
      </c>
      <c r="D37" s="3107"/>
      <c r="E37" s="3108">
        <v>0.6</v>
      </c>
      <c r="F37" s="3105" t="s">
        <v>2471</v>
      </c>
      <c r="G37" s="3105"/>
    </row>
    <row r="38" spans="1:7" ht="19.5" customHeight="1">
      <c r="A38" s="3778"/>
      <c r="B38" s="3775"/>
      <c r="C38" s="3106" t="s">
        <v>2472</v>
      </c>
      <c r="D38" s="3107"/>
      <c r="E38" s="3108">
        <v>0.6</v>
      </c>
      <c r="F38" s="3105" t="s">
        <v>2473</v>
      </c>
      <c r="G38" s="3105"/>
    </row>
    <row r="39" spans="1:7" ht="19.5" customHeight="1" thickBot="1">
      <c r="A39" s="3779"/>
      <c r="B39" s="3776"/>
      <c r="C39" s="3109" t="s">
        <v>2474</v>
      </c>
      <c r="D39" s="3110"/>
      <c r="E39" s="3111">
        <v>0.6</v>
      </c>
      <c r="F39" s="3105" t="s">
        <v>2475</v>
      </c>
      <c r="G39" s="3105"/>
    </row>
    <row r="40" spans="1:7" ht="19.5" customHeight="1" thickBot="1">
      <c r="A40" s="3112" t="s">
        <v>2607</v>
      </c>
      <c r="B40" s="3113" t="s">
        <v>2607</v>
      </c>
      <c r="C40" s="3114" t="s">
        <v>2631</v>
      </c>
      <c r="D40" s="3115"/>
      <c r="E40" s="3116">
        <v>1</v>
      </c>
      <c r="F40" s="3105" t="s">
        <v>2476</v>
      </c>
      <c r="G40" s="3105"/>
    </row>
    <row r="41" spans="1:7" ht="19.5" customHeight="1">
      <c r="A41" s="3781" t="s">
        <v>2608</v>
      </c>
      <c r="B41" s="3774" t="s">
        <v>2632</v>
      </c>
      <c r="C41" s="3102" t="s">
        <v>2477</v>
      </c>
      <c r="D41" s="3103"/>
      <c r="E41" s="3104">
        <v>1</v>
      </c>
      <c r="F41" s="3105" t="s">
        <v>2478</v>
      </c>
      <c r="G41" s="3105"/>
    </row>
    <row r="42" spans="1:7" ht="19.5" customHeight="1">
      <c r="A42" s="3782"/>
      <c r="B42" s="3775"/>
      <c r="C42" s="3106" t="s">
        <v>2479</v>
      </c>
      <c r="D42" s="3107"/>
      <c r="E42" s="3108">
        <v>1</v>
      </c>
      <c r="F42" s="3105" t="s">
        <v>2480</v>
      </c>
      <c r="G42" s="3105"/>
    </row>
    <row r="43" spans="1:7" ht="19.5" customHeight="1">
      <c r="A43" s="3782"/>
      <c r="B43" s="3784"/>
      <c r="C43" s="3106" t="s">
        <v>2481</v>
      </c>
      <c r="D43" s="3107"/>
      <c r="E43" s="3108">
        <v>1.5</v>
      </c>
      <c r="F43" s="3105" t="s">
        <v>2482</v>
      </c>
      <c r="G43" s="3105"/>
    </row>
    <row r="44" spans="1:7" ht="19.5" customHeight="1">
      <c r="A44" s="3782"/>
      <c r="B44" s="3117" t="s">
        <v>2633</v>
      </c>
      <c r="C44" s="3106" t="s">
        <v>2634</v>
      </c>
      <c r="D44" s="3107"/>
      <c r="E44" s="3108">
        <v>2</v>
      </c>
      <c r="F44" s="3105" t="s">
        <v>2483</v>
      </c>
      <c r="G44" s="3105"/>
    </row>
    <row r="45" spans="1:7" ht="19.5" customHeight="1">
      <c r="A45" s="3782"/>
      <c r="B45" s="3780" t="s">
        <v>2635</v>
      </c>
      <c r="C45" s="3106" t="s">
        <v>2484</v>
      </c>
      <c r="D45" s="3107"/>
      <c r="E45" s="3108">
        <v>1</v>
      </c>
      <c r="F45" s="3105" t="s">
        <v>2485</v>
      </c>
      <c r="G45" s="3105"/>
    </row>
    <row r="46" spans="1:7" ht="19.5" customHeight="1">
      <c r="A46" s="3782"/>
      <c r="B46" s="3775"/>
      <c r="C46" s="3106" t="s">
        <v>2486</v>
      </c>
      <c r="D46" s="3107"/>
      <c r="E46" s="3108">
        <v>1</v>
      </c>
      <c r="F46" s="3105" t="s">
        <v>2487</v>
      </c>
      <c r="G46" s="3105"/>
    </row>
    <row r="47" spans="1:7" ht="19.5" customHeight="1">
      <c r="A47" s="3782"/>
      <c r="B47" s="3775"/>
      <c r="C47" s="3106" t="s">
        <v>2488</v>
      </c>
      <c r="D47" s="3107"/>
      <c r="E47" s="3108">
        <v>1</v>
      </c>
      <c r="F47" s="3105" t="s">
        <v>2489</v>
      </c>
      <c r="G47" s="3105"/>
    </row>
    <row r="48" spans="1:7" ht="19.5" customHeight="1">
      <c r="A48" s="3782"/>
      <c r="B48" s="3775"/>
      <c r="C48" s="3106" t="s">
        <v>2490</v>
      </c>
      <c r="D48" s="3107"/>
      <c r="E48" s="3108">
        <v>1</v>
      </c>
      <c r="F48" s="3105" t="s">
        <v>2491</v>
      </c>
      <c r="G48" s="3105"/>
    </row>
    <row r="49" spans="1:7" ht="19.5" customHeight="1">
      <c r="A49" s="3782"/>
      <c r="B49" s="3775"/>
      <c r="C49" s="3106" t="s">
        <v>2492</v>
      </c>
      <c r="D49" s="3107"/>
      <c r="E49" s="3108">
        <v>1</v>
      </c>
      <c r="F49" s="3105" t="s">
        <v>2493</v>
      </c>
      <c r="G49" s="3105"/>
    </row>
    <row r="50" spans="1:7" ht="19.5" customHeight="1">
      <c r="A50" s="3782"/>
      <c r="B50" s="3775"/>
      <c r="C50" s="3106" t="s">
        <v>2494</v>
      </c>
      <c r="D50" s="3107"/>
      <c r="E50" s="3108">
        <v>1</v>
      </c>
      <c r="F50" s="3105" t="s">
        <v>2495</v>
      </c>
      <c r="G50" s="3105"/>
    </row>
    <row r="51" spans="1:7" ht="19.5" customHeight="1" thickBot="1">
      <c r="A51" s="3783"/>
      <c r="B51" s="3776"/>
      <c r="C51" s="3109" t="s">
        <v>2496</v>
      </c>
      <c r="D51" s="3110"/>
      <c r="E51" s="3111">
        <v>1</v>
      </c>
      <c r="F51" s="3105" t="s">
        <v>2497</v>
      </c>
      <c r="G51" s="3105"/>
    </row>
    <row r="52" spans="1:7" ht="19.5" customHeight="1">
      <c r="A52" s="3118"/>
      <c r="B52" s="3118"/>
      <c r="C52" s="3118"/>
      <c r="D52" s="3118"/>
      <c r="E52" s="3118"/>
      <c r="F52" s="3118"/>
      <c r="G52" s="3118"/>
    </row>
    <row r="54" spans="1:7" ht="19.5" customHeight="1">
      <c r="A54" s="3119"/>
      <c r="B54" s="3091" t="s">
        <v>2636</v>
      </c>
      <c r="C54" s="3091" t="s">
        <v>2636</v>
      </c>
      <c r="D54" s="3091" t="s">
        <v>2636</v>
      </c>
      <c r="E54" s="3094" t="s">
        <v>2636</v>
      </c>
      <c r="F54" s="3094" t="s">
        <v>2637</v>
      </c>
      <c r="G54" s="3094" t="s">
        <v>2638</v>
      </c>
    </row>
    <row r="55" spans="1:7" ht="19.5" customHeight="1">
      <c r="A55" s="3120"/>
      <c r="B55" s="3094" t="s">
        <v>2605</v>
      </c>
      <c r="C55" s="3094" t="s">
        <v>2605</v>
      </c>
      <c r="D55" s="3094" t="s">
        <v>2605</v>
      </c>
      <c r="E55" s="3091" t="s">
        <v>2606</v>
      </c>
      <c r="F55" s="3091" t="s">
        <v>2608</v>
      </c>
      <c r="G55" s="3091" t="s">
        <v>2639</v>
      </c>
    </row>
    <row r="56" spans="1:7" ht="19.5" customHeight="1">
      <c r="A56" s="3121"/>
      <c r="B56" s="3091">
        <v>1</v>
      </c>
      <c r="C56" s="3091">
        <v>2</v>
      </c>
      <c r="D56" s="3091">
        <v>3</v>
      </c>
      <c r="E56" s="3122" t="s">
        <v>2640</v>
      </c>
      <c r="F56" s="3122" t="s">
        <v>2640</v>
      </c>
      <c r="G56" s="3122" t="s">
        <v>2640</v>
      </c>
    </row>
    <row r="57" spans="1:7" ht="19.5" customHeight="1">
      <c r="A57" s="3123" t="s">
        <v>2593</v>
      </c>
      <c r="B57" s="3091">
        <v>0.7</v>
      </c>
      <c r="C57" s="3091">
        <v>0.4</v>
      </c>
      <c r="D57" s="3091">
        <v>0.3</v>
      </c>
      <c r="E57" s="3122">
        <v>0.3</v>
      </c>
      <c r="F57" s="3091">
        <v>0.3</v>
      </c>
      <c r="G57" s="3091">
        <v>0.2</v>
      </c>
    </row>
    <row r="58" spans="1:7" ht="19.5" customHeight="1">
      <c r="A58" s="3123" t="s">
        <v>2594</v>
      </c>
      <c r="B58" s="3091">
        <v>0.7</v>
      </c>
      <c r="C58" s="3091">
        <v>0.4</v>
      </c>
      <c r="D58" s="3091">
        <v>0.3</v>
      </c>
      <c r="E58" s="3091">
        <v>0.3</v>
      </c>
      <c r="F58" s="3091">
        <v>0.3</v>
      </c>
      <c r="G58" s="3091">
        <v>0.2</v>
      </c>
    </row>
    <row r="59" spans="1:7" ht="19.5" customHeight="1">
      <c r="A59" s="3123" t="s">
        <v>2595</v>
      </c>
      <c r="B59" s="3091">
        <v>0.6</v>
      </c>
      <c r="C59" s="3091">
        <v>0.3</v>
      </c>
      <c r="D59" s="3091">
        <v>0.25</v>
      </c>
      <c r="E59" s="3091">
        <v>0.25</v>
      </c>
      <c r="F59" s="3091">
        <v>0.25</v>
      </c>
      <c r="G59" s="3091">
        <v>0.15</v>
      </c>
    </row>
    <row r="60" spans="1:7" ht="19.5" customHeight="1">
      <c r="A60" s="3123" t="s">
        <v>2596</v>
      </c>
      <c r="B60" s="3091">
        <v>0.6</v>
      </c>
      <c r="C60" s="3091">
        <v>0.3</v>
      </c>
      <c r="D60" s="3091">
        <v>0.25</v>
      </c>
      <c r="E60" s="3091">
        <v>0.25</v>
      </c>
      <c r="F60" s="3091">
        <v>0.25</v>
      </c>
      <c r="G60" s="3091">
        <v>0.15</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0.5</v>
      </c>
      <c r="C64" s="3091">
        <v>0.2</v>
      </c>
      <c r="D64" s="3091">
        <v>0.2</v>
      </c>
      <c r="E64" s="3091">
        <v>0.2</v>
      </c>
      <c r="F64" s="3091">
        <v>0.2</v>
      </c>
      <c r="G64" s="3091">
        <v>0.1</v>
      </c>
    </row>
    <row r="65" spans="1:7" ht="19.5" customHeight="1">
      <c r="A65" s="3123" t="s">
        <v>2601</v>
      </c>
      <c r="B65" s="3091">
        <v>0.5</v>
      </c>
      <c r="C65" s="3091">
        <v>0.2</v>
      </c>
      <c r="D65" s="3091">
        <v>0.2</v>
      </c>
      <c r="E65" s="3091">
        <v>0.2</v>
      </c>
      <c r="F65" s="3091">
        <v>0.2</v>
      </c>
      <c r="G65" s="3091">
        <v>0.1</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70" spans="1:7" ht="19.5" customHeight="1">
      <c r="A70" s="3124"/>
      <c r="B70" s="3125"/>
      <c r="C70" s="3125"/>
      <c r="D70" s="3125" t="s">
        <v>2641</v>
      </c>
      <c r="E70" s="3125"/>
      <c r="F70" s="3125"/>
    </row>
    <row r="71" spans="1:7" ht="19.5" customHeight="1">
      <c r="A71" s="3117" t="s">
        <v>2642</v>
      </c>
      <c r="B71" s="3117" t="s">
        <v>2643</v>
      </c>
      <c r="C71" s="3117" t="s">
        <v>2644</v>
      </c>
      <c r="D71" s="3117" t="s">
        <v>2645</v>
      </c>
      <c r="E71" s="3117" t="s">
        <v>2646</v>
      </c>
      <c r="F71" s="3117" t="s">
        <v>2647</v>
      </c>
    </row>
    <row r="72" spans="1:7" ht="13.5">
      <c r="A72" s="3117"/>
      <c r="B72" s="3117"/>
      <c r="C72" s="3117" t="s">
        <v>2648</v>
      </c>
      <c r="D72" s="3117"/>
      <c r="E72" s="3117" t="s">
        <v>2619</v>
      </c>
      <c r="F72" s="3117" t="s">
        <v>2619</v>
      </c>
    </row>
    <row r="73" spans="1:7" ht="13.5">
      <c r="A73" s="3117">
        <v>1</v>
      </c>
      <c r="B73" s="3780" t="s">
        <v>2649</v>
      </c>
      <c r="C73" s="3091" t="s">
        <v>2650</v>
      </c>
      <c r="D73" s="3091" t="s">
        <v>2651</v>
      </c>
      <c r="E73" s="3117">
        <v>0.2</v>
      </c>
      <c r="F73" s="3117">
        <v>25</v>
      </c>
    </row>
    <row r="74" spans="1:7" ht="24">
      <c r="A74" s="3117">
        <v>2</v>
      </c>
      <c r="B74" s="3775"/>
      <c r="C74" s="3091" t="s">
        <v>2652</v>
      </c>
      <c r="D74" s="3091" t="s">
        <v>2653</v>
      </c>
      <c r="E74" s="3117">
        <v>0.2</v>
      </c>
      <c r="F74" s="3117">
        <v>25</v>
      </c>
    </row>
    <row r="75" spans="1:7" ht="24">
      <c r="A75" s="3117">
        <v>3</v>
      </c>
      <c r="B75" s="3775"/>
      <c r="C75" s="3091" t="s">
        <v>2654</v>
      </c>
      <c r="D75" s="3091" t="s">
        <v>2655</v>
      </c>
      <c r="E75" s="3117">
        <v>0.2</v>
      </c>
      <c r="F75" s="3117">
        <v>25</v>
      </c>
    </row>
    <row r="76" spans="1:7" ht="13.5">
      <c r="A76" s="3117">
        <v>4</v>
      </c>
      <c r="B76" s="3775"/>
      <c r="C76" s="3091" t="s">
        <v>2656</v>
      </c>
      <c r="D76" s="3091" t="s">
        <v>2657</v>
      </c>
      <c r="E76" s="3117">
        <v>0.15</v>
      </c>
      <c r="F76" s="3117">
        <v>20</v>
      </c>
    </row>
    <row r="77" spans="1:7" ht="24">
      <c r="A77" s="3117">
        <v>5</v>
      </c>
      <c r="B77" s="3775"/>
      <c r="C77" s="3091" t="s">
        <v>2658</v>
      </c>
      <c r="D77" s="3091" t="s">
        <v>2659</v>
      </c>
      <c r="E77" s="3117">
        <v>0.15</v>
      </c>
      <c r="F77" s="3117">
        <v>20</v>
      </c>
    </row>
    <row r="78" spans="1:7" ht="24">
      <c r="A78" s="3117">
        <v>6</v>
      </c>
      <c r="B78" s="3775"/>
      <c r="C78" s="3091" t="s">
        <v>2660</v>
      </c>
      <c r="D78" s="3091" t="s">
        <v>2661</v>
      </c>
      <c r="E78" s="3117">
        <v>0.15</v>
      </c>
      <c r="F78" s="3117">
        <v>20</v>
      </c>
    </row>
    <row r="79" spans="1:7" ht="24">
      <c r="A79" s="3117">
        <v>7</v>
      </c>
      <c r="B79" s="3775"/>
      <c r="C79" s="3091" t="s">
        <v>2662</v>
      </c>
      <c r="D79" s="3091" t="s">
        <v>2663</v>
      </c>
      <c r="E79" s="3117">
        <v>0.15</v>
      </c>
      <c r="F79" s="3117">
        <v>20</v>
      </c>
    </row>
    <row r="80" spans="1:7" ht="24">
      <c r="A80" s="3117">
        <v>8</v>
      </c>
      <c r="B80" s="3775"/>
      <c r="C80" s="3091" t="s">
        <v>2664</v>
      </c>
      <c r="D80" s="3091" t="s">
        <v>2665</v>
      </c>
      <c r="E80" s="3117">
        <v>0.1</v>
      </c>
      <c r="F80" s="3117">
        <v>15</v>
      </c>
    </row>
    <row r="81" spans="1:6" ht="24">
      <c r="A81" s="3117">
        <v>9</v>
      </c>
      <c r="B81" s="3775"/>
      <c r="C81" s="3091" t="s">
        <v>2666</v>
      </c>
      <c r="D81" s="3091" t="s">
        <v>2667</v>
      </c>
      <c r="E81" s="3117">
        <v>0.1</v>
      </c>
      <c r="F81" s="3117">
        <v>15</v>
      </c>
    </row>
    <row r="82" spans="1:6" ht="24">
      <c r="A82" s="3117">
        <v>10</v>
      </c>
      <c r="B82" s="3775"/>
      <c r="C82" s="3091" t="s">
        <v>2668</v>
      </c>
      <c r="D82" s="3091" t="s">
        <v>2669</v>
      </c>
      <c r="E82" s="3117">
        <v>0.1</v>
      </c>
      <c r="F82" s="3117">
        <v>15</v>
      </c>
    </row>
    <row r="83" spans="1:6" ht="24">
      <c r="A83" s="3117">
        <v>11</v>
      </c>
      <c r="B83" s="3775"/>
      <c r="C83" s="3091" t="s">
        <v>2670</v>
      </c>
      <c r="D83" s="3091" t="s">
        <v>2671</v>
      </c>
      <c r="E83" s="3117">
        <v>0.1</v>
      </c>
      <c r="F83" s="3117">
        <v>15</v>
      </c>
    </row>
    <row r="84" spans="1:6" ht="24">
      <c r="A84" s="3117">
        <v>12</v>
      </c>
      <c r="B84" s="3775"/>
      <c r="C84" s="3091" t="s">
        <v>2672</v>
      </c>
      <c r="D84" s="3091" t="s">
        <v>2673</v>
      </c>
      <c r="E84" s="3117">
        <v>0.1</v>
      </c>
      <c r="F84" s="3117">
        <v>15</v>
      </c>
    </row>
    <row r="85" spans="1:6" ht="13.5">
      <c r="A85" s="3117">
        <v>13</v>
      </c>
      <c r="B85" s="3775"/>
      <c r="C85" s="3091" t="s">
        <v>2674</v>
      </c>
      <c r="D85" s="3091" t="s">
        <v>2675</v>
      </c>
      <c r="E85" s="3117">
        <v>0.1</v>
      </c>
      <c r="F85" s="3117">
        <v>15</v>
      </c>
    </row>
    <row r="86" spans="1:6" ht="13.5">
      <c r="A86" s="3117">
        <v>14</v>
      </c>
      <c r="B86" s="3775"/>
      <c r="C86" s="3091" t="s">
        <v>2676</v>
      </c>
      <c r="D86" s="3091" t="s">
        <v>2677</v>
      </c>
      <c r="E86" s="3117">
        <v>0.1</v>
      </c>
      <c r="F86" s="3117">
        <v>15</v>
      </c>
    </row>
    <row r="87" spans="1:6" ht="13.5">
      <c r="A87" s="3117">
        <v>15</v>
      </c>
      <c r="B87" s="3775"/>
      <c r="C87" s="3091" t="s">
        <v>2678</v>
      </c>
      <c r="D87" s="3091" t="s">
        <v>2679</v>
      </c>
      <c r="E87" s="3117">
        <v>0.1</v>
      </c>
      <c r="F87" s="3117">
        <v>15</v>
      </c>
    </row>
    <row r="88" spans="1:6" ht="24">
      <c r="A88" s="3117">
        <v>16</v>
      </c>
      <c r="B88" s="3775"/>
      <c r="C88" s="3091" t="s">
        <v>2680</v>
      </c>
      <c r="D88" s="3091" t="s">
        <v>2681</v>
      </c>
      <c r="E88" s="3117">
        <v>0.1</v>
      </c>
      <c r="F88" s="3117">
        <v>15</v>
      </c>
    </row>
    <row r="89" spans="1:6" ht="24">
      <c r="A89" s="3117">
        <v>17</v>
      </c>
      <c r="B89" s="3784"/>
      <c r="C89" s="3091" t="s">
        <v>2682</v>
      </c>
      <c r="D89" s="3091" t="s">
        <v>2683</v>
      </c>
      <c r="E89" s="3117">
        <v>0.1</v>
      </c>
      <c r="F89" s="3117">
        <v>15</v>
      </c>
    </row>
    <row r="90" spans="1:6" ht="13.5">
      <c r="A90" s="3117">
        <v>18</v>
      </c>
      <c r="B90" s="3780" t="s">
        <v>2684</v>
      </c>
      <c r="C90" s="3091" t="s">
        <v>2685</v>
      </c>
      <c r="D90" s="3091" t="s">
        <v>2686</v>
      </c>
      <c r="E90" s="3117">
        <v>0.2</v>
      </c>
      <c r="F90" s="3117">
        <v>25</v>
      </c>
    </row>
    <row r="91" spans="1:6" ht="24">
      <c r="A91" s="3117">
        <v>19</v>
      </c>
      <c r="B91" s="3775"/>
      <c r="C91" s="3091" t="s">
        <v>2687</v>
      </c>
      <c r="D91" s="3091" t="s">
        <v>2688</v>
      </c>
      <c r="E91" s="3117">
        <v>0.2</v>
      </c>
      <c r="F91" s="3117">
        <v>25</v>
      </c>
    </row>
    <row r="92" spans="1:6" ht="13.5">
      <c r="A92" s="3117">
        <v>20</v>
      </c>
      <c r="B92" s="3775"/>
      <c r="C92" s="3091" t="s">
        <v>2689</v>
      </c>
      <c r="D92" s="3091" t="s">
        <v>2690</v>
      </c>
      <c r="E92" s="3117">
        <v>0.15</v>
      </c>
      <c r="F92" s="3117">
        <v>20</v>
      </c>
    </row>
    <row r="93" spans="1:6" ht="13.5">
      <c r="A93" s="3117">
        <v>21</v>
      </c>
      <c r="B93" s="3775"/>
      <c r="C93" s="3091" t="s">
        <v>2691</v>
      </c>
      <c r="D93" s="3091" t="s">
        <v>2692</v>
      </c>
      <c r="E93" s="3117">
        <v>0.15</v>
      </c>
      <c r="F93" s="3117">
        <v>20</v>
      </c>
    </row>
    <row r="94" spans="1:6" ht="13.5">
      <c r="A94" s="3117">
        <v>22</v>
      </c>
      <c r="B94" s="3775"/>
      <c r="C94" s="3091" t="s">
        <v>2693</v>
      </c>
      <c r="D94" s="3091" t="s">
        <v>2694</v>
      </c>
      <c r="E94" s="3117">
        <v>0.15</v>
      </c>
      <c r="F94" s="3117">
        <v>20</v>
      </c>
    </row>
    <row r="95" spans="1:6" ht="36">
      <c r="A95" s="3117">
        <v>23</v>
      </c>
      <c r="B95" s="3775"/>
      <c r="C95" s="3091" t="s">
        <v>2695</v>
      </c>
      <c r="D95" s="3091" t="s">
        <v>2696</v>
      </c>
      <c r="E95" s="3117">
        <v>0.15</v>
      </c>
      <c r="F95" s="3117">
        <v>20</v>
      </c>
    </row>
    <row r="96" spans="1:6" ht="13.5">
      <c r="A96" s="3117">
        <v>24</v>
      </c>
      <c r="B96" s="3775"/>
      <c r="C96" s="3091" t="s">
        <v>2697</v>
      </c>
      <c r="D96" s="3091" t="s">
        <v>2698</v>
      </c>
      <c r="E96" s="3117">
        <v>0.1</v>
      </c>
      <c r="F96" s="3117">
        <v>15</v>
      </c>
    </row>
    <row r="97" spans="1:6" ht="13.5">
      <c r="A97" s="3117">
        <v>25</v>
      </c>
      <c r="B97" s="3775"/>
      <c r="C97" s="3091" t="s">
        <v>2699</v>
      </c>
      <c r="D97" s="3091" t="s">
        <v>2700</v>
      </c>
      <c r="E97" s="3117">
        <v>0.1</v>
      </c>
      <c r="F97" s="3117">
        <v>15</v>
      </c>
    </row>
    <row r="98" spans="1:6" ht="24">
      <c r="A98" s="3117">
        <v>26</v>
      </c>
      <c r="B98" s="3775"/>
      <c r="C98" s="3091" t="s">
        <v>2701</v>
      </c>
      <c r="D98" s="3091" t="s">
        <v>2702</v>
      </c>
      <c r="E98" s="3117">
        <v>0.1</v>
      </c>
      <c r="F98" s="3117">
        <v>15</v>
      </c>
    </row>
    <row r="99" spans="1:6" ht="24">
      <c r="A99" s="3117">
        <v>27</v>
      </c>
      <c r="B99" s="3775"/>
      <c r="C99" s="3091" t="s">
        <v>2703</v>
      </c>
      <c r="D99" s="3091" t="s">
        <v>2704</v>
      </c>
      <c r="E99" s="3117">
        <v>0.1</v>
      </c>
      <c r="F99" s="3117">
        <v>15</v>
      </c>
    </row>
    <row r="100" spans="1:6" ht="13.5">
      <c r="A100" s="3117">
        <v>28</v>
      </c>
      <c r="B100" s="3775"/>
      <c r="C100" s="3091" t="s">
        <v>2705</v>
      </c>
      <c r="D100" s="3091" t="s">
        <v>2706</v>
      </c>
      <c r="E100" s="3117">
        <v>0.1</v>
      </c>
      <c r="F100" s="3117">
        <v>15</v>
      </c>
    </row>
    <row r="101" spans="1:6" ht="13.5">
      <c r="A101" s="3117">
        <v>29</v>
      </c>
      <c r="B101" s="3775"/>
      <c r="C101" s="3091" t="s">
        <v>2707</v>
      </c>
      <c r="D101" s="3091" t="s">
        <v>2708</v>
      </c>
      <c r="E101" s="3117">
        <v>0.1</v>
      </c>
      <c r="F101" s="3117">
        <v>15</v>
      </c>
    </row>
    <row r="102" spans="1:6" ht="13.5">
      <c r="A102" s="3117">
        <v>30</v>
      </c>
      <c r="B102" s="3775"/>
      <c r="C102" s="3091" t="s">
        <v>2709</v>
      </c>
      <c r="D102" s="3091" t="s">
        <v>2710</v>
      </c>
      <c r="E102" s="3117">
        <v>0.1</v>
      </c>
      <c r="F102" s="3117">
        <v>15</v>
      </c>
    </row>
    <row r="103" spans="1:6" ht="24">
      <c r="A103" s="3117">
        <v>31</v>
      </c>
      <c r="B103" s="3775"/>
      <c r="C103" s="3091" t="s">
        <v>2711</v>
      </c>
      <c r="D103" s="3091" t="s">
        <v>2712</v>
      </c>
      <c r="E103" s="3117">
        <v>0.1</v>
      </c>
      <c r="F103" s="3117">
        <v>15</v>
      </c>
    </row>
    <row r="104" spans="1:6" ht="24">
      <c r="A104" s="3117">
        <v>32</v>
      </c>
      <c r="B104" s="3775"/>
      <c r="C104" s="3091" t="s">
        <v>2713</v>
      </c>
      <c r="D104" s="3091" t="s">
        <v>2714</v>
      </c>
      <c r="E104" s="3117">
        <v>0.1</v>
      </c>
      <c r="F104" s="3117">
        <v>15</v>
      </c>
    </row>
    <row r="105" spans="1:6" ht="24">
      <c r="A105" s="3117">
        <v>33</v>
      </c>
      <c r="B105" s="3775"/>
      <c r="C105" s="3091" t="s">
        <v>2715</v>
      </c>
      <c r="D105" s="3091" t="s">
        <v>2716</v>
      </c>
      <c r="E105" s="3117">
        <v>0.1</v>
      </c>
      <c r="F105" s="3117">
        <v>15</v>
      </c>
    </row>
    <row r="106" spans="1:6" ht="24">
      <c r="A106" s="3117">
        <v>34</v>
      </c>
      <c r="B106" s="3784"/>
      <c r="C106" s="3091" t="s">
        <v>2717</v>
      </c>
      <c r="D106" s="3091" t="s">
        <v>2718</v>
      </c>
      <c r="E106" s="3117">
        <v>0.1</v>
      </c>
      <c r="F106" s="3117">
        <v>15</v>
      </c>
    </row>
    <row r="107" spans="1:6" ht="24">
      <c r="A107" s="3117">
        <v>35</v>
      </c>
      <c r="B107" s="3780" t="s">
        <v>2719</v>
      </c>
      <c r="C107" s="3117" t="s">
        <v>2720</v>
      </c>
      <c r="D107" s="3091" t="s">
        <v>2721</v>
      </c>
      <c r="E107" s="3117">
        <v>0.15</v>
      </c>
      <c r="F107" s="3117">
        <v>20</v>
      </c>
    </row>
    <row r="108" spans="1:6" ht="13.5">
      <c r="A108" s="3117">
        <v>36</v>
      </c>
      <c r="B108" s="3775"/>
      <c r="C108" s="3117" t="s">
        <v>2722</v>
      </c>
      <c r="D108" s="3091" t="s">
        <v>2723</v>
      </c>
      <c r="E108" s="3117">
        <v>0.15</v>
      </c>
      <c r="F108" s="3117">
        <v>20</v>
      </c>
    </row>
    <row r="109" spans="1:6" ht="13.5">
      <c r="A109" s="3117">
        <v>37</v>
      </c>
      <c r="B109" s="3775"/>
      <c r="C109" s="3117" t="s">
        <v>2724</v>
      </c>
      <c r="D109" s="3091" t="s">
        <v>2725</v>
      </c>
      <c r="E109" s="3117">
        <v>0.15</v>
      </c>
      <c r="F109" s="3117">
        <v>20</v>
      </c>
    </row>
    <row r="110" spans="1:6" ht="13.5">
      <c r="A110" s="3117">
        <v>38</v>
      </c>
      <c r="B110" s="3775"/>
      <c r="C110" s="3117" t="s">
        <v>2726</v>
      </c>
      <c r="D110" s="3091" t="s">
        <v>2727</v>
      </c>
      <c r="E110" s="3117">
        <v>0.1</v>
      </c>
      <c r="F110" s="3117">
        <v>15</v>
      </c>
    </row>
    <row r="111" spans="1:6" ht="24">
      <c r="A111" s="3117">
        <v>39</v>
      </c>
      <c r="B111" s="3775"/>
      <c r="C111" s="3117" t="s">
        <v>2728</v>
      </c>
      <c r="D111" s="3091" t="s">
        <v>2729</v>
      </c>
      <c r="E111" s="3117">
        <v>0.1</v>
      </c>
      <c r="F111" s="3117">
        <v>15</v>
      </c>
    </row>
    <row r="112" spans="1:6" ht="24">
      <c r="A112" s="3117">
        <v>40</v>
      </c>
      <c r="B112" s="3784"/>
      <c r="C112" s="3117" t="s">
        <v>2730</v>
      </c>
      <c r="D112" s="3091" t="s">
        <v>2731</v>
      </c>
      <c r="E112" s="3117">
        <v>0.1</v>
      </c>
      <c r="F112" s="3117">
        <v>15</v>
      </c>
    </row>
    <row r="113" spans="1:6" ht="13.5">
      <c r="A113" s="3117">
        <v>41</v>
      </c>
      <c r="B113" s="3785" t="s">
        <v>2732</v>
      </c>
      <c r="C113" s="3117" t="s">
        <v>2733</v>
      </c>
      <c r="D113" s="3091" t="s">
        <v>2734</v>
      </c>
      <c r="E113" s="3117">
        <v>0.1</v>
      </c>
      <c r="F113" s="3117">
        <v>15</v>
      </c>
    </row>
    <row r="114" spans="1:6" ht="13.5">
      <c r="A114" s="3117">
        <v>42</v>
      </c>
      <c r="B114" s="3785"/>
      <c r="C114" s="3117" t="s">
        <v>2735</v>
      </c>
      <c r="D114" s="3091" t="s">
        <v>2736</v>
      </c>
      <c r="E114" s="3117">
        <v>0.1</v>
      </c>
      <c r="F114" s="3117">
        <v>15</v>
      </c>
    </row>
    <row r="115" spans="1:6" ht="24">
      <c r="A115" s="3117">
        <v>43</v>
      </c>
      <c r="B115" s="3785"/>
      <c r="C115" s="3117" t="s">
        <v>2737</v>
      </c>
      <c r="D115" s="3091" t="s">
        <v>2738</v>
      </c>
      <c r="E115" s="3117">
        <v>0.1</v>
      </c>
      <c r="F115" s="3117">
        <v>15</v>
      </c>
    </row>
    <row r="116" spans="1:6" ht="13.5">
      <c r="A116" s="3117">
        <v>44</v>
      </c>
      <c r="B116" s="3780" t="s">
        <v>2739</v>
      </c>
      <c r="C116" s="3117" t="s">
        <v>2740</v>
      </c>
      <c r="D116" s="3091" t="s">
        <v>2741</v>
      </c>
      <c r="E116" s="3117">
        <v>0.1</v>
      </c>
      <c r="F116" s="3117">
        <v>15</v>
      </c>
    </row>
    <row r="117" spans="1:6" ht="24">
      <c r="A117" s="3117">
        <v>45</v>
      </c>
      <c r="B117" s="3784"/>
      <c r="C117" s="3091" t="s">
        <v>2742</v>
      </c>
      <c r="D117" s="3091" t="s">
        <v>2743</v>
      </c>
      <c r="E117" s="3117">
        <v>0.1</v>
      </c>
      <c r="F117" s="3117">
        <v>15</v>
      </c>
    </row>
    <row r="118" spans="1:6" ht="24">
      <c r="A118" s="3117">
        <v>46</v>
      </c>
      <c r="B118" s="3780" t="s">
        <v>2744</v>
      </c>
      <c r="C118" s="3117" t="s">
        <v>2745</v>
      </c>
      <c r="D118" s="3091" t="s">
        <v>2746</v>
      </c>
      <c r="E118" s="3117">
        <v>0.1</v>
      </c>
      <c r="F118" s="3117">
        <v>15</v>
      </c>
    </row>
    <row r="119" spans="1:6" ht="24">
      <c r="A119" s="3117">
        <v>47</v>
      </c>
      <c r="B119" s="3784"/>
      <c r="C119" s="3117" t="s">
        <v>2747</v>
      </c>
      <c r="D119" s="3091" t="s">
        <v>2748</v>
      </c>
      <c r="E119" s="3117">
        <v>0.1</v>
      </c>
      <c r="F119" s="3117">
        <v>15</v>
      </c>
    </row>
    <row r="120" spans="1:6" ht="13.5">
      <c r="A120" s="3117">
        <v>48</v>
      </c>
      <c r="B120" s="3780" t="s">
        <v>2749</v>
      </c>
      <c r="C120" s="3117" t="s">
        <v>2750</v>
      </c>
      <c r="D120" s="3091" t="s">
        <v>2751</v>
      </c>
      <c r="E120" s="3117">
        <v>0.1</v>
      </c>
      <c r="F120" s="3117">
        <v>15</v>
      </c>
    </row>
    <row r="121" spans="1:6" ht="13.5">
      <c r="A121" s="3117">
        <v>49</v>
      </c>
      <c r="B121" s="3784"/>
      <c r="C121" s="3117" t="s">
        <v>2752</v>
      </c>
      <c r="D121" s="3091" t="s">
        <v>2753</v>
      </c>
      <c r="E121" s="3117">
        <v>0.1</v>
      </c>
      <c r="F121" s="3117">
        <v>15</v>
      </c>
    </row>
    <row r="122" spans="1:6" ht="24">
      <c r="A122" s="3117">
        <v>50</v>
      </c>
      <c r="B122" s="3785" t="s">
        <v>2754</v>
      </c>
      <c r="C122" s="3117" t="s">
        <v>2755</v>
      </c>
      <c r="D122" s="3091" t="s">
        <v>2756</v>
      </c>
      <c r="E122" s="3117">
        <v>0.1</v>
      </c>
      <c r="F122" s="3117">
        <v>15</v>
      </c>
    </row>
    <row r="123" spans="1:6" ht="24">
      <c r="A123" s="3117">
        <v>51</v>
      </c>
      <c r="B123" s="3785"/>
      <c r="C123" s="3117" t="s">
        <v>2757</v>
      </c>
      <c r="D123" s="3091" t="s">
        <v>2758</v>
      </c>
      <c r="E123" s="3117">
        <v>0.1</v>
      </c>
      <c r="F123" s="3117">
        <v>15</v>
      </c>
    </row>
    <row r="124" spans="1:6" ht="24">
      <c r="A124" s="3117">
        <v>52</v>
      </c>
      <c r="B124" s="3785" t="s">
        <v>2759</v>
      </c>
      <c r="C124" s="3117" t="s">
        <v>2760</v>
      </c>
      <c r="D124" s="3091" t="s">
        <v>2761</v>
      </c>
      <c r="E124" s="3117">
        <v>0.1</v>
      </c>
      <c r="F124" s="3117">
        <v>15</v>
      </c>
    </row>
    <row r="125" spans="1:6" ht="24">
      <c r="A125" s="3117">
        <v>53</v>
      </c>
      <c r="B125" s="3785"/>
      <c r="C125" s="3117" t="s">
        <v>2762</v>
      </c>
      <c r="D125" s="3091" t="s">
        <v>2763</v>
      </c>
      <c r="E125" s="3117">
        <v>0.1</v>
      </c>
      <c r="F125" s="3117">
        <v>15</v>
      </c>
    </row>
    <row r="126" spans="1:6" ht="13.5">
      <c r="A126" s="3117">
        <v>54</v>
      </c>
      <c r="B126" s="3117" t="s">
        <v>2764</v>
      </c>
      <c r="C126" s="3117" t="s">
        <v>2765</v>
      </c>
      <c r="D126" s="3091" t="s">
        <v>2766</v>
      </c>
      <c r="E126" s="3117">
        <v>0.1</v>
      </c>
      <c r="F126" s="3117">
        <v>15</v>
      </c>
    </row>
    <row r="127" spans="1:6" ht="13.5">
      <c r="A127" s="3117">
        <v>55</v>
      </c>
      <c r="B127" s="3785" t="s">
        <v>2767</v>
      </c>
      <c r="C127" s="3117" t="s">
        <v>2768</v>
      </c>
      <c r="D127" s="3091" t="s">
        <v>2769</v>
      </c>
      <c r="E127" s="3117">
        <v>0.1</v>
      </c>
      <c r="F127" s="3117">
        <v>15</v>
      </c>
    </row>
    <row r="128" spans="1:6" ht="13.5">
      <c r="A128" s="3117">
        <v>56</v>
      </c>
      <c r="B128" s="3785"/>
      <c r="C128" s="3117" t="s">
        <v>2770</v>
      </c>
      <c r="D128" s="3091" t="s">
        <v>2771</v>
      </c>
      <c r="E128" s="3117">
        <v>0.1</v>
      </c>
      <c r="F128" s="3117">
        <v>15</v>
      </c>
    </row>
    <row r="129" spans="1:6" ht="24">
      <c r="A129" s="3117">
        <v>57</v>
      </c>
      <c r="B129" s="3785"/>
      <c r="C129" s="3117" t="s">
        <v>2772</v>
      </c>
      <c r="D129" s="3091" t="s">
        <v>2773</v>
      </c>
      <c r="E129" s="3117">
        <v>0.1</v>
      </c>
      <c r="F129" s="3117">
        <v>15</v>
      </c>
    </row>
    <row r="130" spans="1:6" ht="24">
      <c r="A130" s="3117">
        <v>58</v>
      </c>
      <c r="B130" s="3785" t="s">
        <v>2774</v>
      </c>
      <c r="C130" s="3117" t="s">
        <v>2775</v>
      </c>
      <c r="D130" s="3091" t="s">
        <v>2776</v>
      </c>
      <c r="E130" s="3117">
        <v>0.1</v>
      </c>
      <c r="F130" s="3117">
        <v>15</v>
      </c>
    </row>
    <row r="131" spans="1:6" ht="13.5">
      <c r="A131" s="3117">
        <v>59</v>
      </c>
      <c r="B131" s="3785"/>
      <c r="C131" s="3117" t="s">
        <v>2777</v>
      </c>
      <c r="D131" s="3091" t="s">
        <v>2778</v>
      </c>
      <c r="E131" s="3117">
        <v>0.1</v>
      </c>
      <c r="F131" s="3117">
        <v>15</v>
      </c>
    </row>
    <row r="132" spans="1:6" ht="13.5">
      <c r="A132" s="3117">
        <v>60</v>
      </c>
      <c r="B132" s="3780" t="s">
        <v>2779</v>
      </c>
      <c r="C132" s="3117" t="s">
        <v>2780</v>
      </c>
      <c r="D132" s="3091" t="s">
        <v>2781</v>
      </c>
      <c r="E132" s="3117">
        <v>0.1</v>
      </c>
      <c r="F132" s="3117">
        <v>15</v>
      </c>
    </row>
    <row r="133" spans="1:6" ht="13.5">
      <c r="A133" s="3117">
        <v>61</v>
      </c>
      <c r="B133" s="3784"/>
      <c r="C133" s="3117" t="s">
        <v>2782</v>
      </c>
      <c r="D133" s="3091" t="s">
        <v>2783</v>
      </c>
      <c r="E133" s="3117">
        <v>0.1</v>
      </c>
      <c r="F133" s="3117">
        <v>15</v>
      </c>
    </row>
    <row r="134" spans="1:6" ht="24">
      <c r="A134" s="3117">
        <v>62</v>
      </c>
      <c r="B134" s="3117" t="s">
        <v>2784</v>
      </c>
      <c r="C134" s="3117" t="s">
        <v>2785</v>
      </c>
      <c r="D134" s="3091" t="s">
        <v>2786</v>
      </c>
      <c r="E134" s="3117">
        <v>0.1</v>
      </c>
      <c r="F134" s="3117">
        <v>15</v>
      </c>
    </row>
    <row r="135" spans="1:6" ht="13.5">
      <c r="A135" s="3117">
        <v>63</v>
      </c>
      <c r="B135" s="3785" t="s">
        <v>2787</v>
      </c>
      <c r="C135" s="3117" t="s">
        <v>2788</v>
      </c>
      <c r="D135" s="3091" t="s">
        <v>2789</v>
      </c>
      <c r="E135" s="3117">
        <v>0.1</v>
      </c>
      <c r="F135" s="3117">
        <v>15</v>
      </c>
    </row>
    <row r="136" spans="1:6" ht="13.5">
      <c r="A136" s="3117">
        <v>64</v>
      </c>
      <c r="B136" s="3785"/>
      <c r="C136" s="3117" t="s">
        <v>2790</v>
      </c>
      <c r="D136" s="3091" t="s">
        <v>2791</v>
      </c>
      <c r="E136" s="3117">
        <v>0.1</v>
      </c>
      <c r="F136" s="3117">
        <v>15</v>
      </c>
    </row>
    <row r="137" spans="1:6" ht="13.5">
      <c r="A137" s="3117">
        <v>65</v>
      </c>
      <c r="B137" s="3117" t="s">
        <v>2792</v>
      </c>
      <c r="C137" s="3117" t="s">
        <v>2793</v>
      </c>
      <c r="D137" s="3091" t="s">
        <v>2794</v>
      </c>
      <c r="E137" s="3117">
        <v>0.1</v>
      </c>
      <c r="F137" s="3117">
        <v>15</v>
      </c>
    </row>
    <row r="138" spans="1:6" ht="13.5">
      <c r="A138" s="3117"/>
      <c r="B138" s="3117"/>
      <c r="C138" s="3117"/>
      <c r="D138" s="3117"/>
      <c r="E138" s="3117" t="s">
        <v>2795</v>
      </c>
      <c r="F138" s="3117"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2796</v>
      </c>
      <c r="B1" s="3126"/>
      <c r="C1" s="3126"/>
      <c r="D1" s="3126"/>
      <c r="E1" s="3126"/>
      <c r="F1" s="3126"/>
      <c r="G1" s="3126"/>
      <c r="H1" s="3126"/>
      <c r="I1" s="3126"/>
      <c r="J1" s="3126"/>
      <c r="K1" s="3126"/>
      <c r="L1" s="3126"/>
      <c r="M1" s="3126"/>
      <c r="N1" s="749"/>
    </row>
    <row r="2" spans="1:20">
      <c r="A2" s="3127" t="s">
        <v>2797</v>
      </c>
      <c r="B2" s="3128" t="s">
        <v>2593</v>
      </c>
      <c r="C2" s="3128" t="s">
        <v>2594</v>
      </c>
      <c r="D2" s="3128" t="s">
        <v>2595</v>
      </c>
      <c r="E2" s="3128" t="s">
        <v>2596</v>
      </c>
      <c r="F2" s="3128" t="s">
        <v>2597</v>
      </c>
      <c r="G2" s="3128" t="s">
        <v>2598</v>
      </c>
      <c r="H2" s="3129" t="s">
        <v>2599</v>
      </c>
      <c r="I2" s="3129" t="s">
        <v>2600</v>
      </c>
      <c r="J2" s="3130" t="s">
        <v>2601</v>
      </c>
      <c r="K2" s="3130" t="s">
        <v>2602</v>
      </c>
      <c r="L2" s="3130" t="s">
        <v>2603</v>
      </c>
      <c r="M2" s="3131" t="s">
        <v>2604</v>
      </c>
      <c r="Q2" s="3141" t="s">
        <v>2802</v>
      </c>
      <c r="R2" s="3141" t="s">
        <v>2803</v>
      </c>
      <c r="S2" s="3141" t="s">
        <v>2804</v>
      </c>
      <c r="T2" s="3141" t="s">
        <v>2805</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2798</v>
      </c>
      <c r="B93" s="3126"/>
      <c r="C93" s="3126"/>
      <c r="D93" s="3126"/>
      <c r="E93" s="3126"/>
      <c r="F93" s="3126"/>
      <c r="G93" s="3126"/>
      <c r="H93" s="3126"/>
      <c r="I93" s="3126"/>
      <c r="J93" s="3126"/>
      <c r="K93" s="3126"/>
      <c r="L93" s="3126"/>
      <c r="M93" s="3126"/>
    </row>
    <row r="94" spans="1:20">
      <c r="A94" s="3127" t="s">
        <v>2797</v>
      </c>
      <c r="B94" s="3128" t="s">
        <v>2593</v>
      </c>
      <c r="C94" s="3128" t="s">
        <v>2594</v>
      </c>
      <c r="D94" s="3128" t="s">
        <v>2595</v>
      </c>
      <c r="E94" s="3128" t="s">
        <v>2596</v>
      </c>
      <c r="F94" s="3128" t="s">
        <v>2597</v>
      </c>
      <c r="G94" s="3128" t="s">
        <v>2598</v>
      </c>
      <c r="H94" s="3129" t="s">
        <v>2599</v>
      </c>
      <c r="I94" s="3129" t="s">
        <v>2600</v>
      </c>
      <c r="J94" s="3130" t="s">
        <v>2601</v>
      </c>
      <c r="K94" s="3130" t="s">
        <v>2602</v>
      </c>
      <c r="L94" s="3130" t="s">
        <v>2603</v>
      </c>
      <c r="M94" s="3131" t="s">
        <v>2604</v>
      </c>
      <c r="N94" s="750">
        <f>SUMPRODUCT((A95:A184=ROUNDDOWN(基准地价修正!G3,1))*(B94:M94=基准地价修正!G2)*(B95:M184))</f>
        <v>0</v>
      </c>
      <c r="Q94" s="3141" t="s">
        <v>2802</v>
      </c>
      <c r="R94" s="3141" t="s">
        <v>2803</v>
      </c>
      <c r="S94" s="3141" t="s">
        <v>2804</v>
      </c>
      <c r="T94" s="3141" t="s">
        <v>2805</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2799</v>
      </c>
      <c r="B185" s="3126"/>
      <c r="C185" s="3126"/>
      <c r="D185" s="3126"/>
      <c r="E185" s="3126"/>
      <c r="F185" s="3126"/>
      <c r="G185" s="3126"/>
      <c r="H185" s="3126"/>
      <c r="I185" s="3126"/>
      <c r="J185" s="3126"/>
      <c r="K185" s="3126"/>
      <c r="L185" s="3126"/>
      <c r="M185" s="3126"/>
    </row>
    <row r="186" spans="1:20">
      <c r="A186" s="3127" t="s">
        <v>2797</v>
      </c>
      <c r="B186" s="3128" t="s">
        <v>2593</v>
      </c>
      <c r="C186" s="3128" t="s">
        <v>2594</v>
      </c>
      <c r="D186" s="3128" t="s">
        <v>2595</v>
      </c>
      <c r="E186" s="3128" t="s">
        <v>2596</v>
      </c>
      <c r="F186" s="3128" t="s">
        <v>2597</v>
      </c>
      <c r="G186" s="3128" t="s">
        <v>2598</v>
      </c>
      <c r="H186" s="3129" t="s">
        <v>2599</v>
      </c>
      <c r="I186" s="3129" t="s">
        <v>2600</v>
      </c>
      <c r="J186" s="3130" t="s">
        <v>2601</v>
      </c>
      <c r="K186" s="3130" t="s">
        <v>2602</v>
      </c>
      <c r="L186" s="3130" t="s">
        <v>2603</v>
      </c>
      <c r="M186" s="3131" t="s">
        <v>2604</v>
      </c>
      <c r="Q186" s="3141" t="s">
        <v>2802</v>
      </c>
      <c r="R186" s="3141" t="s">
        <v>2803</v>
      </c>
      <c r="S186" s="3141" t="s">
        <v>2804</v>
      </c>
      <c r="T186" s="3141" t="s">
        <v>2805</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2800</v>
      </c>
      <c r="B277" s="3126"/>
      <c r="C277" s="3126"/>
      <c r="D277" s="3126"/>
      <c r="E277" s="3126"/>
      <c r="F277" s="3126"/>
      <c r="G277" s="3126"/>
      <c r="H277" s="3126"/>
      <c r="I277" s="3126"/>
      <c r="J277" s="3126"/>
      <c r="K277" s="3126"/>
      <c r="L277" s="3126"/>
      <c r="M277" s="3126"/>
    </row>
    <row r="278" spans="1:21">
      <c r="A278" s="3127" t="s">
        <v>2797</v>
      </c>
      <c r="B278" s="3128" t="s">
        <v>2593</v>
      </c>
      <c r="C278" s="3128" t="s">
        <v>2594</v>
      </c>
      <c r="D278" s="3128" t="s">
        <v>2595</v>
      </c>
      <c r="E278" s="3128" t="s">
        <v>2596</v>
      </c>
      <c r="F278" s="3128" t="s">
        <v>2597</v>
      </c>
      <c r="G278" s="3128" t="s">
        <v>2598</v>
      </c>
      <c r="H278" s="3129" t="s">
        <v>2599</v>
      </c>
      <c r="I278" s="3129" t="s">
        <v>2600</v>
      </c>
      <c r="J278" s="3130" t="s">
        <v>2601</v>
      </c>
      <c r="K278" s="3130" t="s">
        <v>2602</v>
      </c>
      <c r="L278" s="3130" t="s">
        <v>2603</v>
      </c>
      <c r="M278" s="3131" t="s">
        <v>2604</v>
      </c>
      <c r="Q278" s="3141" t="s">
        <v>2802</v>
      </c>
      <c r="R278" s="3141" t="s">
        <v>2803</v>
      </c>
      <c r="S278" s="3141" t="s">
        <v>2806</v>
      </c>
      <c r="T278" s="3141" t="s">
        <v>2807</v>
      </c>
      <c r="U278" s="3141" t="s">
        <v>2805</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2801</v>
      </c>
      <c r="B369" s="3139"/>
      <c r="C369" s="3139"/>
      <c r="D369" s="3139"/>
      <c r="E369" s="3139"/>
      <c r="F369" s="3139"/>
      <c r="G369" s="3139"/>
      <c r="H369" s="3139"/>
      <c r="I369" s="3139"/>
      <c r="J369" s="3139"/>
      <c r="K369" s="3139"/>
      <c r="L369" s="3139"/>
      <c r="M369" s="3139"/>
    </row>
    <row r="370" spans="1:20">
      <c r="A370" s="3127" t="s">
        <v>2797</v>
      </c>
      <c r="B370" s="3128" t="s">
        <v>2593</v>
      </c>
      <c r="C370" s="3128" t="s">
        <v>2594</v>
      </c>
      <c r="D370" s="3128" t="s">
        <v>2595</v>
      </c>
      <c r="E370" s="3128" t="s">
        <v>2596</v>
      </c>
      <c r="F370" s="3128" t="s">
        <v>2597</v>
      </c>
      <c r="G370" s="3128" t="s">
        <v>2598</v>
      </c>
      <c r="H370" s="3129" t="s">
        <v>2599</v>
      </c>
      <c r="I370" s="3129" t="s">
        <v>2600</v>
      </c>
      <c r="J370" s="3130" t="s">
        <v>2601</v>
      </c>
      <c r="K370" s="3130" t="s">
        <v>2602</v>
      </c>
      <c r="L370" s="3130" t="s">
        <v>2603</v>
      </c>
      <c r="M370" s="3131" t="s">
        <v>2604</v>
      </c>
      <c r="N370" s="750">
        <f>SUMPRODUCT((A371:A460=ROUNDDOWN(基准地价修正!G3,1))*(B370:M370=基准地价修正!G2)*(B371:M460))</f>
        <v>0</v>
      </c>
      <c r="Q370" s="3141" t="s">
        <v>2802</v>
      </c>
      <c r="R370" s="3141" t="s">
        <v>2803</v>
      </c>
      <c r="S370" s="3141" t="s">
        <v>2804</v>
      </c>
      <c r="T370" s="3141" t="s">
        <v>2805</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27537</v>
      </c>
      <c r="C2" s="2" t="s">
        <v>106</v>
      </c>
      <c r="D2" s="199"/>
      <c r="E2" s="199"/>
      <c r="F2" s="199"/>
      <c r="G2" s="199"/>
    </row>
    <row r="3" spans="1:7" s="200" customFormat="1" ht="18" customHeight="1" thickBot="1">
      <c r="A3" s="203" t="s">
        <v>58</v>
      </c>
      <c r="B3" s="204">
        <f ca="1">ROUND(B2*10000/'数据-汇总表'!E3,0)</f>
        <v>32818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20810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810</v>
      </c>
      <c r="D7" s="220"/>
      <c r="E7" s="218"/>
      <c r="F7" s="221">
        <f>'数据-取费表'!B48+'数据-取费表'!B49</f>
        <v>4.0500000000000001E-2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113</v>
      </c>
      <c r="F9" s="221"/>
      <c r="G9" s="226"/>
    </row>
    <row r="10" spans="1:7" s="214" customFormat="1" ht="13.5" customHeight="1">
      <c r="A10" s="779" t="s">
        <v>356</v>
      </c>
      <c r="B10" s="224" t="s">
        <v>67</v>
      </c>
      <c r="C10" s="225">
        <f>ROUND(D10*E10/10000,0)</f>
        <v>73</v>
      </c>
      <c r="D10" s="845">
        <f>'数据-汇总表'!E6</f>
        <v>8390.83</v>
      </c>
      <c r="E10" s="225">
        <f>'数据-取费表'!B28</f>
        <v>87</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168</v>
      </c>
      <c r="D19" s="849">
        <f>'数据-汇总表'!E3</f>
        <v>8390.83</v>
      </c>
      <c r="E19" s="211">
        <f>'数据-取费表'!B31</f>
        <v>200</v>
      </c>
      <c r="F19" s="231"/>
      <c r="G19" s="1" t="s">
        <v>436</v>
      </c>
    </row>
    <row r="20" spans="1:7" s="214" customFormat="1" ht="13.5" customHeight="1">
      <c r="A20" s="777" t="s">
        <v>419</v>
      </c>
      <c r="B20" s="210" t="s">
        <v>77</v>
      </c>
      <c r="C20" s="232">
        <f>ROUND((C5+C19)*F20,0)</f>
        <v>420</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1138</v>
      </c>
      <c r="D22" s="235">
        <f ca="1">C26</f>
        <v>5.0000000000000001E-4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1118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1070</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1070</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25489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1798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1552</v>
      </c>
      <c r="D34" s="217"/>
      <c r="E34" s="220"/>
      <c r="F34" s="257">
        <f>IF('数据-取费表'!B24=0,1,'数据-取费表'!N16)</f>
        <v>1</v>
      </c>
      <c r="G34" s="219" t="s">
        <v>89</v>
      </c>
    </row>
    <row r="35" spans="1:7" ht="13.5" customHeight="1">
      <c r="A35" s="780" t="s">
        <v>351</v>
      </c>
      <c r="B35" s="215" t="s">
        <v>33</v>
      </c>
      <c r="C35" s="220">
        <f>ROUND(C34*F35,0)</f>
        <v>47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168</v>
      </c>
      <c r="D37" s="217">
        <f>'数据-汇总表'!E3</f>
        <v>8390.83</v>
      </c>
      <c r="E37" s="249">
        <f>'数据-取费表'!B35</f>
        <v>200</v>
      </c>
      <c r="F37" s="259"/>
      <c r="G37" s="261" t="s">
        <v>92</v>
      </c>
    </row>
    <row r="38" spans="1:7" ht="13.5" customHeight="1">
      <c r="A38" s="780" t="s">
        <v>354</v>
      </c>
      <c r="B38" s="215" t="s">
        <v>36</v>
      </c>
      <c r="C38" s="220">
        <f>ROUND(C34*F38,0)</f>
        <v>31</v>
      </c>
      <c r="D38" s="220"/>
      <c r="E38" s="220"/>
      <c r="F38" s="259">
        <f>'数据-取费表'!B36</f>
        <v>0.02</v>
      </c>
      <c r="G38" s="219" t="s">
        <v>90</v>
      </c>
    </row>
    <row r="39" spans="1:7" s="214" customFormat="1" ht="13.5" customHeight="1">
      <c r="A39" s="777" t="s">
        <v>338</v>
      </c>
      <c r="B39" s="210" t="s">
        <v>77</v>
      </c>
      <c r="C39" s="232">
        <f>ROUND(C33*F20,0)</f>
        <v>36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49</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48</v>
      </c>
      <c r="D42" s="238"/>
      <c r="E42" s="238"/>
      <c r="F42" s="239"/>
      <c r="G42" s="3650" t="s">
        <v>94</v>
      </c>
    </row>
    <row r="43" spans="1:7" ht="13.5" customHeight="1">
      <c r="A43" s="780" t="s">
        <v>347</v>
      </c>
      <c r="B43" s="215" t="s">
        <v>426</v>
      </c>
      <c r="C43" s="238">
        <f ca="1">ROUND(IF('数据-取费表'!B22&lt;=1,C39*F22*'数据-取费表'!B21/2,C39*(POWER((1+F22),'数据-取费表'!B21/2)-1)),0)</f>
        <v>1</v>
      </c>
      <c r="D43" s="238"/>
      <c r="E43" s="238"/>
      <c r="F43" s="239"/>
      <c r="G43" s="3651"/>
    </row>
    <row r="44" spans="1:7" ht="13.5" customHeight="1">
      <c r="A44" s="780" t="s">
        <v>348</v>
      </c>
      <c r="B44" s="215" t="s">
        <v>428</v>
      </c>
      <c r="C44" s="238">
        <f ca="1">ROUND(IF('数据-取费表'!B22&lt;=1,C40*F22*'数据-取费表'!B21/2,C40*(POWER((1+F22),'数据-取费表'!B21/2)-1)),4)</f>
        <v>5.0000000000000001E-4</v>
      </c>
      <c r="D44" s="238"/>
      <c r="E44" s="238"/>
      <c r="F44" s="239"/>
      <c r="G44" s="3652"/>
    </row>
    <row r="45" spans="1:7" s="214" customFormat="1" ht="13.5" customHeight="1">
      <c r="A45" s="777" t="s">
        <v>341</v>
      </c>
      <c r="B45" s="244" t="s">
        <v>85</v>
      </c>
      <c r="C45" s="245">
        <f>C46</f>
        <v>92</v>
      </c>
      <c r="D45" s="235">
        <f>C47</f>
        <v>1E-3</v>
      </c>
      <c r="E45" s="236" t="s">
        <v>102</v>
      </c>
      <c r="F45" s="246"/>
      <c r="G45" s="247" t="s">
        <v>434</v>
      </c>
    </row>
    <row r="46" spans="1:7" s="214" customFormat="1" ht="13.5" customHeight="1">
      <c r="A46" s="780" t="s">
        <v>349</v>
      </c>
      <c r="B46" s="248" t="s">
        <v>427</v>
      </c>
      <c r="C46" s="249">
        <f>ROUND((C33+C39)*F27,0)</f>
        <v>92</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2133</v>
      </c>
      <c r="D49" s="232"/>
      <c r="E49" s="232"/>
      <c r="F49" s="264"/>
      <c r="G49" s="234" t="s">
        <v>435</v>
      </c>
    </row>
    <row r="50" spans="1:7" s="258" customFormat="1" ht="24">
      <c r="A50" s="777" t="s">
        <v>344</v>
      </c>
      <c r="B50" s="210" t="s">
        <v>97</v>
      </c>
      <c r="C50" s="232"/>
      <c r="D50" s="232"/>
      <c r="E50" s="232"/>
      <c r="F50" s="264">
        <f>IF('数据-取费表'!B24=0,'数据-取费表'!N16,1)</f>
        <v>0.96</v>
      </c>
      <c r="G50" s="247" t="s">
        <v>98</v>
      </c>
    </row>
    <row r="51" spans="1:7" ht="16.5" customHeight="1">
      <c r="A51" s="777" t="s">
        <v>345</v>
      </c>
      <c r="B51" s="210" t="s">
        <v>105</v>
      </c>
      <c r="C51" s="232">
        <f ca="1">ROUND(C49*F50,0)</f>
        <v>2048</v>
      </c>
      <c r="D51" s="232"/>
      <c r="E51" s="232"/>
      <c r="F51" s="264"/>
      <c r="G51" s="234" t="s">
        <v>37</v>
      </c>
    </row>
    <row r="52" spans="1:7" s="208" customFormat="1" ht="16.5" thickBot="1">
      <c r="A52" s="265" t="s">
        <v>38</v>
      </c>
      <c r="B52" s="266"/>
      <c r="C52" s="267">
        <f ca="1">C31+C51</f>
        <v>27537</v>
      </c>
      <c r="D52" s="266"/>
      <c r="E52" s="266"/>
      <c r="F52" s="266"/>
      <c r="G52" s="268"/>
    </row>
    <row r="55" spans="1:7" ht="15">
      <c r="B55" s="270" t="s">
        <v>39</v>
      </c>
      <c r="C55" s="271"/>
    </row>
    <row r="56" spans="1:7">
      <c r="B56" s="273" t="s">
        <v>40</v>
      </c>
      <c r="C56" s="274">
        <f ca="1">ROUND(C51/C52,3)</f>
        <v>7.3999999999999996E-2</v>
      </c>
    </row>
    <row r="57" spans="1:7">
      <c r="B57" s="273" t="s">
        <v>41</v>
      </c>
      <c r="C57" s="275">
        <f ca="1">1-C56</f>
        <v>0.92600000000000005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906</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3"/>
      <c r="B4" s="3471" t="s">
        <v>915</v>
      </c>
      <c r="C4" s="3471"/>
      <c r="D4" s="3471"/>
      <c r="E4" s="1493"/>
    </row>
    <row r="5" spans="1:5" ht="16.5" thickTop="1">
      <c r="A5" s="1491"/>
      <c r="B5" s="3469" t="s">
        <v>907</v>
      </c>
      <c r="C5" s="1494" t="s">
        <v>908</v>
      </c>
      <c r="D5" s="850">
        <f ca="1">结果表!H101</f>
        <v>2691</v>
      </c>
      <c r="E5" s="1491"/>
    </row>
    <row r="6" spans="1:5" ht="15.75">
      <c r="A6" s="1491"/>
      <c r="B6" s="3469"/>
      <c r="C6" s="1494" t="s">
        <v>909</v>
      </c>
      <c r="D6" s="850" t="str">
        <f ca="1">NUMBERSTRING(INT(D5*10000),2)&amp;"元整"</f>
        <v>贰仟陆佰玖拾壹万元整</v>
      </c>
      <c r="E6" s="1491"/>
    </row>
    <row r="7" spans="1:5" ht="15.75">
      <c r="A7" s="1491"/>
      <c r="B7" s="3474"/>
      <c r="C7" s="1495" t="s">
        <v>910</v>
      </c>
      <c r="D7" s="851">
        <f ca="1">结果表!H102</f>
        <v>3207</v>
      </c>
      <c r="E7" s="1491"/>
    </row>
    <row r="8" spans="1:5" ht="15.75">
      <c r="A8" s="1491"/>
      <c r="B8" s="3475" t="str">
        <f>结果表!E103</f>
        <v>2.估价师知悉的法定优先受偿款</v>
      </c>
      <c r="C8" s="1496" t="s">
        <v>911</v>
      </c>
      <c r="D8" s="851">
        <f>结果表!H103</f>
        <v>0</v>
      </c>
      <c r="E8" s="1491"/>
    </row>
    <row r="9" spans="1:5" ht="15.75">
      <c r="A9" s="1491"/>
      <c r="B9" s="3477"/>
      <c r="C9" s="1494" t="s">
        <v>909</v>
      </c>
      <c r="D9" s="850" t="str">
        <f>NUMBERSTRING(INT(D8*10000),2)&amp;"元整"</f>
        <v>零元整</v>
      </c>
      <c r="E9" s="1491"/>
    </row>
    <row r="10" spans="1:5" ht="15">
      <c r="A10" s="1491"/>
      <c r="B10" s="1497" t="s">
        <v>914</v>
      </c>
      <c r="C10" s="1498" t="s">
        <v>912</v>
      </c>
      <c r="D10" s="852">
        <f>结果表!H104</f>
        <v>0</v>
      </c>
      <c r="E10" s="1491"/>
    </row>
    <row r="11" spans="1:5" ht="15">
      <c r="A11" s="1491"/>
      <c r="B11" s="1497" t="s">
        <v>916</v>
      </c>
      <c r="C11" s="1498" t="s">
        <v>917</v>
      </c>
      <c r="D11" s="852">
        <f>结果表!H105</f>
        <v>0</v>
      </c>
      <c r="E11" s="1491"/>
    </row>
    <row r="12" spans="1:5" ht="15">
      <c r="A12" s="1491"/>
      <c r="B12" s="1497" t="s">
        <v>918</v>
      </c>
      <c r="C12" s="1498" t="s">
        <v>917</v>
      </c>
      <c r="D12" s="852">
        <f>结果表!H106</f>
        <v>0</v>
      </c>
      <c r="E12" s="1491"/>
    </row>
    <row r="13" spans="1:5" ht="15.75">
      <c r="A13" s="1491"/>
      <c r="B13" s="3468" t="str">
        <f>结果表!E107</f>
        <v>3.房地产抵押价值</v>
      </c>
      <c r="C13" s="1499" t="s">
        <v>908</v>
      </c>
      <c r="D13" s="853">
        <f ca="1">结果表!H107</f>
        <v>2691</v>
      </c>
      <c r="E13" s="1491"/>
    </row>
    <row r="14" spans="1:5" ht="15.75">
      <c r="A14" s="1491"/>
      <c r="B14" s="3469"/>
      <c r="C14" s="1494" t="s">
        <v>909</v>
      </c>
      <c r="D14" s="850" t="str">
        <f ca="1">NUMBERSTRING(INT(D13*10000),2)&amp;"元整"</f>
        <v>贰仟陆佰玖拾壹万元整</v>
      </c>
      <c r="E14" s="1491"/>
    </row>
    <row r="15" spans="1:5" ht="15">
      <c r="A15" s="1491"/>
      <c r="B15" s="3474"/>
      <c r="C15" s="1495" t="s">
        <v>919</v>
      </c>
      <c r="D15" s="859">
        <f ca="1">结果表!H108</f>
        <v>3207</v>
      </c>
      <c r="E15" s="1491"/>
    </row>
    <row r="16" spans="1:5" ht="15">
      <c r="A16" s="1491"/>
      <c r="B16" s="3475" t="str">
        <f>结果表!E109</f>
        <v>——</v>
      </c>
      <c r="C16" s="1499" t="s">
        <v>920</v>
      </c>
      <c r="D16" s="1500" t="str">
        <f>结果表!H109</f>
        <v>——</v>
      </c>
      <c r="E16" s="1491"/>
    </row>
    <row r="17" spans="1:5" ht="15.75">
      <c r="A17" s="1491"/>
      <c r="B17" s="3476"/>
      <c r="C17" s="1494" t="s">
        <v>921</v>
      </c>
      <c r="D17" s="850" t="e">
        <f>NUMBERSTRING(INT(D16*10000),2)&amp;"元整"</f>
        <v>#VALUE!</v>
      </c>
      <c r="E17" s="1491"/>
    </row>
    <row r="18" spans="1:5" ht="15">
      <c r="A18" s="1491"/>
      <c r="B18" s="3477"/>
      <c r="C18" s="1495" t="s">
        <v>910</v>
      </c>
      <c r="D18" s="859" t="str">
        <f>结果表!H110</f>
        <v>——</v>
      </c>
      <c r="E18" s="1491"/>
    </row>
    <row r="19" spans="1:5" ht="15.75">
      <c r="A19" s="1491"/>
      <c r="B19" s="3468" t="str">
        <f>结果表!E111</f>
        <v>——</v>
      </c>
      <c r="C19" s="1499" t="s">
        <v>908</v>
      </c>
      <c r="D19" s="851" t="str">
        <f>结果表!H111</f>
        <v>——</v>
      </c>
      <c r="E19" s="1491"/>
    </row>
    <row r="20" spans="1:5" ht="15.75">
      <c r="A20" s="1491"/>
      <c r="B20" s="3469"/>
      <c r="C20" s="1494" t="s">
        <v>921</v>
      </c>
      <c r="D20" s="850" t="e">
        <f>NUMBERSTRING(INT(D19*10000),2)&amp;"元整"</f>
        <v>#VALUE!</v>
      </c>
      <c r="E20" s="1491"/>
    </row>
    <row r="21" spans="1:5" ht="15.75" thickBot="1">
      <c r="A21" s="1491"/>
      <c r="B21" s="3470"/>
      <c r="C21" s="1501" t="s">
        <v>919</v>
      </c>
      <c r="D21" s="860" t="str">
        <f>结果表!H112</f>
        <v>——</v>
      </c>
      <c r="E21" s="1491"/>
    </row>
    <row r="22" spans="1:5" ht="15" thickTop="1">
      <c r="A22" s="1491"/>
      <c r="B22" s="1502" t="s">
        <v>922</v>
      </c>
      <c r="C22" s="1491"/>
      <c r="D22" s="1491"/>
      <c r="E22" s="1491"/>
    </row>
    <row r="23" spans="1:5">
      <c r="A23" s="1491"/>
      <c r="B23" s="1491"/>
      <c r="C23" s="1491"/>
      <c r="D23" s="1491"/>
      <c r="E23" s="1491"/>
    </row>
    <row r="24" spans="1:5" ht="18.75">
      <c r="A24" s="1503"/>
      <c r="B24" s="1504" t="s">
        <v>913</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8" t="s">
        <v>2839</v>
      </c>
      <c r="B1" s="3788"/>
      <c r="C1" s="3788"/>
      <c r="D1" s="3788"/>
      <c r="E1" s="3788"/>
      <c r="F1" s="3788"/>
      <c r="G1" s="3789"/>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786" t="s">
        <v>2866</v>
      </c>
      <c r="B3" s="3229"/>
      <c r="C3" s="3230" t="s">
        <v>2809</v>
      </c>
      <c r="D3" s="3230" t="s">
        <v>2867</v>
      </c>
      <c r="E3" s="3230" t="s">
        <v>2811</v>
      </c>
      <c r="F3" s="3230" t="s">
        <v>2868</v>
      </c>
      <c r="G3" s="3230" t="s">
        <v>2629</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787"/>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0" t="s">
        <v>3181</v>
      </c>
      <c r="B1" s="3790"/>
    </row>
    <row r="2" spans="1:7" ht="14.25" thickBot="1">
      <c r="A2" s="3254"/>
      <c r="B2" s="3254"/>
    </row>
    <row r="3" spans="1:7" ht="14.25" thickBot="1">
      <c r="A3" s="3254"/>
      <c r="B3" s="3254"/>
      <c r="C3" s="3255" t="s">
        <v>2809</v>
      </c>
      <c r="D3" s="3255" t="s">
        <v>2867</v>
      </c>
      <c r="E3" s="3255" t="s">
        <v>2811</v>
      </c>
      <c r="F3" s="3255" t="s">
        <v>2868</v>
      </c>
      <c r="G3" s="3255" t="s">
        <v>2629</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1" t="s">
        <v>3232</v>
      </c>
      <c r="B1" s="3791"/>
      <c r="C1" s="3791"/>
      <c r="D1" s="3791"/>
      <c r="E1" s="3791"/>
      <c r="F1" s="3792"/>
    </row>
    <row r="2" spans="1:6">
      <c r="A2" s="3290" t="s">
        <v>3233</v>
      </c>
      <c r="B2" s="3291"/>
      <c r="C2" s="3291"/>
      <c r="D2" s="3291"/>
      <c r="E2" s="3291"/>
      <c r="F2" s="3291"/>
    </row>
    <row r="3" spans="1:6">
      <c r="A3" s="3290" t="s">
        <v>3234</v>
      </c>
      <c r="B3" s="3291"/>
      <c r="C3" s="3291"/>
      <c r="D3" s="3291"/>
      <c r="E3" s="3291"/>
      <c r="F3" s="3292" t="s">
        <v>3235</v>
      </c>
    </row>
    <row r="4" spans="1:6">
      <c r="A4" s="3293" t="s">
        <v>670</v>
      </c>
      <c r="B4" s="3293" t="s">
        <v>671</v>
      </c>
      <c r="C4" s="3293" t="s">
        <v>21</v>
      </c>
      <c r="D4" s="3293" t="s">
        <v>672</v>
      </c>
      <c r="E4" s="3293" t="s">
        <v>3</v>
      </c>
      <c r="F4" s="3293" t="s">
        <v>3236</v>
      </c>
    </row>
    <row r="5" spans="1:6">
      <c r="A5" s="3294" t="s">
        <v>673</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45131</v>
      </c>
      <c r="B1" s="3209" t="s">
        <v>2838</v>
      </c>
      <c r="C1" s="3210"/>
      <c r="D1" s="3210"/>
      <c r="E1" s="3210"/>
      <c r="F1" s="3210"/>
      <c r="G1" s="3210"/>
      <c r="H1" s="3210"/>
      <c r="I1" s="3210"/>
      <c r="J1" s="3164"/>
      <c r="K1" s="3210" t="s">
        <v>454</v>
      </c>
      <c r="L1" s="3210"/>
      <c r="M1" s="3210"/>
      <c r="N1" s="3210"/>
      <c r="O1" s="3210"/>
      <c r="P1" s="3210"/>
      <c r="Q1" s="3164"/>
      <c r="R1" s="3793" t="s">
        <v>456</v>
      </c>
      <c r="S1" s="3794"/>
      <c r="T1" s="3794"/>
      <c r="U1" s="3794"/>
      <c r="V1" s="3794"/>
      <c r="W1" s="3794"/>
      <c r="X1" s="3164"/>
      <c r="Y1" s="3793" t="s">
        <v>457</v>
      </c>
      <c r="Z1" s="3794"/>
      <c r="AA1" s="3794"/>
      <c r="AB1" s="3794"/>
      <c r="AC1" s="3794"/>
      <c r="AD1" s="3794"/>
    </row>
    <row r="2" spans="1:30" s="3142" customFormat="1" ht="14.25" thickBot="1">
      <c r="B2" s="3143"/>
      <c r="C2" s="3144"/>
      <c r="D2" s="3145" t="s">
        <v>2808</v>
      </c>
      <c r="E2" s="3146" t="s">
        <v>2809</v>
      </c>
      <c r="F2" s="3146" t="s">
        <v>2810</v>
      </c>
      <c r="G2" s="3146" t="s">
        <v>2811</v>
      </c>
      <c r="H2" s="3146" t="s">
        <v>2812</v>
      </c>
      <c r="I2" s="3146" t="s">
        <v>2629</v>
      </c>
      <c r="J2" s="3147"/>
      <c r="K2" s="3145" t="s">
        <v>2808</v>
      </c>
      <c r="L2" s="3146" t="s">
        <v>2809</v>
      </c>
      <c r="M2" s="3146" t="s">
        <v>2810</v>
      </c>
      <c r="N2" s="3146" t="s">
        <v>2811</v>
      </c>
      <c r="O2" s="3146" t="s">
        <v>2813</v>
      </c>
      <c r="P2" s="3146" t="s">
        <v>2629</v>
      </c>
      <c r="Q2" s="3147"/>
      <c r="R2" s="3145" t="s">
        <v>2808</v>
      </c>
      <c r="S2" s="3146" t="s">
        <v>2809</v>
      </c>
      <c r="T2" s="3146" t="s">
        <v>2810</v>
      </c>
      <c r="U2" s="3146" t="s">
        <v>2814</v>
      </c>
      <c r="V2" s="3146" t="s">
        <v>2815</v>
      </c>
      <c r="W2" s="3146" t="s">
        <v>2629</v>
      </c>
      <c r="X2" s="3147"/>
      <c r="Y2" s="3145" t="s">
        <v>2808</v>
      </c>
      <c r="Z2" s="3146" t="s">
        <v>2809</v>
      </c>
      <c r="AA2" s="3146" t="s">
        <v>2810</v>
      </c>
      <c r="AB2" s="3146" t="s">
        <v>2816</v>
      </c>
      <c r="AC2" s="3146" t="s">
        <v>2815</v>
      </c>
      <c r="AD2" s="3146" t="s">
        <v>2629</v>
      </c>
    </row>
    <row r="3" spans="1:30" s="3160" customFormat="1" ht="12.75">
      <c r="A3" s="3148" t="s">
        <v>2817</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3368</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3369</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3373</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3372</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3370</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ROUND(IF([6]项目基本情况!B8="出让",SUMPRODUCT(PRODUCT(1+K9:K16)),SUMPRODUCT(PRODUCT(1+K9:K15))),4)</f>
        <v>1.0565</v>
      </c>
      <c r="S9" s="3182">
        <f>ROUND(IF([6]项目基本情况!B8="出让",SUMPRODUCT(PRODUCT(1+L9:L16)),SUMPRODUCT(PRODUCT(1+L9:L15))),4)</f>
        <v>1.0250999999999999</v>
      </c>
      <c r="T9" s="3182">
        <f>ROUND(IF([6]项目基本情况!B8="出让",SUMPRODUCT(PRODUCT(1+M9:M16)),SUMPRODUCT(PRODUCT(1+M9:M15))),4)</f>
        <v>1.0145</v>
      </c>
      <c r="U9" s="3182">
        <f>ROUND(IF([6]项目基本情况!B8="出让",SUMPRODUCT(PRODUCT(1+N9:N16)),SUMPRODUCT(PRODUCT(1+N9:N15))),4)</f>
        <v>1.0618000000000001</v>
      </c>
      <c r="V9" s="3182">
        <f>ROUND(IF([6]项目基本情况!B8="出让",SUMPRODUCT(PRODUCT(1+O9:O16)),SUMPRODUCT(PRODUCT(1+O9:O15))),4)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3364</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ROUND(IF([6]项目基本情况!B8="出让",SUMPRODUCT(PRODUCT(1+K10:K16)),SUMPRODUCT(PRODUCT(1+K10:K15))),4)</f>
        <v>1.05</v>
      </c>
      <c r="S10" s="3182">
        <f>ROUND(IF([6]项目基本情况!B8="出让",SUMPRODUCT(PRODUCT(1+L10:L16)),SUMPRODUCT(PRODUCT(1+L10:L15))),4)</f>
        <v>1.0229999999999999</v>
      </c>
      <c r="T10" s="3182">
        <f>ROUND(IF([6]项目基本情况!B8="出让",SUMPRODUCT(PRODUCT(1+M10:M16)),SUMPRODUCT(PRODUCT(1+M10:M15))),4)</f>
        <v>1.0134000000000001</v>
      </c>
      <c r="U10" s="3182">
        <f>ROUND(IF([6]项目基本情况!B8="出让",SUMPRODUCT(PRODUCT(1+N10:N16)),SUMPRODUCT(PRODUCT(1+N10:N15))),4)</f>
        <v>1.0545</v>
      </c>
      <c r="V10" s="3182">
        <f>ROUND(IF([6]项目基本情况!B8="出让",SUMPRODUCT(PRODUCT(1+O10:O16)),SUMPRODUCT(PRODUCT(1+O10:O15))),4)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3355</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ROUND(IF([6]项目基本情况!B8="出让",SUMPRODUCT(PRODUCT(1+K11:K16)),SUMPRODUCT(PRODUCT(1+K11:K15))),4)</f>
        <v>1.0430999999999999</v>
      </c>
      <c r="S11" s="3182">
        <f>ROUND(IF([6]项目基本情况!B8="出让",SUMPRODUCT(PRODUCT(1+L11:L16)),SUMPRODUCT(PRODUCT(1+L11:L15))),4)</f>
        <v>1.0197000000000001</v>
      </c>
      <c r="T11" s="3182">
        <f>ROUND(IF([6]项目基本情况!B8="出让",SUMPRODUCT(PRODUCT(1+M11:M16)),SUMPRODUCT(PRODUCT(1+M11:M15))),4)</f>
        <v>1.0109999999999999</v>
      </c>
      <c r="U11" s="3182">
        <f>ROUND(IF([6]项目基本情况!B8="出让",SUMPRODUCT(PRODUCT(1+N11:N16)),SUMPRODUCT(PRODUCT(1+N11:N15))),4)</f>
        <v>1.0468999999999999</v>
      </c>
      <c r="V11" s="3182">
        <f>ROUND(IF([6]项目基本情况!B8="出让",SUMPRODUCT(PRODUCT(1+O11:O16)),SUMPRODUCT(PRODUCT(1+O11:O15))),4)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2818</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ROUND(IF([6]项目基本情况!B8="出让",SUMPRODUCT(PRODUCT(1+K12:K16)),SUMPRODUCT(PRODUCT(1+K12:K15))),4)</f>
        <v>1.0335000000000001</v>
      </c>
      <c r="S12" s="3182">
        <f>ROUND(IF([6]项目基本情况!B8="出让",SUMPRODUCT(PRODUCT(1+L12:L16)),SUMPRODUCT(PRODUCT(1+L12:L15))),4)</f>
        <v>1.0182</v>
      </c>
      <c r="T12" s="3182">
        <f>ROUND(IF([6]项目基本情况!B8="出让",SUMPRODUCT(PRODUCT(1+M12:M16)),SUMPRODUCT(PRODUCT(1+M12:M15))),4)</f>
        <v>1.0108999999999999</v>
      </c>
      <c r="U12" s="3182">
        <f>ROUND(IF([6]项目基本情况!B8="出让",SUMPRODUCT(PRODUCT(1+N12:N16)),SUMPRODUCT(PRODUCT(1+N12:N15))),4)</f>
        <v>1.0361</v>
      </c>
      <c r="V12" s="3182">
        <f>ROUND(IF([6]项目基本情况!B8="出让",SUMPRODUCT(PRODUCT(1+O12:O16)),SUMPRODUCT(PRODUCT(1+O12:O15))),4)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2819</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ROUND(IF([6]项目基本情况!B8="出让",SUMPRODUCT(PRODUCT(1+K13:K16)),SUMPRODUCT(PRODUCT(1+K13:K15))),4)</f>
        <v>1.0244</v>
      </c>
      <c r="S13" s="3182">
        <f>ROUND(IF([6]项目基本情况!B8="出让",SUMPRODUCT(PRODUCT(1+L13:L16)),SUMPRODUCT(PRODUCT(1+L13:L15))),4)</f>
        <v>1.0138</v>
      </c>
      <c r="T13" s="3182">
        <f>ROUND(IF([6]项目基本情况!B8="出让",SUMPRODUCT(PRODUCT(1+M13:M16)),SUMPRODUCT(PRODUCT(1+M13:M15))),4)</f>
        <v>1.0072000000000001</v>
      </c>
      <c r="U13" s="3182">
        <f>ROUND(IF([6]项目基本情况!B8="出让",SUMPRODUCT(PRODUCT(1+N13:N16)),SUMPRODUCT(PRODUCT(1+N13:N15))),4)</f>
        <v>1.0262</v>
      </c>
      <c r="V13" s="3182">
        <f>ROUND(IF([6]项目基本情况!B8="出让",SUMPRODUCT(PRODUCT(1+O13:O16)),SUMPRODUCT(PRODUCT(1+O13:O15))),4)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2820</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ROUND(IF([6]项目基本情况!B8="出让",SUMPRODUCT(PRODUCT(1+K14:K16)),SUMPRODUCT(PRODUCT(1+K14:K15))),4)</f>
        <v>1.0139</v>
      </c>
      <c r="S14" s="3182">
        <f>ROUND(IF([6]项目基本情况!B8="出让",SUMPRODUCT(PRODUCT(1+L14:L16)),SUMPRODUCT(PRODUCT(1+L14:L15))),4)</f>
        <v>1.0113000000000001</v>
      </c>
      <c r="T14" s="3182">
        <f>ROUND(IF([6]项目基本情况!B8="出让",SUMPRODUCT(PRODUCT(1+M14:M16)),SUMPRODUCT(PRODUCT(1+M14:M15))),4)</f>
        <v>1.0065</v>
      </c>
      <c r="U14" s="3182">
        <f>ROUND(IF([6]项目基本情况!B8="出让",SUMPRODUCT(PRODUCT(1+N14:N16)),SUMPRODUCT(PRODUCT(1+N14:N15))),4)</f>
        <v>1.0143</v>
      </c>
      <c r="V14" s="3182">
        <f>ROUND(IF([6]项目基本情况!B8="出让",SUMPRODUCT(PRODUCT(1+O14:O16)),SUMPRODUCT(PRODUCT(1+O14:O15))),4)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2821</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ROUND(IF([6]项目基本情况!B8="出让",SUMPRODUCT(PRODUCT(1+K15:K16)),SUMPRODUCT(PRODUCT(1+K15:K15))),4)</f>
        <v>1.0092000000000001</v>
      </c>
      <c r="S15" s="3182">
        <f>ROUND(IF([6]项目基本情况!B8="出让",SUMPRODUCT(PRODUCT(1+L15:L16)),SUMPRODUCT(PRODUCT(1+L15:L15))),4)</f>
        <v>1.0072000000000001</v>
      </c>
      <c r="T15" s="3182">
        <f>ROUND(IF([6]项目基本情况!B8="出让",SUMPRODUCT(PRODUCT(1+M15:M16)),SUMPRODUCT(PRODUCT(1+M15:M15))),4)</f>
        <v>1.0041</v>
      </c>
      <c r="U15" s="3182">
        <f>ROUND(IF([6]项目基本情况!B8="出让",SUMPRODUCT(PRODUCT(1+N15:N16)),SUMPRODUCT(PRODUCT(1+N15:N15))),4)</f>
        <v>1.0095000000000001</v>
      </c>
      <c r="V15" s="3182">
        <f>ROUND(IF([6]项目基本情况!B8="出让",SUMPRODUCT(PRODUCT(1+O15:O16)),SUMPRODUCT(PRODUCT(1+O15:O15))),4)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2822</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3366</v>
      </c>
    </row>
    <row r="19" spans="1:30" s="3008" customFormat="1">
      <c r="I19" s="3207" t="s">
        <v>2823</v>
      </c>
    </row>
    <row r="20" spans="1:30" s="3008" customFormat="1"/>
    <row r="21" spans="1:30" s="3208" customFormat="1" ht="12.75">
      <c r="B21" s="3209" t="s">
        <v>2824</v>
      </c>
      <c r="C21" s="3210"/>
      <c r="D21" s="3210"/>
      <c r="E21" s="3210"/>
      <c r="F21" s="3210"/>
      <c r="G21" s="3210"/>
      <c r="H21" s="3210"/>
      <c r="I21" s="3210"/>
      <c r="J21" s="3164"/>
      <c r="K21" s="3210" t="s">
        <v>2825</v>
      </c>
      <c r="L21" s="3210"/>
      <c r="M21" s="3210"/>
      <c r="N21" s="3210"/>
      <c r="O21" s="3210"/>
      <c r="P21" s="3210"/>
      <c r="Q21" s="3164"/>
      <c r="R21" s="3793" t="s">
        <v>2826</v>
      </c>
      <c r="S21" s="3794"/>
      <c r="T21" s="3794"/>
      <c r="U21" s="3794"/>
      <c r="V21" s="3794"/>
      <c r="W21" s="3794"/>
      <c r="X21" s="3164"/>
      <c r="Y21" s="3793" t="s">
        <v>2827</v>
      </c>
      <c r="Z21" s="3794"/>
      <c r="AA21" s="3794"/>
      <c r="AB21" s="3794"/>
      <c r="AC21" s="3794"/>
      <c r="AD21" s="3794"/>
    </row>
    <row r="22" spans="1:30" s="3142" customFormat="1" ht="14.25" thickBot="1">
      <c r="B22" s="3143"/>
      <c r="C22" s="3144"/>
      <c r="D22" s="3145" t="s">
        <v>2828</v>
      </c>
      <c r="E22" s="3146" t="s">
        <v>2829</v>
      </c>
      <c r="F22" s="3146" t="s">
        <v>2830</v>
      </c>
      <c r="G22" s="3146" t="s">
        <v>2831</v>
      </c>
      <c r="H22" s="3146"/>
      <c r="I22" s="3146" t="s">
        <v>2832</v>
      </c>
      <c r="J22" s="3147"/>
      <c r="K22" s="3145" t="s">
        <v>2828</v>
      </c>
      <c r="L22" s="3146" t="s">
        <v>2829</v>
      </c>
      <c r="M22" s="3146" t="s">
        <v>2830</v>
      </c>
      <c r="N22" s="3146" t="s">
        <v>2831</v>
      </c>
      <c r="O22" s="3146"/>
      <c r="P22" s="3146" t="s">
        <v>2832</v>
      </c>
      <c r="Q22" s="3147"/>
      <c r="R22" s="3145" t="s">
        <v>2828</v>
      </c>
      <c r="S22" s="3146" t="s">
        <v>2829</v>
      </c>
      <c r="T22" s="3146" t="s">
        <v>2830</v>
      </c>
      <c r="U22" s="3146" t="s">
        <v>2831</v>
      </c>
      <c r="V22" s="3146"/>
      <c r="W22" s="3146" t="s">
        <v>2832</v>
      </c>
      <c r="X22" s="3147"/>
      <c r="Y22" s="3145" t="s">
        <v>2828</v>
      </c>
      <c r="Z22" s="3146" t="s">
        <v>2829</v>
      </c>
      <c r="AA22" s="3146" t="s">
        <v>2830</v>
      </c>
      <c r="AB22" s="3146" t="s">
        <v>2831</v>
      </c>
      <c r="AC22" s="3146"/>
      <c r="AD22" s="3146" t="s">
        <v>2832</v>
      </c>
    </row>
    <row r="23" spans="1:30" s="3160" customFormat="1" ht="12.75">
      <c r="A23" s="3148" t="s">
        <v>2833</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3368</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ROUND(IF([6]项目基本情况!$B$8="出让",SUMPRODUCT(PRODUCT(1+L25:L$36)),SUMPRODUCT(PRODUCT(1+L25:L$35))),4)</f>
        <v>1.0396000000000001</v>
      </c>
      <c r="T25" s="3182">
        <f>ROUND(IF([6]项目基本情况!$B$8="出让",SUMPRODUCT(PRODUCT(1+M25:M$36)),SUMPRODUCT(PRODUCT(1+M25:M$35))),4)</f>
        <v>1.0269999999999999</v>
      </c>
      <c r="U25" s="3182">
        <f>ROUND(IF([6]项目基本情况!$B$8="出让",SUMPRODUCT(PRODUCT(1+N25:N$36)),SUMPRODUCT(PRODUCT(1+N25:N$35))),4)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3369</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ROUND(IF([6]项目基本情况!$B$8="出让",SUMPRODUCT(PRODUCT(1+L26:L$36)),SUMPRODUCT(PRODUCT(1+L26:L$35))),4)</f>
        <v>1.0396000000000001</v>
      </c>
      <c r="T26" s="3182">
        <f>ROUND(IF([6]项目基本情况!$B$8="出让",SUMPRODUCT(PRODUCT(1+M26:M$36)),SUMPRODUCT(PRODUCT(1+M26:M$35))),4)</f>
        <v>1.0269999999999999</v>
      </c>
      <c r="U26" s="3182">
        <f>ROUND(IF([6]项目基本情况!$B$8="出让",SUMPRODUCT(PRODUCT(1+N26:N$36)),SUMPRODUCT(PRODUCT(1+N26:N$35))),4)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3371</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ROUND(IF([6]项目基本情况!$B$8="出让",SUMPRODUCT(PRODUCT(1+L27:L$36)),SUMPRODUCT(PRODUCT(1+L27:L$35))),4)</f>
        <v>1.0396000000000001</v>
      </c>
      <c r="T27" s="3191">
        <f>ROUND(IF([6]项目基本情况!$B$8="出让",SUMPRODUCT(PRODUCT(1+M27:M$36)),SUMPRODUCT(PRODUCT(1+M27:M$35))),4)</f>
        <v>1.0269999999999999</v>
      </c>
      <c r="U27" s="3191">
        <f>ROUND(IF([6]项目基本情况!$B$8="出让",SUMPRODUCT(PRODUCT(1+N27:N$36)),SUMPRODUCT(PRODUCT(1+N27:N$35))),4)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3372</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ROUND(IF([6]项目基本情况!$B$8="出让",SUMPRODUCT(PRODUCT(1+L28:L$36)),SUMPRODUCT(PRODUCT(1+L28:L$35))),4)</f>
        <v>1.0344</v>
      </c>
      <c r="T28" s="3182">
        <f>ROUND(IF([6]项目基本情况!$B$8="出让",SUMPRODUCT(PRODUCT(1+M28:M$36)),SUMPRODUCT(PRODUCT(1+M28:M$35))),4)</f>
        <v>1.0224</v>
      </c>
      <c r="U28" s="3182">
        <f>ROUND(IF([6]项目基本情况!$B$8="出让",SUMPRODUCT(PRODUCT(1+N28:N$36)),SUMPRODUCT(PRODUCT(1+N28:N$35))),4)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3370</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ROUND(IF([6]项目基本情况!$B$8="出让",SUMPRODUCT(PRODUCT(1+L29:L$36)),SUMPRODUCT(PRODUCT(1+L29:L$35))),4)</f>
        <v>1.0286999999999999</v>
      </c>
      <c r="T29" s="3182">
        <f>ROUND(IF([6]项目基本情况!$B$8="出让",SUMPRODUCT(PRODUCT(1+M29:M$36)),SUMPRODUCT(PRODUCT(1+M29:M$35))),4)</f>
        <v>1.0164</v>
      </c>
      <c r="U29" s="3182">
        <f>ROUND(IF([6]项目基本情况!$B$8="出让",SUMPRODUCT(PRODUCT(1+N29:N$36)),SUMPRODUCT(PRODUCT(1+N29:N$35))),4)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3365</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ROUND(IF([6]项目基本情况!$B$8="出让",SUMPRODUCT(PRODUCT(1+L30:L$36)),SUMPRODUCT(PRODUCT(1+L30:L$35))),4)</f>
        <v>1.0241</v>
      </c>
      <c r="T30" s="3182">
        <f>ROUND(IF([6]项目基本情况!$B$8="出让",SUMPRODUCT(PRODUCT(1+M30:M$36)),SUMPRODUCT(PRODUCT(1+M30:M$35))),4)</f>
        <v>1.0144</v>
      </c>
      <c r="U30" s="3182">
        <f>ROUND(IF([6]项目基本情况!$B$8="出让",SUMPRODUCT(PRODUCT(1+N30:N$36)),SUMPRODUCT(PRODUCT(1+N30:N$35))),4)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3355</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ROUND(IF([6]项目基本情况!$B$8="出让",SUMPRODUCT(PRODUCT(1+L31:L$36)),SUMPRODUCT(PRODUCT(1+L31:L$35))),4)</f>
        <v>1.0210999999999999</v>
      </c>
      <c r="T31" s="3182">
        <f>ROUND(IF([6]项目基本情况!$B$8="出让",SUMPRODUCT(PRODUCT(1+M31:M$36)),SUMPRODUCT(PRODUCT(1+M31:M$35))),4)</f>
        <v>1.0114000000000001</v>
      </c>
      <c r="U31" s="3182">
        <f>ROUND(IF([6]项目基本情况!$B$8="出让",SUMPRODUCT(PRODUCT(1+N31:N$36)),SUMPRODUCT(PRODUCT(1+N31:N$35))),4)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2834</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ROUND(IF([6]项目基本情况!$B$8="出让",SUMPRODUCT(PRODUCT(1+L32:L$36)),SUMPRODUCT(PRODUCT(1+L32:L$35))),4)</f>
        <v>1.0222</v>
      </c>
      <c r="T32" s="3182">
        <f>ROUND(IF([6]项目基本情况!$B$8="出让",SUMPRODUCT(PRODUCT(1+M32:M$36)),SUMPRODUCT(PRODUCT(1+M32:M$35))),4)</f>
        <v>1.0127999999999999</v>
      </c>
      <c r="U32" s="3182">
        <f>ROUND(IF([6]项目基本情况!$B$8="出让",SUMPRODUCT(PRODUCT(1+N32:N$36)),SUMPRODUCT(PRODUCT(1+N32:N$35))),4)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2835</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ROUND(IF([6]项目基本情况!$B$8="出让",SUMPRODUCT(PRODUCT(1+L33:L$36)),SUMPRODUCT(PRODUCT(1+L33:L$35))),4)</f>
        <v>1.0161</v>
      </c>
      <c r="T33" s="3182">
        <f>ROUND(IF([6]项目基本情况!$B$8="出让",SUMPRODUCT(PRODUCT(1+M33:M$36)),SUMPRODUCT(PRODUCT(1+M33:M$35))),4)</f>
        <v>1.0082</v>
      </c>
      <c r="U33" s="3182">
        <f>ROUND(IF([6]项目基本情况!$B$8="出让",SUMPRODUCT(PRODUCT(1+N33:N$36)),SUMPRODUCT(PRODUCT(1+N33:N$35))),4)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2836</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ROUND(IF([6]项目基本情况!$B$8="出让",SUMPRODUCT(PRODUCT(1+L34:L$36)),SUMPRODUCT(PRODUCT(1+L34:L$35))),4)</f>
        <v>1.0102</v>
      </c>
      <c r="T34" s="3182">
        <f>ROUND(IF([6]项目基本情况!$B$8="出让",SUMPRODUCT(PRODUCT(1+M34:M$36)),SUMPRODUCT(PRODUCT(1+M34:M$35))),4)</f>
        <v>1.0074000000000001</v>
      </c>
      <c r="U34" s="3182">
        <f>ROUND(IF([6]项目基本情况!$B$8="出让",SUMPRODUCT(PRODUCT(1+N34:N$36)),SUMPRODUCT(PRODUCT(1+N34:N$35))),4)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2837</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ROUND(IF([6]项目基本情况!$B$8="出让",SUMPRODUCT(PRODUCT(1+L35:L$36)),SUMPRODUCT(PRODUCT(1+L35:L$35))),4)</f>
        <v>1.0055000000000001</v>
      </c>
      <c r="T35" s="3182">
        <f>ROUND(IF([6]项目基本情况!$B$8="出让",SUMPRODUCT(PRODUCT(1+M35:M$36)),SUMPRODUCT(PRODUCT(1+M35:M$35))),4)</f>
        <v>1.0045999999999999</v>
      </c>
      <c r="U35" s="3182">
        <f>ROUND(IF([6]项目基本情况!$B$8="出让",SUMPRODUCT(PRODUCT(1+N35:N$36)),SUMPRODUCT(PRODUCT(1+N35:N$35))),4)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2822</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0" t="s">
        <v>452</v>
      </c>
      <c r="C1" s="3800"/>
      <c r="D1" s="3800"/>
      <c r="E1" s="3800"/>
      <c r="F1" s="3800"/>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4.25" thickBot="1">
      <c r="B2" s="2173" t="s">
        <v>458</v>
      </c>
      <c r="C2" s="2173" t="s">
        <v>459</v>
      </c>
      <c r="D2" s="2174" t="s">
        <v>460</v>
      </c>
      <c r="E2" s="2174" t="s">
        <v>461</v>
      </c>
      <c r="F2" s="2173" t="s">
        <v>462</v>
      </c>
      <c r="G2" s="2175"/>
      <c r="I2" s="2173" t="s">
        <v>458</v>
      </c>
      <c r="J2" s="2174" t="s">
        <v>674</v>
      </c>
      <c r="K2" s="2174" t="s">
        <v>308</v>
      </c>
      <c r="L2" s="2173" t="s">
        <v>462</v>
      </c>
      <c r="N2" s="2173" t="s">
        <v>458</v>
      </c>
      <c r="O2" s="2174" t="s">
        <v>674</v>
      </c>
      <c r="P2" s="2174" t="s">
        <v>308</v>
      </c>
      <c r="Q2" s="2173" t="s">
        <v>462</v>
      </c>
      <c r="S2" s="2173" t="s">
        <v>458</v>
      </c>
      <c r="T2" s="2174" t="s">
        <v>674</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2110</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2111</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2306</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2305</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2126</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2124</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2123</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2122</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2120</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2119</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2121</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2117</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2116</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2109</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2107</v>
      </c>
      <c r="B25" s="2220">
        <v>439</v>
      </c>
      <c r="C25" s="2220">
        <v>327</v>
      </c>
      <c r="D25" s="2220">
        <f>C25</f>
        <v>327</v>
      </c>
      <c r="E25" s="2220">
        <v>627</v>
      </c>
      <c r="F25" s="2221">
        <v>283</v>
      </c>
      <c r="G25" s="380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2108</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675</v>
      </c>
      <c r="B27" s="2206">
        <f t="shared" si="232"/>
        <v>419.31181600000002</v>
      </c>
      <c r="C27" s="2206">
        <f t="shared" si="233"/>
        <v>313.95436800000004</v>
      </c>
      <c r="D27" s="2206">
        <f t="shared" si="234"/>
        <v>313.95436800000004</v>
      </c>
      <c r="E27" s="2206">
        <f t="shared" si="235"/>
        <v>596.63028431999999</v>
      </c>
      <c r="F27" s="2206">
        <f t="shared" si="236"/>
        <v>274.74220703999998</v>
      </c>
      <c r="G27" s="379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45131</v>
      </c>
      <c r="D1" s="1302" t="s">
        <v>603</v>
      </c>
      <c r="E1" s="1297">
        <f>'数据-取费表'!B22</f>
        <v>1.5</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45097</v>
      </c>
      <c r="D13" s="2821">
        <v>3.55</v>
      </c>
      <c r="E13" s="2821">
        <f>D13</f>
        <v>3.55</v>
      </c>
      <c r="F13" s="2821">
        <f>D13</f>
        <v>3.55</v>
      </c>
      <c r="G13" s="2821">
        <f>D13</f>
        <v>3.55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44795</v>
      </c>
      <c r="D14" s="2816">
        <v>3.65</v>
      </c>
      <c r="E14" s="2816">
        <v>3.65</v>
      </c>
      <c r="F14" s="2816">
        <v>3.65</v>
      </c>
      <c r="G14" s="2816">
        <v>3.65</v>
      </c>
      <c r="H14" s="2816">
        <v>4.3</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44701</v>
      </c>
      <c r="D15" s="2816">
        <v>3.7</v>
      </c>
      <c r="E15" s="2816">
        <f>D15</f>
        <v>3.7</v>
      </c>
      <c r="F15" s="2816">
        <f>D15</f>
        <v>3.7</v>
      </c>
      <c r="G15" s="2816">
        <f>D15</f>
        <v>3.7</v>
      </c>
      <c r="H15" s="2816">
        <v>4.45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44581</v>
      </c>
      <c r="D16" s="2816">
        <v>3.7</v>
      </c>
      <c r="E16" s="2816">
        <f>D16</f>
        <v>3.7</v>
      </c>
      <c r="F16" s="2816">
        <f>D16</f>
        <v>3.7</v>
      </c>
      <c r="G16" s="2816">
        <f>D16</f>
        <v>3.7</v>
      </c>
      <c r="H16" s="2816">
        <v>4.5999999999999996</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44550</v>
      </c>
      <c r="D17" s="2816">
        <v>3.8</v>
      </c>
      <c r="E17" s="2816">
        <f>D17</f>
        <v>3.8</v>
      </c>
      <c r="F17" s="2816">
        <f>D17</f>
        <v>3.8</v>
      </c>
      <c r="G17" s="2816">
        <f>D17</f>
        <v>3.8</v>
      </c>
      <c r="H17" s="2816">
        <v>4.6500000000000004</v>
      </c>
      <c r="I17" s="2816"/>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43881</v>
      </c>
      <c r="D19" s="2816">
        <v>4.05</v>
      </c>
      <c r="E19" s="2816">
        <v>4.05</v>
      </c>
      <c r="F19" s="2816">
        <v>4.05</v>
      </c>
      <c r="G19" s="2816">
        <v>4.05</v>
      </c>
      <c r="H19" s="2816">
        <v>4.75</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43789</v>
      </c>
      <c r="D20" s="2816">
        <v>4.1500000000000004</v>
      </c>
      <c r="E20" s="2816">
        <v>4.1500000000000004</v>
      </c>
      <c r="F20" s="2816">
        <v>4.1500000000000004</v>
      </c>
      <c r="G20" s="2816">
        <v>4.1500000000000004</v>
      </c>
      <c r="H20" s="2816">
        <v>4.8</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43728</v>
      </c>
      <c r="D21" s="2816">
        <v>4.2</v>
      </c>
      <c r="E21" s="2816">
        <v>4.2</v>
      </c>
      <c r="F21" s="2816">
        <v>4.2</v>
      </c>
      <c r="G21" s="2816">
        <v>4.2</v>
      </c>
      <c r="H21" s="2816">
        <v>4.8499999999999996</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t="s">
        <v>2307</v>
      </c>
      <c r="C22" s="2818">
        <v>43697</v>
      </c>
      <c r="D22" s="2819">
        <v>4.25</v>
      </c>
      <c r="E22" s="2819">
        <v>4.25</v>
      </c>
      <c r="F22" s="2819">
        <v>4.25</v>
      </c>
      <c r="G22" s="2819">
        <v>4.25</v>
      </c>
      <c r="H22" s="2819">
        <v>4.8499999999999996</v>
      </c>
      <c r="I22" s="2819"/>
      <c r="J22" s="281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23"/>
      <c r="C23" s="2824">
        <v>42301</v>
      </c>
      <c r="D23" s="2825">
        <v>4.3499999999999996</v>
      </c>
      <c r="E23" s="2825">
        <v>4.3499999999999996</v>
      </c>
      <c r="F23" s="2825">
        <v>4.75</v>
      </c>
      <c r="G23" s="2825">
        <v>4.75</v>
      </c>
      <c r="H23" s="2825">
        <v>4.9000000000000004</v>
      </c>
      <c r="I23" s="2825"/>
      <c r="J23" s="282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39"/>
  <sheetViews>
    <sheetView topLeftCell="B1" workbookViewId="0">
      <selection activeCell="K24" sqref="K24:O25"/>
    </sheetView>
  </sheetViews>
  <sheetFormatPr defaultColWidth="9" defaultRowHeight="12.75"/>
  <cols>
    <col min="1" max="1" width="45.625" style="3449" customWidth="1"/>
    <col min="2" max="2" width="6.25" style="3449" customWidth="1"/>
    <col min="3" max="3" width="7.875" style="3449" customWidth="1"/>
    <col min="4" max="4" width="8.875" style="3449" customWidth="1"/>
    <col min="5" max="5" width="9.125" style="3449" customWidth="1"/>
    <col min="6" max="6" width="24" style="3449" customWidth="1"/>
    <col min="7" max="7" width="6.25" style="3449" customWidth="1"/>
    <col min="8" max="8" width="7.875" style="3449" customWidth="1"/>
    <col min="9" max="9" width="4.625" style="3449" customWidth="1"/>
    <col min="10" max="11" width="9" style="3449" customWidth="1"/>
    <col min="12" max="13" width="10.625" style="3449" customWidth="1"/>
    <col min="14" max="14" width="16" style="3449" customWidth="1"/>
    <col min="15" max="15" width="14.375" style="3449" customWidth="1"/>
    <col min="16" max="16" width="6.25" style="3449" customWidth="1"/>
    <col min="17" max="17" width="27.75" style="3449" customWidth="1"/>
    <col min="18" max="16384" width="9" style="3449"/>
  </cols>
  <sheetData>
    <row r="1" spans="1:17">
      <c r="A1" s="3449" t="s">
        <v>3478</v>
      </c>
      <c r="B1" s="3449" t="s">
        <v>3477</v>
      </c>
      <c r="C1" s="3449" t="s">
        <v>3476</v>
      </c>
      <c r="D1" s="3449" t="s">
        <v>3475</v>
      </c>
      <c r="E1" s="3449" t="s">
        <v>3474</v>
      </c>
      <c r="F1" s="3449" t="s">
        <v>3473</v>
      </c>
      <c r="G1" s="3449" t="s">
        <v>3472</v>
      </c>
      <c r="H1" s="3449" t="s">
        <v>3471</v>
      </c>
      <c r="I1" s="3449" t="s">
        <v>3470</v>
      </c>
      <c r="J1" s="3449" t="s">
        <v>3469</v>
      </c>
      <c r="K1" s="3449" t="s">
        <v>3468</v>
      </c>
      <c r="L1" s="3449" t="s">
        <v>3467</v>
      </c>
      <c r="M1" s="3449" t="s">
        <v>3466</v>
      </c>
      <c r="N1" s="3449" t="s">
        <v>3465</v>
      </c>
      <c r="O1" s="3449" t="s">
        <v>3464</v>
      </c>
      <c r="P1" s="3449" t="s">
        <v>3463</v>
      </c>
      <c r="Q1" s="3449" t="s">
        <v>3462</v>
      </c>
    </row>
    <row r="2" spans="1:17">
      <c r="A2" s="3449" t="s">
        <v>3459</v>
      </c>
      <c r="B2" s="3449" t="s">
        <v>3389</v>
      </c>
      <c r="C2" s="3449" t="s">
        <v>2477</v>
      </c>
      <c r="D2" s="3449">
        <v>10000</v>
      </c>
      <c r="E2" s="3449">
        <v>15000</v>
      </c>
      <c r="F2" s="3449" t="s">
        <v>633</v>
      </c>
      <c r="G2" s="3449" t="s">
        <v>3417</v>
      </c>
      <c r="H2" s="3449" t="s">
        <v>2477</v>
      </c>
      <c r="I2" s="3449">
        <v>0</v>
      </c>
      <c r="J2" s="3449" t="s">
        <v>3458</v>
      </c>
      <c r="K2" s="3449" t="s">
        <v>3458</v>
      </c>
      <c r="L2" s="3449">
        <v>1035</v>
      </c>
      <c r="M2" s="3449">
        <v>1035</v>
      </c>
      <c r="N2" s="3449">
        <v>69</v>
      </c>
      <c r="O2" s="3449">
        <v>690</v>
      </c>
      <c r="P2" s="3449">
        <v>0</v>
      </c>
      <c r="Q2" s="3449" t="s">
        <v>3461</v>
      </c>
    </row>
    <row r="3" spans="1:17">
      <c r="A3" s="3449" t="s">
        <v>3459</v>
      </c>
      <c r="B3" s="3449" t="s">
        <v>3389</v>
      </c>
      <c r="C3" s="3449" t="s">
        <v>2477</v>
      </c>
      <c r="D3" s="3449">
        <v>10000</v>
      </c>
      <c r="E3" s="3449">
        <v>15000</v>
      </c>
      <c r="F3" s="3449" t="s">
        <v>633</v>
      </c>
      <c r="G3" s="3449" t="s">
        <v>3417</v>
      </c>
      <c r="H3" s="3449" t="s">
        <v>2477</v>
      </c>
      <c r="I3" s="3449">
        <v>0</v>
      </c>
      <c r="J3" s="3449" t="s">
        <v>3458</v>
      </c>
      <c r="K3" s="3449" t="s">
        <v>3458</v>
      </c>
      <c r="L3" s="3449">
        <v>1035</v>
      </c>
      <c r="M3" s="3449">
        <v>1035</v>
      </c>
      <c r="N3" s="3449">
        <v>69</v>
      </c>
      <c r="O3" s="3449">
        <v>690</v>
      </c>
      <c r="P3" s="3449">
        <v>0</v>
      </c>
      <c r="Q3" s="3449" t="s">
        <v>3460</v>
      </c>
    </row>
    <row r="4" spans="1:17">
      <c r="A4" s="3449" t="s">
        <v>3459</v>
      </c>
      <c r="B4" s="3449" t="s">
        <v>3389</v>
      </c>
      <c r="C4" s="3449" t="s">
        <v>2477</v>
      </c>
      <c r="D4" s="3449">
        <v>20000</v>
      </c>
      <c r="E4" s="3449">
        <v>30000</v>
      </c>
      <c r="F4" s="3449" t="s">
        <v>633</v>
      </c>
      <c r="G4" s="3449" t="s">
        <v>3417</v>
      </c>
      <c r="H4" s="3449" t="s">
        <v>2477</v>
      </c>
      <c r="I4" s="3449">
        <v>0</v>
      </c>
      <c r="J4" s="3449" t="s">
        <v>3458</v>
      </c>
      <c r="K4" s="3449" t="s">
        <v>3458</v>
      </c>
      <c r="L4" s="3449">
        <v>2070</v>
      </c>
      <c r="M4" s="3449">
        <v>2070</v>
      </c>
      <c r="N4" s="3449">
        <v>69</v>
      </c>
      <c r="O4" s="3449">
        <v>690</v>
      </c>
      <c r="P4" s="3449">
        <v>0</v>
      </c>
      <c r="Q4" s="3449" t="s">
        <v>3457</v>
      </c>
    </row>
    <row r="5" spans="1:17">
      <c r="A5" s="3449" t="s">
        <v>3441</v>
      </c>
      <c r="B5" s="3449" t="s">
        <v>3389</v>
      </c>
      <c r="C5" s="3449" t="s">
        <v>2477</v>
      </c>
      <c r="D5" s="3449">
        <v>40846.42</v>
      </c>
      <c r="E5" s="3449">
        <v>81692.84</v>
      </c>
      <c r="F5" s="3449" t="s">
        <v>3406</v>
      </c>
      <c r="G5" s="3449" t="s">
        <v>3417</v>
      </c>
      <c r="H5" s="3449" t="s">
        <v>2481</v>
      </c>
      <c r="I5" s="3449">
        <v>0</v>
      </c>
      <c r="J5" s="3449" t="s">
        <v>3454</v>
      </c>
      <c r="K5" s="3449" t="s">
        <v>3454</v>
      </c>
      <c r="L5" s="3449">
        <v>2280</v>
      </c>
      <c r="M5" s="3449">
        <v>2280</v>
      </c>
      <c r="N5" s="3449">
        <v>37.21</v>
      </c>
      <c r="O5" s="3449">
        <v>279.08999999999997</v>
      </c>
      <c r="P5" s="3449">
        <v>0</v>
      </c>
      <c r="Q5" s="3449" t="s">
        <v>3404</v>
      </c>
    </row>
    <row r="6" spans="1:17" s="3450" customFormat="1">
      <c r="A6" s="3450" t="s">
        <v>3456</v>
      </c>
      <c r="B6" s="3450" t="s">
        <v>3389</v>
      </c>
      <c r="C6" s="3450" t="s">
        <v>2477</v>
      </c>
      <c r="D6" s="3450">
        <v>67980.02</v>
      </c>
      <c r="E6" s="3450">
        <v>101970.03</v>
      </c>
      <c r="F6" s="3450" t="s">
        <v>3410</v>
      </c>
      <c r="G6" s="3450" t="s">
        <v>3417</v>
      </c>
      <c r="H6" s="3450" t="s">
        <v>2477</v>
      </c>
      <c r="I6" s="3450">
        <v>0</v>
      </c>
      <c r="J6" s="3450" t="s">
        <v>3454</v>
      </c>
      <c r="K6" s="3450" t="s">
        <v>3454</v>
      </c>
      <c r="L6" s="3450">
        <v>5099</v>
      </c>
      <c r="M6" s="3450">
        <v>5099</v>
      </c>
      <c r="N6" s="3450">
        <v>50</v>
      </c>
      <c r="O6" s="3450">
        <v>500.05</v>
      </c>
      <c r="P6" s="3450">
        <v>0</v>
      </c>
      <c r="Q6" s="3450" t="s">
        <v>3455</v>
      </c>
    </row>
    <row r="7" spans="1:17">
      <c r="A7" s="3449" t="s">
        <v>3441</v>
      </c>
      <c r="B7" s="3449" t="s">
        <v>3389</v>
      </c>
      <c r="C7" s="3449" t="s">
        <v>2477</v>
      </c>
      <c r="D7" s="3449">
        <v>14118.64</v>
      </c>
      <c r="E7" s="3449">
        <v>28237.279999999999</v>
      </c>
      <c r="F7" s="3449" t="s">
        <v>3406</v>
      </c>
      <c r="G7" s="3449" t="s">
        <v>3417</v>
      </c>
      <c r="H7" s="3449" t="s">
        <v>2481</v>
      </c>
      <c r="I7" s="3449">
        <v>0</v>
      </c>
      <c r="J7" s="3449" t="s">
        <v>3454</v>
      </c>
      <c r="K7" s="3449" t="s">
        <v>3454</v>
      </c>
      <c r="L7" s="3449">
        <v>831</v>
      </c>
      <c r="M7" s="3449">
        <v>831</v>
      </c>
      <c r="N7" s="3449">
        <v>39.24</v>
      </c>
      <c r="O7" s="3449">
        <v>294.29000000000002</v>
      </c>
      <c r="P7" s="3449">
        <v>0</v>
      </c>
      <c r="Q7" s="3449" t="s">
        <v>3404</v>
      </c>
    </row>
    <row r="8" spans="1:17">
      <c r="A8" s="3449" t="s">
        <v>3441</v>
      </c>
      <c r="B8" s="3449" t="s">
        <v>3389</v>
      </c>
      <c r="C8" s="3449" t="s">
        <v>2477</v>
      </c>
      <c r="D8" s="3449">
        <v>19180.57</v>
      </c>
      <c r="E8" s="3449">
        <v>38361.14</v>
      </c>
      <c r="F8" s="3449" t="s">
        <v>3406</v>
      </c>
      <c r="G8" s="3449" t="s">
        <v>3417</v>
      </c>
      <c r="H8" s="3449" t="s">
        <v>2481</v>
      </c>
      <c r="I8" s="3449">
        <v>0</v>
      </c>
      <c r="J8" s="3449" t="s">
        <v>3454</v>
      </c>
      <c r="K8" s="3449" t="s">
        <v>3454</v>
      </c>
      <c r="L8" s="3449">
        <v>1135</v>
      </c>
      <c r="M8" s="3449">
        <v>1135</v>
      </c>
      <c r="N8" s="3449">
        <v>39.450000000000003</v>
      </c>
      <c r="O8" s="3449">
        <v>295.87</v>
      </c>
      <c r="P8" s="3449">
        <v>0</v>
      </c>
      <c r="Q8" s="3449" t="s">
        <v>3404</v>
      </c>
    </row>
    <row r="9" spans="1:17">
      <c r="A9" s="3449" t="s">
        <v>3453</v>
      </c>
      <c r="B9" s="3449" t="s">
        <v>3389</v>
      </c>
      <c r="C9" s="3449" t="s">
        <v>2477</v>
      </c>
      <c r="D9" s="3449">
        <v>47889.04</v>
      </c>
      <c r="E9" s="3449">
        <v>95778.08</v>
      </c>
      <c r="F9" s="3449" t="s">
        <v>3388</v>
      </c>
      <c r="G9" s="3449" t="s">
        <v>3417</v>
      </c>
      <c r="H9" s="3449" t="s">
        <v>2477</v>
      </c>
      <c r="I9" s="3449">
        <v>0</v>
      </c>
      <c r="J9" s="3449" t="s">
        <v>3452</v>
      </c>
      <c r="K9" s="3449" t="s">
        <v>3452</v>
      </c>
      <c r="L9" s="3449">
        <v>2874</v>
      </c>
      <c r="M9" s="3449">
        <v>2874</v>
      </c>
      <c r="N9" s="3449">
        <v>40.01</v>
      </c>
      <c r="O9" s="3449">
        <v>300.07</v>
      </c>
      <c r="P9" s="3449">
        <v>0</v>
      </c>
      <c r="Q9" s="3449" t="s">
        <v>3451</v>
      </c>
    </row>
    <row r="10" spans="1:17">
      <c r="A10" s="3449" t="s">
        <v>3450</v>
      </c>
      <c r="B10" s="3449" t="s">
        <v>3389</v>
      </c>
      <c r="C10" s="3449" t="s">
        <v>2477</v>
      </c>
      <c r="D10" s="3449">
        <v>66666.67</v>
      </c>
      <c r="E10" s="3449">
        <v>133333.34</v>
      </c>
      <c r="F10" s="3449" t="s">
        <v>3388</v>
      </c>
      <c r="G10" s="3449" t="s">
        <v>3417</v>
      </c>
      <c r="H10" s="3449" t="s">
        <v>2481</v>
      </c>
      <c r="I10" s="3449">
        <v>0</v>
      </c>
      <c r="J10" s="3449" t="s">
        <v>3449</v>
      </c>
      <c r="K10" s="3449" t="s">
        <v>3449</v>
      </c>
      <c r="L10" s="3449">
        <v>5000</v>
      </c>
      <c r="M10" s="3449">
        <v>5000</v>
      </c>
      <c r="N10" s="3449">
        <v>50</v>
      </c>
      <c r="O10" s="3449">
        <v>375</v>
      </c>
      <c r="P10" s="3449">
        <v>0</v>
      </c>
      <c r="Q10" s="3449" t="s">
        <v>3448</v>
      </c>
    </row>
    <row r="11" spans="1:17" s="3450" customFormat="1">
      <c r="A11" s="3450" t="s">
        <v>3447</v>
      </c>
      <c r="B11" s="3450" t="s">
        <v>3389</v>
      </c>
      <c r="C11" s="3450" t="s">
        <v>2477</v>
      </c>
      <c r="D11" s="3450">
        <v>181908.68</v>
      </c>
      <c r="E11" s="3450">
        <v>272863.02</v>
      </c>
      <c r="F11" s="3450" t="s">
        <v>3410</v>
      </c>
      <c r="G11" s="3450" t="s">
        <v>3417</v>
      </c>
      <c r="H11" s="3450" t="s">
        <v>2477</v>
      </c>
      <c r="I11" s="3450">
        <v>0</v>
      </c>
      <c r="J11" s="3450" t="s">
        <v>3446</v>
      </c>
      <c r="K11" s="3450" t="s">
        <v>3446</v>
      </c>
      <c r="L11" s="3450">
        <v>13644</v>
      </c>
      <c r="M11" s="3450">
        <v>13644</v>
      </c>
      <c r="N11" s="3450">
        <v>50</v>
      </c>
      <c r="O11" s="3450">
        <v>500.03</v>
      </c>
      <c r="P11" s="3450">
        <v>0</v>
      </c>
      <c r="Q11" s="3450" t="s">
        <v>3445</v>
      </c>
    </row>
    <row r="12" spans="1:17" s="3450" customFormat="1">
      <c r="A12" s="3450" t="s">
        <v>3444</v>
      </c>
      <c r="B12" s="3450" t="s">
        <v>3389</v>
      </c>
      <c r="C12" s="3450" t="s">
        <v>2477</v>
      </c>
      <c r="D12" s="3450">
        <v>18175.64</v>
      </c>
      <c r="E12" s="3450">
        <v>27263.46</v>
      </c>
      <c r="F12" s="3450" t="s">
        <v>3410</v>
      </c>
      <c r="G12" s="3450" t="s">
        <v>3417</v>
      </c>
      <c r="H12" s="3450" t="s">
        <v>2477</v>
      </c>
      <c r="I12" s="3450">
        <v>0</v>
      </c>
      <c r="J12" s="3450" t="s">
        <v>3440</v>
      </c>
      <c r="K12" s="3450" t="s">
        <v>3440</v>
      </c>
      <c r="L12" s="3450">
        <v>1364</v>
      </c>
      <c r="M12" s="3450">
        <v>1364</v>
      </c>
      <c r="N12" s="3450">
        <v>50.03</v>
      </c>
      <c r="O12" s="3450">
        <v>500.3</v>
      </c>
      <c r="P12" s="3450">
        <v>0</v>
      </c>
      <c r="Q12" s="3450" t="s">
        <v>3443</v>
      </c>
    </row>
    <row r="13" spans="1:17">
      <c r="A13" s="3449" t="s">
        <v>3442</v>
      </c>
      <c r="B13" s="3449" t="s">
        <v>3389</v>
      </c>
      <c r="C13" s="3449" t="s">
        <v>2477</v>
      </c>
      <c r="D13" s="3449">
        <v>1676.39</v>
      </c>
      <c r="E13" s="3449">
        <v>3352.78</v>
      </c>
      <c r="F13" s="3449" t="s">
        <v>3418</v>
      </c>
      <c r="G13" s="3449" t="s">
        <v>3417</v>
      </c>
      <c r="H13" s="3449" t="s">
        <v>2481</v>
      </c>
      <c r="I13" s="3449">
        <v>0</v>
      </c>
      <c r="J13" s="3449" t="s">
        <v>3440</v>
      </c>
      <c r="K13" s="3449" t="s">
        <v>3440</v>
      </c>
      <c r="L13" s="3449">
        <v>101</v>
      </c>
      <c r="M13" s="3449">
        <v>101</v>
      </c>
      <c r="N13" s="3449">
        <v>40.17</v>
      </c>
      <c r="O13" s="3449">
        <v>301.24</v>
      </c>
      <c r="P13" s="3449">
        <v>0</v>
      </c>
      <c r="Q13" s="3449" t="s">
        <v>3397</v>
      </c>
    </row>
    <row r="14" spans="1:17">
      <c r="A14" s="3449" t="s">
        <v>3441</v>
      </c>
      <c r="B14" s="3449" t="s">
        <v>3389</v>
      </c>
      <c r="C14" s="3449" t="s">
        <v>2477</v>
      </c>
      <c r="D14" s="3449">
        <v>86210.92</v>
      </c>
      <c r="E14" s="3449">
        <v>172421.84</v>
      </c>
      <c r="F14" s="3449" t="s">
        <v>3406</v>
      </c>
      <c r="G14" s="3449" t="s">
        <v>3417</v>
      </c>
      <c r="H14" s="3449" t="s">
        <v>2481</v>
      </c>
      <c r="I14" s="3449">
        <v>0</v>
      </c>
      <c r="J14" s="3449" t="s">
        <v>3440</v>
      </c>
      <c r="K14" s="3449" t="s">
        <v>3440</v>
      </c>
      <c r="L14" s="3449">
        <v>4911</v>
      </c>
      <c r="M14" s="3449">
        <v>4911</v>
      </c>
      <c r="N14" s="3449">
        <v>37.979999999999997</v>
      </c>
      <c r="O14" s="3449">
        <v>284.82</v>
      </c>
      <c r="P14" s="3449">
        <v>0</v>
      </c>
      <c r="Q14" s="3449" t="s">
        <v>3404</v>
      </c>
    </row>
    <row r="15" spans="1:17">
      <c r="A15" s="3449" t="s">
        <v>3441</v>
      </c>
      <c r="B15" s="3449" t="s">
        <v>3389</v>
      </c>
      <c r="C15" s="3449" t="s">
        <v>2477</v>
      </c>
      <c r="D15" s="3449">
        <v>35423.269999999997</v>
      </c>
      <c r="E15" s="3449">
        <v>70846.539999999994</v>
      </c>
      <c r="F15" s="3449" t="s">
        <v>3406</v>
      </c>
      <c r="G15" s="3449" t="s">
        <v>3417</v>
      </c>
      <c r="H15" s="3449" t="s">
        <v>2481</v>
      </c>
      <c r="I15" s="3449">
        <v>0</v>
      </c>
      <c r="J15" s="3449" t="s">
        <v>3440</v>
      </c>
      <c r="K15" s="3449" t="s">
        <v>3440</v>
      </c>
      <c r="L15" s="3449">
        <v>2004</v>
      </c>
      <c r="M15" s="3449">
        <v>2004</v>
      </c>
      <c r="N15" s="3449">
        <v>37.72</v>
      </c>
      <c r="O15" s="3449">
        <v>282.86</v>
      </c>
      <c r="P15" s="3449">
        <v>0</v>
      </c>
      <c r="Q15" s="3449" t="s">
        <v>3404</v>
      </c>
    </row>
    <row r="16" spans="1:17">
      <c r="A16" s="3449" t="s">
        <v>3439</v>
      </c>
      <c r="B16" s="3449" t="s">
        <v>3389</v>
      </c>
      <c r="C16" s="3449" t="s">
        <v>2477</v>
      </c>
      <c r="D16" s="3449">
        <v>105046.44</v>
      </c>
      <c r="E16" s="3449">
        <v>168074.3</v>
      </c>
      <c r="F16" s="3449" t="s">
        <v>3395</v>
      </c>
      <c r="G16" s="3449" t="s">
        <v>3417</v>
      </c>
      <c r="H16" s="3449" t="s">
        <v>2477</v>
      </c>
      <c r="I16" s="3449">
        <v>0</v>
      </c>
      <c r="J16" s="3449" t="s">
        <v>3437</v>
      </c>
      <c r="K16" s="3449" t="s">
        <v>3437</v>
      </c>
      <c r="L16" s="3449">
        <v>10873</v>
      </c>
      <c r="M16" s="3449">
        <v>10873</v>
      </c>
      <c r="N16" s="3449">
        <v>69</v>
      </c>
      <c r="O16" s="3449">
        <v>646.91999999999996</v>
      </c>
      <c r="P16" s="3449">
        <v>0</v>
      </c>
      <c r="Q16" s="3449" t="s">
        <v>3436</v>
      </c>
    </row>
    <row r="17" spans="1:17">
      <c r="A17" s="3449" t="s">
        <v>3438</v>
      </c>
      <c r="B17" s="3449" t="s">
        <v>3389</v>
      </c>
      <c r="C17" s="3449" t="s">
        <v>2477</v>
      </c>
      <c r="D17" s="3449">
        <v>67454</v>
      </c>
      <c r="E17" s="3449">
        <v>107926.39999999999</v>
      </c>
      <c r="F17" s="3449" t="s">
        <v>3395</v>
      </c>
      <c r="G17" s="3449" t="s">
        <v>3417</v>
      </c>
      <c r="H17" s="3449" t="s">
        <v>2477</v>
      </c>
      <c r="I17" s="3449">
        <v>0</v>
      </c>
      <c r="J17" s="3449" t="s">
        <v>3437</v>
      </c>
      <c r="K17" s="3449" t="s">
        <v>3437</v>
      </c>
      <c r="L17" s="3449">
        <v>6982</v>
      </c>
      <c r="M17" s="3449">
        <v>6982</v>
      </c>
      <c r="N17" s="3449">
        <v>69.010000000000005</v>
      </c>
      <c r="O17" s="3449">
        <v>646.91999999999996</v>
      </c>
      <c r="P17" s="3449">
        <v>0</v>
      </c>
      <c r="Q17" s="3449" t="s">
        <v>3436</v>
      </c>
    </row>
    <row r="18" spans="1:17">
      <c r="A18" s="3449" t="s">
        <v>3435</v>
      </c>
      <c r="B18" s="3449" t="s">
        <v>3389</v>
      </c>
      <c r="C18" s="3449" t="s">
        <v>2477</v>
      </c>
      <c r="D18" s="3449">
        <v>66663.81</v>
      </c>
      <c r="E18" s="3449">
        <v>133327.62</v>
      </c>
      <c r="F18" s="3449" t="s">
        <v>3434</v>
      </c>
      <c r="G18" s="3449" t="s">
        <v>3417</v>
      </c>
      <c r="H18" s="3449" t="s">
        <v>2477</v>
      </c>
      <c r="I18" s="3449">
        <v>0</v>
      </c>
      <c r="J18" s="3449" t="s">
        <v>3433</v>
      </c>
      <c r="K18" s="3449" t="s">
        <v>3433</v>
      </c>
      <c r="L18" s="3449">
        <v>6900</v>
      </c>
      <c r="M18" s="3449">
        <v>6900</v>
      </c>
      <c r="N18" s="3449">
        <v>69</v>
      </c>
      <c r="O18" s="3449">
        <v>517.52</v>
      </c>
      <c r="P18" s="3449">
        <v>0</v>
      </c>
      <c r="Q18" s="3449" t="s">
        <v>3432</v>
      </c>
    </row>
    <row r="19" spans="1:17">
      <c r="A19" s="3449" t="s">
        <v>3431</v>
      </c>
      <c r="B19" s="3449" t="s">
        <v>3389</v>
      </c>
      <c r="C19" s="3449" t="s">
        <v>2477</v>
      </c>
      <c r="D19" s="3449">
        <v>73518.22</v>
      </c>
      <c r="E19" s="3449">
        <v>147036.44</v>
      </c>
      <c r="F19" s="3449" t="s">
        <v>3426</v>
      </c>
      <c r="G19" s="3449" t="s">
        <v>3417</v>
      </c>
      <c r="H19" s="3449" t="s">
        <v>2477</v>
      </c>
      <c r="I19" s="3449">
        <v>0</v>
      </c>
      <c r="J19" s="3449" t="s">
        <v>3430</v>
      </c>
      <c r="K19" s="3449" t="s">
        <v>3430</v>
      </c>
      <c r="L19" s="3449">
        <v>5294</v>
      </c>
      <c r="M19" s="3449">
        <v>5294</v>
      </c>
      <c r="N19" s="3449">
        <v>48.01</v>
      </c>
      <c r="O19" s="3449">
        <v>360.05</v>
      </c>
      <c r="P19" s="3449">
        <v>0</v>
      </c>
      <c r="Q19" s="3449" t="s">
        <v>3429</v>
      </c>
    </row>
    <row r="20" spans="1:17">
      <c r="A20" s="3449" t="s">
        <v>3431</v>
      </c>
      <c r="B20" s="3449" t="s">
        <v>3389</v>
      </c>
      <c r="C20" s="3449" t="s">
        <v>2477</v>
      </c>
      <c r="D20" s="3449">
        <v>30910.21</v>
      </c>
      <c r="E20" s="3449">
        <v>61820.42</v>
      </c>
      <c r="F20" s="3449" t="s">
        <v>3426</v>
      </c>
      <c r="G20" s="3449" t="s">
        <v>3417</v>
      </c>
      <c r="H20" s="3449" t="s">
        <v>2477</v>
      </c>
      <c r="I20" s="3449">
        <v>0</v>
      </c>
      <c r="J20" s="3449" t="s">
        <v>3430</v>
      </c>
      <c r="K20" s="3449" t="s">
        <v>3430</v>
      </c>
      <c r="L20" s="3449">
        <v>2226</v>
      </c>
      <c r="M20" s="3449">
        <v>2226</v>
      </c>
      <c r="N20" s="3449">
        <v>48.01</v>
      </c>
      <c r="O20" s="3449">
        <v>360.08</v>
      </c>
      <c r="P20" s="3449">
        <v>0</v>
      </c>
      <c r="Q20" s="3449" t="s">
        <v>3429</v>
      </c>
    </row>
    <row r="21" spans="1:17">
      <c r="A21" s="3449" t="s">
        <v>3431</v>
      </c>
      <c r="B21" s="3449" t="s">
        <v>3389</v>
      </c>
      <c r="C21" s="3449" t="s">
        <v>2477</v>
      </c>
      <c r="D21" s="3449">
        <v>31347.42</v>
      </c>
      <c r="E21" s="3449">
        <v>62694.84</v>
      </c>
      <c r="F21" s="3449" t="s">
        <v>3426</v>
      </c>
      <c r="G21" s="3449" t="s">
        <v>3417</v>
      </c>
      <c r="H21" s="3449" t="s">
        <v>2477</v>
      </c>
      <c r="I21" s="3449">
        <v>0</v>
      </c>
      <c r="J21" s="3449" t="s">
        <v>3430</v>
      </c>
      <c r="K21" s="3449" t="s">
        <v>3430</v>
      </c>
      <c r="L21" s="3449">
        <v>2258</v>
      </c>
      <c r="M21" s="3449">
        <v>2258</v>
      </c>
      <c r="N21" s="3449">
        <v>48.02</v>
      </c>
      <c r="O21" s="3449">
        <v>360.16</v>
      </c>
      <c r="P21" s="3449">
        <v>0</v>
      </c>
      <c r="Q21" s="3449" t="s">
        <v>3429</v>
      </c>
    </row>
    <row r="22" spans="1:17">
      <c r="A22" s="3449" t="s">
        <v>3431</v>
      </c>
      <c r="B22" s="3449" t="s">
        <v>3389</v>
      </c>
      <c r="C22" s="3449" t="s">
        <v>2477</v>
      </c>
      <c r="D22" s="3449">
        <v>15925.57</v>
      </c>
      <c r="E22" s="3449">
        <v>31851.14</v>
      </c>
      <c r="F22" s="3449" t="s">
        <v>3426</v>
      </c>
      <c r="G22" s="3449" t="s">
        <v>3417</v>
      </c>
      <c r="H22" s="3449" t="s">
        <v>2477</v>
      </c>
      <c r="I22" s="3449">
        <v>0</v>
      </c>
      <c r="J22" s="3449" t="s">
        <v>3430</v>
      </c>
      <c r="K22" s="3449" t="s">
        <v>3430</v>
      </c>
      <c r="L22" s="3449">
        <v>1147</v>
      </c>
      <c r="M22" s="3449">
        <v>1147</v>
      </c>
      <c r="N22" s="3449">
        <v>48.02</v>
      </c>
      <c r="O22" s="3449">
        <v>360.11</v>
      </c>
      <c r="P22" s="3449">
        <v>0</v>
      </c>
      <c r="Q22" s="3449" t="s">
        <v>3429</v>
      </c>
    </row>
    <row r="23" spans="1:17">
      <c r="A23" s="3449" t="s">
        <v>3431</v>
      </c>
      <c r="B23" s="3449" t="s">
        <v>3389</v>
      </c>
      <c r="C23" s="3449" t="s">
        <v>2477</v>
      </c>
      <c r="D23" s="3449">
        <v>57177.33</v>
      </c>
      <c r="E23" s="3449">
        <v>114354.66</v>
      </c>
      <c r="F23" s="3449" t="s">
        <v>3426</v>
      </c>
      <c r="G23" s="3449" t="s">
        <v>3417</v>
      </c>
      <c r="H23" s="3449" t="s">
        <v>2477</v>
      </c>
      <c r="I23" s="3449">
        <v>0</v>
      </c>
      <c r="J23" s="3449" t="s">
        <v>3430</v>
      </c>
      <c r="K23" s="3449" t="s">
        <v>3430</v>
      </c>
      <c r="L23" s="3449">
        <v>4117</v>
      </c>
      <c r="M23" s="3449">
        <v>4117</v>
      </c>
      <c r="N23" s="3449">
        <v>48</v>
      </c>
      <c r="O23" s="3449">
        <v>360.02</v>
      </c>
      <c r="P23" s="3449">
        <v>0</v>
      </c>
      <c r="Q23" s="3449" t="s">
        <v>3429</v>
      </c>
    </row>
    <row r="24" spans="1:17">
      <c r="A24" s="3449" t="s">
        <v>3407</v>
      </c>
      <c r="B24" s="3449" t="s">
        <v>3389</v>
      </c>
      <c r="C24" s="3449" t="s">
        <v>2477</v>
      </c>
      <c r="D24" s="3449">
        <v>19568.98</v>
      </c>
      <c r="E24" s="3449">
        <v>39137.96</v>
      </c>
      <c r="F24" s="3449" t="s">
        <v>3406</v>
      </c>
      <c r="G24" s="3449" t="s">
        <v>3417</v>
      </c>
      <c r="H24" s="3449" t="s">
        <v>2481</v>
      </c>
      <c r="I24" s="3449">
        <v>0</v>
      </c>
      <c r="J24" s="3449" t="s">
        <v>3428</v>
      </c>
      <c r="K24" s="3449" t="s">
        <v>3428</v>
      </c>
      <c r="L24" s="3449">
        <v>1104</v>
      </c>
      <c r="M24" s="3449">
        <v>1104</v>
      </c>
      <c r="N24" s="3449">
        <v>37.61</v>
      </c>
      <c r="O24" s="3449">
        <v>282.08</v>
      </c>
      <c r="P24" s="3449">
        <v>0</v>
      </c>
      <c r="Q24" s="3449" t="s">
        <v>3404</v>
      </c>
    </row>
    <row r="25" spans="1:17">
      <c r="A25" s="3449" t="s">
        <v>3427</v>
      </c>
      <c r="B25" s="3449" t="s">
        <v>3389</v>
      </c>
      <c r="C25" s="3449" t="s">
        <v>2477</v>
      </c>
      <c r="D25" s="3449">
        <v>203476.48000000001</v>
      </c>
      <c r="E25" s="3449">
        <v>406952.96000000002</v>
      </c>
      <c r="F25" s="3449" t="s">
        <v>3426</v>
      </c>
      <c r="G25" s="3449" t="s">
        <v>3417</v>
      </c>
      <c r="H25" s="3449" t="s">
        <v>2477</v>
      </c>
      <c r="I25" s="3449">
        <v>0</v>
      </c>
      <c r="J25" s="3449" t="s">
        <v>3425</v>
      </c>
      <c r="K25" s="3449" t="s">
        <v>3425</v>
      </c>
      <c r="L25" s="3449">
        <v>21060</v>
      </c>
      <c r="M25" s="3449">
        <v>21060</v>
      </c>
      <c r="N25" s="3449">
        <v>69</v>
      </c>
      <c r="O25" s="3449">
        <v>517.5</v>
      </c>
      <c r="P25" s="3449">
        <v>0</v>
      </c>
      <c r="Q25" s="3449" t="s">
        <v>3424</v>
      </c>
    </row>
    <row r="26" spans="1:17">
      <c r="A26" s="3449" t="s">
        <v>3423</v>
      </c>
      <c r="B26" s="3449" t="s">
        <v>3389</v>
      </c>
      <c r="C26" s="3449" t="s">
        <v>2477</v>
      </c>
      <c r="D26" s="3449">
        <v>245856.23</v>
      </c>
      <c r="E26" s="3449">
        <v>368784.35</v>
      </c>
      <c r="F26" s="3449" t="s">
        <v>3410</v>
      </c>
      <c r="G26" s="3449" t="s">
        <v>3417</v>
      </c>
      <c r="H26" s="3449" t="s">
        <v>2477</v>
      </c>
      <c r="I26" s="3449">
        <v>0</v>
      </c>
      <c r="J26" s="3449" t="s">
        <v>3416</v>
      </c>
      <c r="K26" s="3449" t="s">
        <v>3416</v>
      </c>
      <c r="L26" s="3449">
        <v>18440</v>
      </c>
      <c r="M26" s="3449">
        <v>18440</v>
      </c>
      <c r="N26" s="3449">
        <v>50</v>
      </c>
      <c r="O26" s="3449">
        <v>500.02</v>
      </c>
      <c r="P26" s="3449">
        <v>0</v>
      </c>
      <c r="Q26" s="3449" t="s">
        <v>3422</v>
      </c>
    </row>
    <row r="27" spans="1:17">
      <c r="A27" s="3449" t="s">
        <v>3407</v>
      </c>
      <c r="B27" s="3449" t="s">
        <v>3389</v>
      </c>
      <c r="C27" s="3449" t="s">
        <v>2477</v>
      </c>
      <c r="D27" s="3449">
        <v>19749.41</v>
      </c>
      <c r="E27" s="3449">
        <v>39498.82</v>
      </c>
      <c r="F27" s="3449" t="s">
        <v>3406</v>
      </c>
      <c r="G27" s="3449" t="s">
        <v>3417</v>
      </c>
      <c r="H27" s="3449" t="s">
        <v>2481</v>
      </c>
      <c r="I27" s="3449">
        <v>0</v>
      </c>
      <c r="J27" s="3449" t="s">
        <v>3416</v>
      </c>
      <c r="K27" s="3449" t="s">
        <v>3416</v>
      </c>
      <c r="L27" s="3449">
        <v>1090</v>
      </c>
      <c r="M27" s="3449">
        <v>1090</v>
      </c>
      <c r="N27" s="3449">
        <v>36.79</v>
      </c>
      <c r="O27" s="3449">
        <v>275.95999999999998</v>
      </c>
      <c r="P27" s="3449">
        <v>0</v>
      </c>
      <c r="Q27" s="3449" t="s">
        <v>3404</v>
      </c>
    </row>
    <row r="28" spans="1:17">
      <c r="A28" s="3449" t="s">
        <v>3421</v>
      </c>
      <c r="B28" s="3449" t="s">
        <v>3389</v>
      </c>
      <c r="C28" s="3449" t="s">
        <v>2477</v>
      </c>
      <c r="D28" s="3449">
        <v>39315.339999999997</v>
      </c>
      <c r="E28" s="3449">
        <v>78630.679999999993</v>
      </c>
      <c r="F28" s="3449" t="s">
        <v>3406</v>
      </c>
      <c r="G28" s="3449" t="s">
        <v>3417</v>
      </c>
      <c r="H28" s="3449" t="s">
        <v>2477</v>
      </c>
      <c r="I28" s="3449">
        <v>0</v>
      </c>
      <c r="J28" s="3449" t="s">
        <v>3416</v>
      </c>
      <c r="K28" s="3449" t="s">
        <v>3416</v>
      </c>
      <c r="L28" s="3449">
        <v>2085</v>
      </c>
      <c r="M28" s="3449">
        <v>2085</v>
      </c>
      <c r="N28" s="3449">
        <v>35.36</v>
      </c>
      <c r="O28" s="3449">
        <v>265.16000000000003</v>
      </c>
      <c r="P28" s="3449">
        <v>0</v>
      </c>
      <c r="Q28" s="3449" t="s">
        <v>3420</v>
      </c>
    </row>
    <row r="29" spans="1:17">
      <c r="A29" s="3449" t="s">
        <v>3419</v>
      </c>
      <c r="B29" s="3449" t="s">
        <v>3389</v>
      </c>
      <c r="C29" s="3449" t="s">
        <v>2477</v>
      </c>
      <c r="D29" s="3449">
        <v>16713.330000000002</v>
      </c>
      <c r="E29" s="3449">
        <v>33426.660000000003</v>
      </c>
      <c r="F29" s="3449" t="s">
        <v>3418</v>
      </c>
      <c r="G29" s="3449" t="s">
        <v>3417</v>
      </c>
      <c r="H29" s="3449" t="s">
        <v>2481</v>
      </c>
      <c r="I29" s="3449">
        <v>0</v>
      </c>
      <c r="J29" s="3449" t="s">
        <v>3416</v>
      </c>
      <c r="K29" s="3449" t="s">
        <v>3416</v>
      </c>
      <c r="L29" s="3449">
        <v>778</v>
      </c>
      <c r="M29" s="3449">
        <v>778</v>
      </c>
      <c r="N29" s="3449">
        <v>31.03</v>
      </c>
      <c r="O29" s="3449">
        <v>232.75</v>
      </c>
      <c r="P29" s="3449">
        <v>0</v>
      </c>
      <c r="Q29" s="3449" t="s">
        <v>3415</v>
      </c>
    </row>
    <row r="30" spans="1:17">
      <c r="A30" s="3449" t="s">
        <v>3414</v>
      </c>
      <c r="B30" s="3449" t="s">
        <v>3389</v>
      </c>
      <c r="C30" s="3449" t="s">
        <v>2477</v>
      </c>
      <c r="D30" s="3449">
        <v>33363.07</v>
      </c>
      <c r="E30" s="3449">
        <v>50044.61</v>
      </c>
      <c r="F30" s="3449" t="s">
        <v>3410</v>
      </c>
      <c r="G30" s="3449" t="s">
        <v>3387</v>
      </c>
      <c r="H30" s="3449" t="s">
        <v>2477</v>
      </c>
      <c r="I30" s="3449">
        <v>0</v>
      </c>
      <c r="J30" s="3449" t="s">
        <v>3413</v>
      </c>
      <c r="K30" s="3449" t="s">
        <v>3413</v>
      </c>
      <c r="L30" s="3449">
        <v>2502</v>
      </c>
      <c r="M30" s="3449">
        <v>2512</v>
      </c>
      <c r="N30" s="3449">
        <v>50.2</v>
      </c>
      <c r="O30" s="3449">
        <v>501.95</v>
      </c>
      <c r="P30" s="3449">
        <v>0.4</v>
      </c>
      <c r="Q30" s="3449" t="s">
        <v>3412</v>
      </c>
    </row>
    <row r="31" spans="1:17">
      <c r="A31" s="3449" t="s">
        <v>3411</v>
      </c>
      <c r="B31" s="3449" t="s">
        <v>3389</v>
      </c>
      <c r="C31" s="3449" t="s">
        <v>2477</v>
      </c>
      <c r="D31" s="3449">
        <v>4807.28</v>
      </c>
      <c r="E31" s="3449">
        <v>7210.92</v>
      </c>
      <c r="F31" s="3449" t="s">
        <v>3410</v>
      </c>
      <c r="G31" s="3449" t="s">
        <v>3387</v>
      </c>
      <c r="H31" s="3449" t="s">
        <v>2477</v>
      </c>
      <c r="I31" s="3449">
        <v>0</v>
      </c>
      <c r="J31" s="3449" t="s">
        <v>3409</v>
      </c>
      <c r="K31" s="3449" t="s">
        <v>3409</v>
      </c>
      <c r="L31" s="3449">
        <v>361</v>
      </c>
      <c r="M31" s="3449">
        <v>371</v>
      </c>
      <c r="N31" s="3449">
        <v>51.45</v>
      </c>
      <c r="O31" s="3449">
        <v>514.5</v>
      </c>
      <c r="P31" s="3449">
        <v>2.77</v>
      </c>
      <c r="Q31" s="3449" t="s">
        <v>3408</v>
      </c>
    </row>
    <row r="32" spans="1:17">
      <c r="A32" s="3449" t="s">
        <v>3407</v>
      </c>
      <c r="B32" s="3449" t="s">
        <v>3389</v>
      </c>
      <c r="C32" s="3449" t="s">
        <v>2477</v>
      </c>
      <c r="D32" s="3449">
        <v>16406.82</v>
      </c>
      <c r="E32" s="3449">
        <v>32813.64</v>
      </c>
      <c r="F32" s="3449" t="s">
        <v>3406</v>
      </c>
      <c r="G32" s="3449" t="s">
        <v>3387</v>
      </c>
      <c r="H32" s="3449" t="s">
        <v>2481</v>
      </c>
      <c r="I32" s="3449">
        <v>0</v>
      </c>
      <c r="J32" s="3449" t="s">
        <v>3405</v>
      </c>
      <c r="K32" s="3449" t="s">
        <v>3405</v>
      </c>
      <c r="L32" s="3449">
        <v>1047.1500000000001</v>
      </c>
      <c r="M32" s="3449">
        <v>1057.1500000000001</v>
      </c>
      <c r="N32" s="3449">
        <v>42.96</v>
      </c>
      <c r="O32" s="3449">
        <v>322.17</v>
      </c>
      <c r="P32" s="3449">
        <v>0.95</v>
      </c>
      <c r="Q32" s="3449" t="s">
        <v>3404</v>
      </c>
    </row>
    <row r="33" spans="1:17">
      <c r="A33" s="3449" t="s">
        <v>3407</v>
      </c>
      <c r="B33" s="3449" t="s">
        <v>3389</v>
      </c>
      <c r="C33" s="3449" t="s">
        <v>2477</v>
      </c>
      <c r="D33" s="3449">
        <v>38470.449999999997</v>
      </c>
      <c r="E33" s="3449">
        <v>76940.899999999994</v>
      </c>
      <c r="F33" s="3449" t="s">
        <v>3406</v>
      </c>
      <c r="G33" s="3449" t="s">
        <v>3387</v>
      </c>
      <c r="H33" s="3449" t="s">
        <v>2481</v>
      </c>
      <c r="I33" s="3449">
        <v>0</v>
      </c>
      <c r="J33" s="3449" t="s">
        <v>3405</v>
      </c>
      <c r="K33" s="3449" t="s">
        <v>3405</v>
      </c>
      <c r="L33" s="3449">
        <v>3016.62</v>
      </c>
      <c r="M33" s="3449">
        <v>3026.62</v>
      </c>
      <c r="N33" s="3449">
        <v>52.45</v>
      </c>
      <c r="O33" s="3449">
        <v>393.37</v>
      </c>
      <c r="P33" s="3449">
        <v>0.33</v>
      </c>
      <c r="Q33" s="3449" t="s">
        <v>3404</v>
      </c>
    </row>
    <row r="34" spans="1:17">
      <c r="A34" s="3449" t="s">
        <v>3396</v>
      </c>
      <c r="B34" s="3449" t="s">
        <v>3389</v>
      </c>
      <c r="C34" s="3449" t="s">
        <v>2477</v>
      </c>
      <c r="D34" s="3449">
        <v>15107.8</v>
      </c>
      <c r="E34" s="3449">
        <v>24172.48</v>
      </c>
      <c r="F34" s="3449" t="s">
        <v>3403</v>
      </c>
      <c r="G34" s="3449" t="s">
        <v>3387</v>
      </c>
      <c r="H34" s="3449" t="s">
        <v>2477</v>
      </c>
      <c r="I34" s="3449">
        <v>0</v>
      </c>
      <c r="J34" s="3449" t="s">
        <v>3402</v>
      </c>
      <c r="K34" s="3449" t="s">
        <v>3402</v>
      </c>
      <c r="L34" s="3449">
        <v>1359.6</v>
      </c>
      <c r="M34" s="3449">
        <v>1369.6</v>
      </c>
      <c r="N34" s="3449">
        <v>60.44</v>
      </c>
      <c r="O34" s="3449">
        <v>566.59</v>
      </c>
      <c r="P34" s="3449">
        <v>0.74</v>
      </c>
      <c r="Q34" s="3449" t="s">
        <v>3401</v>
      </c>
    </row>
    <row r="35" spans="1:17">
      <c r="A35" s="3449" t="s">
        <v>3400</v>
      </c>
      <c r="B35" s="3449" t="s">
        <v>3389</v>
      </c>
      <c r="C35" s="3449" t="s">
        <v>2477</v>
      </c>
      <c r="D35" s="3449">
        <v>4749.5200000000004</v>
      </c>
      <c r="E35" s="3449">
        <v>5699.42</v>
      </c>
      <c r="F35" s="3449" t="s">
        <v>3399</v>
      </c>
      <c r="G35" s="3449" t="s">
        <v>3387</v>
      </c>
      <c r="H35" s="3449" t="s">
        <v>2477</v>
      </c>
      <c r="I35" s="3449">
        <v>0</v>
      </c>
      <c r="J35" s="3449" t="s">
        <v>3398</v>
      </c>
      <c r="K35" s="3449" t="s">
        <v>3398</v>
      </c>
      <c r="L35" s="3449">
        <v>284.8</v>
      </c>
      <c r="M35" s="3449">
        <v>294.8</v>
      </c>
      <c r="N35" s="3449">
        <v>41.38</v>
      </c>
      <c r="O35" s="3449">
        <v>517.25</v>
      </c>
      <c r="P35" s="3449">
        <v>3.51</v>
      </c>
      <c r="Q35" s="3449" t="s">
        <v>3397</v>
      </c>
    </row>
    <row r="36" spans="1:17">
      <c r="A36" s="3449" t="s">
        <v>3400</v>
      </c>
      <c r="B36" s="3449" t="s">
        <v>3389</v>
      </c>
      <c r="C36" s="3449" t="s">
        <v>2477</v>
      </c>
      <c r="D36" s="3449">
        <v>7519.62</v>
      </c>
      <c r="E36" s="3449">
        <v>9023.5400000000009</v>
      </c>
      <c r="F36" s="3449" t="s">
        <v>3399</v>
      </c>
      <c r="G36" s="3449" t="s">
        <v>3387</v>
      </c>
      <c r="H36" s="3449" t="s">
        <v>2477</v>
      </c>
      <c r="I36" s="3449">
        <v>0</v>
      </c>
      <c r="J36" s="3449" t="s">
        <v>3398</v>
      </c>
      <c r="K36" s="3449" t="s">
        <v>3398</v>
      </c>
      <c r="L36" s="3449">
        <v>532.36</v>
      </c>
      <c r="M36" s="3449">
        <v>542.36</v>
      </c>
      <c r="N36" s="3449">
        <v>48.08</v>
      </c>
      <c r="O36" s="3449">
        <v>601.04999999999995</v>
      </c>
      <c r="P36" s="3449">
        <v>1.88</v>
      </c>
      <c r="Q36" s="3449" t="s">
        <v>3397</v>
      </c>
    </row>
    <row r="37" spans="1:17">
      <c r="A37" s="3449" t="s">
        <v>3396</v>
      </c>
      <c r="B37" s="3449" t="s">
        <v>3389</v>
      </c>
      <c r="C37" s="3449" t="s">
        <v>2477</v>
      </c>
      <c r="D37" s="3449">
        <v>26666.68</v>
      </c>
      <c r="E37" s="3449">
        <v>42666.69</v>
      </c>
      <c r="F37" s="3449" t="s">
        <v>3395</v>
      </c>
      <c r="G37" s="3449" t="s">
        <v>3387</v>
      </c>
      <c r="H37" s="3449" t="s">
        <v>2477</v>
      </c>
      <c r="I37" s="3449">
        <v>0</v>
      </c>
      <c r="J37" s="3449" t="s">
        <v>3392</v>
      </c>
      <c r="K37" s="3449" t="s">
        <v>3392</v>
      </c>
      <c r="L37" s="3449">
        <v>2400</v>
      </c>
      <c r="M37" s="3449">
        <v>2410</v>
      </c>
      <c r="N37" s="3449">
        <v>60.25</v>
      </c>
      <c r="O37" s="3449">
        <v>564.84</v>
      </c>
      <c r="P37" s="3449">
        <v>0.42</v>
      </c>
      <c r="Q37" s="3449" t="s">
        <v>3394</v>
      </c>
    </row>
    <row r="38" spans="1:17">
      <c r="A38" s="3449" t="s">
        <v>3393</v>
      </c>
      <c r="B38" s="3449" t="s">
        <v>3389</v>
      </c>
      <c r="C38" s="3449" t="s">
        <v>2477</v>
      </c>
      <c r="D38" s="3449">
        <v>57199.92</v>
      </c>
      <c r="E38" s="3449">
        <v>114399.84</v>
      </c>
      <c r="F38" s="3449" t="s">
        <v>3388</v>
      </c>
      <c r="G38" s="3449" t="s">
        <v>3387</v>
      </c>
      <c r="H38" s="3449" t="s">
        <v>2477</v>
      </c>
      <c r="I38" s="3449">
        <v>0</v>
      </c>
      <c r="J38" s="3449" t="s">
        <v>3392</v>
      </c>
      <c r="K38" s="3449" t="s">
        <v>3392</v>
      </c>
      <c r="L38" s="3449">
        <v>4290</v>
      </c>
      <c r="M38" s="3449">
        <v>4300</v>
      </c>
      <c r="N38" s="3449">
        <v>50.12</v>
      </c>
      <c r="O38" s="3449">
        <v>375.87</v>
      </c>
      <c r="P38" s="3449">
        <v>0.23</v>
      </c>
      <c r="Q38" s="3449" t="s">
        <v>3391</v>
      </c>
    </row>
    <row r="39" spans="1:17">
      <c r="A39" s="3449" t="s">
        <v>3390</v>
      </c>
      <c r="B39" s="3449" t="s">
        <v>3389</v>
      </c>
      <c r="C39" s="3449" t="s">
        <v>2477</v>
      </c>
      <c r="D39" s="3449">
        <v>6228.01</v>
      </c>
      <c r="E39" s="3449">
        <v>12456.02</v>
      </c>
      <c r="F39" s="3449" t="s">
        <v>3388</v>
      </c>
      <c r="G39" s="3449" t="s">
        <v>3387</v>
      </c>
      <c r="H39" s="3449" t="s">
        <v>2477</v>
      </c>
      <c r="I39" s="3449">
        <v>0</v>
      </c>
      <c r="J39" s="3449" t="s">
        <v>3386</v>
      </c>
      <c r="K39" s="3449" t="s">
        <v>3386</v>
      </c>
      <c r="L39" s="3449">
        <v>526.45000000000005</v>
      </c>
      <c r="M39" s="3449">
        <v>536.45000000000005</v>
      </c>
      <c r="N39" s="3449">
        <v>57.42</v>
      </c>
      <c r="O39" s="3449">
        <v>430.68</v>
      </c>
      <c r="P39" s="3449">
        <v>1.9</v>
      </c>
      <c r="Q39" s="3449" t="s">
        <v>3385</v>
      </c>
    </row>
  </sheetData>
  <phoneticPr fontId="134" type="noConversion"/>
  <pageMargins left="0.75" right="0.75" top="1" bottom="1" header="0.5" footer="0.5"/>
  <pageSetup orientation="portrait" horizontalDpi="300" verticalDpi="300"/>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926</v>
      </c>
      <c r="B2" s="3479" t="s">
        <v>927</v>
      </c>
      <c r="C2" s="3479" t="s">
        <v>928</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80"/>
      <c r="B3" s="3480"/>
      <c r="C3" s="3480"/>
      <c r="D3" s="854" t="s">
        <v>923</v>
      </c>
      <c r="E3" s="854" t="s">
        <v>929</v>
      </c>
      <c r="F3" s="854" t="s">
        <v>923</v>
      </c>
      <c r="G3" s="854" t="s">
        <v>924</v>
      </c>
      <c r="H3" s="854" t="s">
        <v>923</v>
      </c>
      <c r="I3" s="854" t="s">
        <v>924</v>
      </c>
    </row>
    <row r="4" spans="1:9" ht="15">
      <c r="A4" s="1505" t="str">
        <f>项目基本情况!S2</f>
        <v>房地产</v>
      </c>
      <c r="B4" s="854">
        <f>项目基本情况!C17</f>
        <v>8390.83</v>
      </c>
      <c r="C4" s="854">
        <f>项目基本情况!C18</f>
        <v>5753.84</v>
      </c>
      <c r="D4" s="854">
        <f ca="1">结果表!D118</f>
        <v>613</v>
      </c>
      <c r="E4" s="854">
        <f ca="1">结果表!E118</f>
        <v>731</v>
      </c>
      <c r="F4" s="854">
        <f ca="1">结果表!F118</f>
        <v>2078</v>
      </c>
      <c r="G4" s="854">
        <f ca="1">结果表!G118</f>
        <v>2476</v>
      </c>
      <c r="H4" s="854">
        <f ca="1">结果表!H118</f>
        <v>2691</v>
      </c>
      <c r="I4" s="854">
        <f ca="1">结果表!I118</f>
        <v>3207</v>
      </c>
    </row>
    <row r="5" spans="1:9" ht="30" customHeight="1">
      <c r="A5" s="3480" t="s">
        <v>925</v>
      </c>
      <c r="B5" s="3480"/>
      <c r="C5" s="3480"/>
      <c r="D5" s="3480" t="str">
        <f ca="1">结果表!D119</f>
        <v>陆佰壹拾叁万元整</v>
      </c>
      <c r="E5" s="3480"/>
      <c r="F5" s="3480" t="str">
        <f ca="1">结果表!F119</f>
        <v>贰仟零柒拾捌万元整</v>
      </c>
      <c r="G5" s="3480"/>
      <c r="H5" s="3480" t="str">
        <f ca="1">结果表!H119</f>
        <v>贰仟陆佰玖拾壹万元整</v>
      </c>
      <c r="I5" s="3480"/>
    </row>
    <row r="6" spans="1:9" ht="15.75">
      <c r="A6" s="3481" t="str">
        <f>结果表!A120</f>
        <v>估价师知悉的法定优先受偿款</v>
      </c>
      <c r="B6" s="3481"/>
      <c r="C6" s="3481"/>
      <c r="D6" s="3481">
        <f>结果表!D120</f>
        <v>0</v>
      </c>
      <c r="E6" s="3481"/>
      <c r="F6" s="3481"/>
      <c r="G6" s="3481"/>
      <c r="H6" s="3481"/>
      <c r="I6" s="3481"/>
    </row>
    <row r="7" spans="1:9" ht="15">
      <c r="A7" s="3480" t="s">
        <v>925</v>
      </c>
      <c r="B7" s="3480"/>
      <c r="C7" s="3480"/>
      <c r="D7" s="3482" t="str">
        <f>结果表!D121</f>
        <v>零元整</v>
      </c>
      <c r="E7" s="3483"/>
      <c r="F7" s="3483"/>
      <c r="G7" s="3483"/>
      <c r="H7" s="3483"/>
      <c r="I7" s="3484"/>
    </row>
    <row r="8" spans="1:9" ht="15.75">
      <c r="A8" s="3481" t="str">
        <f>结果表!A122</f>
        <v>房地产抵押价值</v>
      </c>
      <c r="B8" s="3481"/>
      <c r="C8" s="3481"/>
      <c r="D8" s="3481">
        <f ca="1">结果表!D122</f>
        <v>2691</v>
      </c>
      <c r="E8" s="3481"/>
      <c r="F8" s="3481"/>
      <c r="G8" s="3481"/>
      <c r="H8" s="3481"/>
      <c r="I8" s="3481"/>
    </row>
    <row r="9" spans="1:9" ht="15">
      <c r="A9" s="3480" t="s">
        <v>925</v>
      </c>
      <c r="B9" s="3480"/>
      <c r="C9" s="3480"/>
      <c r="D9" s="3480" t="str">
        <f ca="1">结果表!D123</f>
        <v>贰仟陆佰玖拾壹万元整</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925</v>
      </c>
      <c r="B11" s="3480"/>
      <c r="C11" s="3480"/>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75" thickBot="1">
      <c r="A13" s="3485" t="s">
        <v>925</v>
      </c>
      <c r="B13" s="3485"/>
      <c r="C13" s="3485"/>
      <c r="D13" s="3485" t="e">
        <f>结果表!D127</f>
        <v>#VALUE!</v>
      </c>
      <c r="E13" s="3485"/>
      <c r="F13" s="3485"/>
      <c r="G13" s="3485"/>
      <c r="H13" s="3485"/>
      <c r="I13" s="3485"/>
    </row>
    <row r="14" spans="1:9" ht="15" thickTop="1">
      <c r="A14" s="3486" t="s">
        <v>930</v>
      </c>
      <c r="B14" s="3486"/>
      <c r="C14" s="3486"/>
      <c r="D14" s="3486"/>
      <c r="E14" s="3486"/>
      <c r="F14" s="3486"/>
      <c r="G14" s="3486"/>
      <c r="H14" s="3486"/>
      <c r="I14" s="3486"/>
    </row>
    <row r="16" spans="1:9" ht="18.75">
      <c r="A16" s="1506" t="s">
        <v>913</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947</v>
      </c>
      <c r="B1" s="3487"/>
      <c r="C1" s="3487"/>
      <c r="D1" s="3487"/>
    </row>
    <row r="2" spans="1:4" ht="18">
      <c r="A2" s="3488" t="s">
        <v>931</v>
      </c>
      <c r="B2" s="3488"/>
      <c r="C2" s="3488"/>
      <c r="D2" s="3488"/>
    </row>
    <row r="3" spans="1:4" ht="18.75">
      <c r="A3" s="1509" t="s">
        <v>932</v>
      </c>
      <c r="B3" s="1509" t="s">
        <v>933</v>
      </c>
      <c r="C3" s="1509" t="s">
        <v>934</v>
      </c>
      <c r="D3" s="1509" t="s">
        <v>935</v>
      </c>
    </row>
    <row r="4" spans="1:4" ht="56.25" customHeight="1">
      <c r="A4" s="1510">
        <f>项目基本情况!B4</f>
        <v>0</v>
      </c>
      <c r="B4" s="1511">
        <f>项目基本情况!C4</f>
        <v>0</v>
      </c>
      <c r="C4" s="1512"/>
      <c r="D4" s="1513" t="s">
        <v>936</v>
      </c>
    </row>
    <row r="5" spans="1:4" ht="56.25" customHeight="1">
      <c r="A5" s="1510">
        <f>项目基本情况!D4</f>
        <v>0</v>
      </c>
      <c r="B5" s="1511">
        <f>项目基本情况!E4</f>
        <v>0</v>
      </c>
      <c r="C5" s="1514"/>
      <c r="D5" s="1513" t="s">
        <v>936</v>
      </c>
    </row>
    <row r="6" spans="1:4" ht="18">
      <c r="A6" s="3488" t="s">
        <v>937</v>
      </c>
      <c r="B6" s="3488"/>
      <c r="C6" s="3488"/>
      <c r="D6" s="3488"/>
    </row>
    <row r="7" spans="1:4" ht="18.75">
      <c r="A7" s="1509" t="s">
        <v>932</v>
      </c>
      <c r="B7" s="1511" t="s">
        <v>938</v>
      </c>
      <c r="C7" s="1509" t="s">
        <v>934</v>
      </c>
      <c r="D7" s="1509" t="s">
        <v>935</v>
      </c>
    </row>
    <row r="8" spans="1:4" ht="56.25" customHeight="1">
      <c r="A8" s="1515" t="s">
        <v>390</v>
      </c>
      <c r="B8" s="1515" t="s">
        <v>0</v>
      </c>
      <c r="C8" s="1512"/>
      <c r="D8" s="1513" t="s">
        <v>936</v>
      </c>
    </row>
    <row r="9" spans="1:4">
      <c r="A9" s="675"/>
      <c r="B9" s="675"/>
      <c r="C9" s="675"/>
      <c r="D9" s="675"/>
    </row>
    <row r="10" spans="1:4" ht="18.75">
      <c r="A10" s="1516" t="s">
        <v>939</v>
      </c>
      <c r="B10" s="675"/>
      <c r="C10" s="675"/>
      <c r="D10" s="675"/>
    </row>
    <row r="11" spans="1:4" ht="30" customHeight="1">
      <c r="A11" s="3489" t="s">
        <v>940</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90" t="str">
        <f>IF(项目基本情况!B8="抵押","4.本次评估估价师所知悉的法定优先受偿款情况说明如下：","——")</f>
        <v>4.本次评估估价师所知悉的法定优先受偿款情况说明如下：</v>
      </c>
      <c r="B14" s="3491"/>
      <c r="C14" s="3491"/>
      <c r="D14" s="3491"/>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3" t="s">
        <v>941</v>
      </c>
      <c r="B16" s="3493"/>
      <c r="C16" s="3493"/>
      <c r="D16" s="3493"/>
    </row>
    <row r="17" spans="1:4" ht="144" customHeight="1">
      <c r="A17" s="3493" t="s">
        <v>942</v>
      </c>
      <c r="B17" s="3493"/>
      <c r="C17" s="3493"/>
      <c r="D17" s="3493"/>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4"/>
      <c r="C21" s="3494"/>
      <c r="D21" s="3494"/>
    </row>
    <row r="22" spans="1:4" ht="18.75" customHeight="1">
      <c r="A22" s="3495" t="s">
        <v>943</v>
      </c>
      <c r="B22" s="3495"/>
      <c r="C22" s="3495"/>
      <c r="D22" s="3495"/>
    </row>
    <row r="23" spans="1:4">
      <c r="A23" s="1517"/>
      <c r="B23" s="1489"/>
      <c r="C23" s="1489"/>
      <c r="D23" s="1489"/>
    </row>
    <row r="24" spans="1:4">
      <c r="A24" s="1517"/>
      <c r="B24" s="1489"/>
      <c r="C24" s="1489"/>
      <c r="D24" s="1489"/>
    </row>
    <row r="25" spans="1:4" ht="18.75">
      <c r="A25" s="1518" t="s">
        <v>944</v>
      </c>
    </row>
    <row r="26" spans="1:4" ht="18">
      <c r="A26" s="1487"/>
    </row>
    <row r="27" spans="1:4" ht="18.75">
      <c r="A27" s="1487" t="s">
        <v>945</v>
      </c>
    </row>
    <row r="30" spans="1:4" ht="18.75">
      <c r="D30" s="1518" t="s">
        <v>946</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948</v>
      </c>
    </row>
    <row r="3" spans="1:7">
      <c r="A3" s="1523" t="s">
        <v>55</v>
      </c>
      <c r="B3" s="1507" t="s">
        <v>949</v>
      </c>
      <c r="G3" s="1524"/>
    </row>
    <row r="4" spans="1:7">
      <c r="G4" s="1524"/>
    </row>
    <row r="5" spans="1:7">
      <c r="A5" s="1526" t="s">
        <v>46</v>
      </c>
      <c r="B5" s="1507" t="s">
        <v>950</v>
      </c>
      <c r="G5" s="1524"/>
    </row>
    <row r="6" spans="1:7">
      <c r="G6" s="1524"/>
    </row>
    <row r="7" spans="1:7">
      <c r="A7" s="1527" t="s">
        <v>108</v>
      </c>
      <c r="B7" s="1507" t="s">
        <v>951</v>
      </c>
      <c r="G7" s="1524"/>
    </row>
    <row r="8" spans="1:7">
      <c r="G8" s="1524"/>
    </row>
    <row r="9" spans="1:7">
      <c r="A9" s="1528" t="s">
        <v>47</v>
      </c>
      <c r="B9" s="1507" t="s">
        <v>952</v>
      </c>
    </row>
    <row r="11" spans="1:7">
      <c r="A11" s="1529" t="s">
        <v>48</v>
      </c>
      <c r="B11" s="1530" t="s">
        <v>45</v>
      </c>
    </row>
    <row r="13" spans="1:7">
      <c r="A13" s="1531" t="s">
        <v>953</v>
      </c>
    </row>
    <row r="15" spans="1:7" ht="13.5">
      <c r="A15" s="3501" t="s">
        <v>954</v>
      </c>
      <c r="B15" s="3496" t="s">
        <v>109</v>
      </c>
      <c r="C15" s="3497"/>
    </row>
    <row r="16" spans="1:7" ht="13.5">
      <c r="A16" s="3502"/>
      <c r="B16" s="3496" t="s">
        <v>42</v>
      </c>
      <c r="C16" s="3497"/>
    </row>
    <row r="17" spans="1:3" ht="13.5">
      <c r="A17" s="3502"/>
      <c r="B17" s="3499" t="s">
        <v>955</v>
      </c>
      <c r="C17" s="1532" t="s">
        <v>954</v>
      </c>
    </row>
    <row r="18" spans="1:3" ht="13.5">
      <c r="A18" s="3502"/>
      <c r="B18" s="3499"/>
      <c r="C18" s="1532" t="s">
        <v>956</v>
      </c>
    </row>
    <row r="19" spans="1:3" ht="13.5">
      <c r="A19" s="3502"/>
      <c r="B19" s="3499"/>
      <c r="C19" s="1532" t="s">
        <v>957</v>
      </c>
    </row>
    <row r="20" spans="1:3" ht="13.5">
      <c r="A20" s="3503"/>
      <c r="B20" s="3498" t="s">
        <v>958</v>
      </c>
      <c r="C20" s="3497"/>
    </row>
    <row r="21" spans="1:3" ht="13.5">
      <c r="A21" s="1533" t="s">
        <v>959</v>
      </c>
      <c r="B21" s="1534"/>
      <c r="C21" s="1535"/>
    </row>
    <row r="22" spans="1:3" ht="13.5">
      <c r="A22" s="3500" t="s">
        <v>960</v>
      </c>
      <c r="B22" s="3498" t="s">
        <v>961</v>
      </c>
      <c r="C22" s="3497"/>
    </row>
    <row r="23" spans="1:3" ht="13.5">
      <c r="A23" s="3500"/>
      <c r="B23" s="3498" t="s">
        <v>962</v>
      </c>
      <c r="C23" s="3497"/>
    </row>
    <row r="24" spans="1:3" ht="13.5">
      <c r="A24" s="3500"/>
      <c r="B24" s="3498" t="s">
        <v>963</v>
      </c>
      <c r="C24" s="3497"/>
    </row>
    <row r="25" spans="1:3" ht="13.5">
      <c r="A25" s="3500"/>
      <c r="B25" s="3499" t="s">
        <v>964</v>
      </c>
      <c r="C25" s="1532" t="s">
        <v>965</v>
      </c>
    </row>
    <row r="26" spans="1:3" ht="13.5">
      <c r="A26" s="3500"/>
      <c r="B26" s="3499"/>
      <c r="C26" s="1532" t="s">
        <v>966</v>
      </c>
    </row>
    <row r="27" spans="1:3" ht="13.5">
      <c r="A27" s="3500"/>
      <c r="B27" s="3499"/>
      <c r="C27" s="1532" t="s">
        <v>967</v>
      </c>
    </row>
    <row r="28" spans="1:3" ht="13.5">
      <c r="A28" s="3500"/>
      <c r="B28" s="3499"/>
      <c r="C28" s="1532" t="s">
        <v>968</v>
      </c>
    </row>
    <row r="29" spans="1:3" ht="13.5">
      <c r="A29" s="3500"/>
      <c r="B29" s="3499"/>
      <c r="C29" s="1532" t="s">
        <v>969</v>
      </c>
    </row>
    <row r="30" spans="1:3" ht="13.5">
      <c r="A30" s="3500"/>
      <c r="B30" s="3499"/>
      <c r="C30" s="1532" t="s">
        <v>970</v>
      </c>
    </row>
    <row r="31" spans="1:3" ht="13.5">
      <c r="A31" s="3500"/>
      <c r="B31" s="3499"/>
      <c r="C31" s="1532" t="s">
        <v>971</v>
      </c>
    </row>
    <row r="32" spans="1:3" ht="13.5">
      <c r="A32" s="3500"/>
      <c r="B32" s="3499"/>
      <c r="C32" s="1532" t="s">
        <v>972</v>
      </c>
    </row>
    <row r="33" spans="1:3" ht="13.5">
      <c r="A33" s="3500"/>
      <c r="B33" s="3499"/>
      <c r="C33" s="1532" t="s">
        <v>973</v>
      </c>
    </row>
    <row r="34" spans="1:3">
      <c r="A34" s="1536" t="s">
        <v>49</v>
      </c>
    </row>
    <row r="37" spans="1:3">
      <c r="A37" s="1536" t="s">
        <v>974</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1" sqref="B11"/>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2135</v>
      </c>
      <c r="B2" s="2339">
        <f ca="1">TODAY()</f>
        <v>45281</v>
      </c>
      <c r="C2" s="2340" t="s">
        <v>2136</v>
      </c>
      <c r="D2" s="2340"/>
      <c r="E2" s="2340"/>
      <c r="F2" s="2336"/>
      <c r="G2" s="2336"/>
      <c r="H2" s="2336"/>
    </row>
    <row r="3" spans="1:8" ht="24" customHeight="1">
      <c r="A3" s="2341" t="s">
        <v>2137</v>
      </c>
      <c r="B3" s="2342" t="s">
        <v>2138</v>
      </c>
      <c r="C3" s="2342" t="s">
        <v>2139</v>
      </c>
      <c r="D3" s="2343" t="s">
        <v>2140</v>
      </c>
      <c r="E3" s="2344" t="s">
        <v>2141</v>
      </c>
      <c r="F3" s="1304" t="s">
        <v>2142</v>
      </c>
      <c r="G3" s="2342" t="s">
        <v>2139</v>
      </c>
      <c r="H3" s="2343" t="s">
        <v>2143</v>
      </c>
    </row>
    <row r="4" spans="1:8" ht="24" customHeight="1">
      <c r="A4" s="1304" t="s">
        <v>2144</v>
      </c>
      <c r="B4" s="1304">
        <f ca="1">IF(C4&lt;B2,"已过期",1119970066)</f>
        <v>1119970066</v>
      </c>
      <c r="C4" s="2345">
        <v>45937</v>
      </c>
      <c r="D4" s="2346" t="str">
        <f ca="1">A4&amp;"（注册号："&amp;B4&amp;"）"</f>
        <v>梁津（注册号：1119970066）</v>
      </c>
      <c r="E4" s="2347" t="s">
        <v>2144</v>
      </c>
      <c r="F4" s="1304">
        <f ca="1">IF(G4&lt;B2,"已过期",96010014)</f>
        <v>96010014</v>
      </c>
      <c r="G4" s="2348">
        <v>47118</v>
      </c>
      <c r="H4" s="2349" t="str">
        <f ca="1">E4&amp;"（注册号："&amp;F4&amp;"）"</f>
        <v>梁津（注册号：96010014）</v>
      </c>
    </row>
    <row r="5" spans="1:8" ht="24" customHeight="1">
      <c r="A5" s="1304" t="s">
        <v>2145</v>
      </c>
      <c r="B5" s="1304">
        <f ca="1">IF(C5&lt;B2,"已过期",1119970111)</f>
        <v>1119970111</v>
      </c>
      <c r="C5" s="2345">
        <v>45937</v>
      </c>
      <c r="D5" s="2346" t="str">
        <f t="shared" ref="D5:D15" ca="1" si="0">A5&amp;"（注册号："&amp;B5&amp;"）"</f>
        <v>叶凌（注册号：1119970111）</v>
      </c>
      <c r="E5" s="2347" t="s">
        <v>2145</v>
      </c>
      <c r="F5" s="1304">
        <f ca="1">IF(G5&lt;B2,"已过期",94010078)</f>
        <v>94010078</v>
      </c>
      <c r="G5" s="2348">
        <v>46387</v>
      </c>
      <c r="H5" s="2349" t="str">
        <f t="shared" ref="H5:H16" ca="1" si="1">E5&amp;"（注册号："&amp;F5&amp;"）"</f>
        <v>叶凌（注册号：94010078）</v>
      </c>
    </row>
    <row r="6" spans="1:8" ht="24" customHeight="1">
      <c r="A6" s="1304" t="s">
        <v>2146</v>
      </c>
      <c r="B6" s="1304">
        <f ca="1">IF(C6&lt;B2,"已过期",1120050019)</f>
        <v>1120050019</v>
      </c>
      <c r="C6" s="2345">
        <v>45410</v>
      </c>
      <c r="D6" s="2346" t="str">
        <f t="shared" ca="1" si="0"/>
        <v>王鹏（注册号：1120050019）</v>
      </c>
      <c r="E6" s="2347" t="s">
        <v>2146</v>
      </c>
      <c r="F6" s="1304">
        <f ca="1">IF(G6&lt;B2,"已过期",2002110030)</f>
        <v>2002110030</v>
      </c>
      <c r="G6" s="2348">
        <v>46387</v>
      </c>
      <c r="H6" s="2349" t="str">
        <f t="shared" ca="1" si="1"/>
        <v>王鹏（注册号：2002110030）</v>
      </c>
    </row>
    <row r="7" spans="1:8" ht="24" customHeight="1">
      <c r="A7" s="1304" t="s">
        <v>2147</v>
      </c>
      <c r="B7" s="1304">
        <f ca="1">IF(C7&lt;B2,"已过期",1120000080)</f>
        <v>1120000080</v>
      </c>
      <c r="C7" s="2345">
        <v>45937</v>
      </c>
      <c r="D7" s="2346" t="str">
        <f t="shared" ca="1" si="0"/>
        <v>欧红伟（注册号：1120000080）</v>
      </c>
      <c r="E7" s="2347" t="s">
        <v>2147</v>
      </c>
      <c r="F7" s="1304">
        <f ca="1">IF(G7&lt;B2,"已过期",2000110082)</f>
        <v>2000110082</v>
      </c>
      <c r="G7" s="2348">
        <v>46387</v>
      </c>
      <c r="H7" s="2349" t="str">
        <f t="shared" ca="1" si="1"/>
        <v>欧红伟（注册号：2000110082）</v>
      </c>
    </row>
    <row r="8" spans="1:8" ht="24" customHeight="1">
      <c r="A8" s="1304" t="s">
        <v>2148</v>
      </c>
      <c r="B8" s="1304">
        <f ca="1">IF(C8&lt;B2,"已过期",1419970001)</f>
        <v>1419970001</v>
      </c>
      <c r="C8" s="2345">
        <v>45937</v>
      </c>
      <c r="D8" s="2346" t="str">
        <f t="shared" ca="1" si="0"/>
        <v>吴薇（注册号：1419970001）</v>
      </c>
      <c r="E8" s="2347" t="s">
        <v>2148</v>
      </c>
      <c r="F8" s="1304">
        <f ca="1">IF(G8&lt;B2,"已过期",2002110125)</f>
        <v>2002110125</v>
      </c>
      <c r="G8" s="2348">
        <v>47118</v>
      </c>
      <c r="H8" s="2349" t="str">
        <f t="shared" ca="1" si="1"/>
        <v>吴薇（注册号：2002110125）</v>
      </c>
    </row>
    <row r="9" spans="1:8" ht="24" customHeight="1">
      <c r="A9" s="1304" t="s">
        <v>2149</v>
      </c>
      <c r="B9" s="1304">
        <f ca="1">IF(C9&lt;B2,"已过期",1120060040)</f>
        <v>1120060040</v>
      </c>
      <c r="C9" s="2350">
        <v>45592</v>
      </c>
      <c r="D9" s="2346" t="str">
        <f t="shared" ca="1" si="0"/>
        <v>陈颖（注册号：1120060040）</v>
      </c>
      <c r="E9" s="2347" t="s">
        <v>2149</v>
      </c>
      <c r="F9" s="1304">
        <f ca="1">IF(G9&lt;B2,"已过期",2004110096)</f>
        <v>2004110096</v>
      </c>
      <c r="G9" s="2348">
        <v>47118</v>
      </c>
      <c r="H9" s="2349" t="str">
        <f t="shared" ca="1" si="1"/>
        <v>陈颖（注册号：2004110096）</v>
      </c>
    </row>
    <row r="10" spans="1:8" ht="24" customHeight="1">
      <c r="A10" s="1304" t="s">
        <v>2150</v>
      </c>
      <c r="B10" s="1304">
        <f ca="1">IF(C10&lt;B2,"已过期",1120100036)</f>
        <v>1120100036</v>
      </c>
      <c r="C10" s="2350">
        <v>45752</v>
      </c>
      <c r="D10" s="2346" t="str">
        <f t="shared" ca="1" si="0"/>
        <v>崔锴（注册号：1120100036）</v>
      </c>
      <c r="E10" s="2347" t="s">
        <v>2150</v>
      </c>
      <c r="F10" s="1304">
        <f ca="1">IF(G10&lt;B2,"已过期",2010110070)</f>
        <v>2010110070</v>
      </c>
      <c r="G10" s="2348">
        <v>47907</v>
      </c>
      <c r="H10" s="2349" t="str">
        <f t="shared" ca="1" si="1"/>
        <v>崔锴（注册号：2010110070）</v>
      </c>
    </row>
    <row r="11" spans="1:8" ht="24" customHeight="1">
      <c r="A11" s="1304" t="s">
        <v>2151</v>
      </c>
      <c r="B11" s="1304">
        <f ca="1">IF(C11&lt;B2,"已过期",1120070131)</f>
        <v>1120070131</v>
      </c>
      <c r="C11" s="2345">
        <v>45937</v>
      </c>
      <c r="D11" s="2346" t="str">
        <f t="shared" ca="1" si="0"/>
        <v>郑燚（注册号：1120070131）</v>
      </c>
      <c r="E11" s="2347" t="s">
        <v>2151</v>
      </c>
      <c r="F11" s="1304">
        <f ca="1">IF(G11&lt;B2,"已过期",2014110011)</f>
        <v>2014110011</v>
      </c>
      <c r="G11" s="2348">
        <v>49302</v>
      </c>
      <c r="H11" s="2349" t="str">
        <f t="shared" ca="1" si="1"/>
        <v>郑燚（注册号：2014110011）</v>
      </c>
    </row>
    <row r="12" spans="1:8" ht="24" customHeight="1">
      <c r="A12" s="1304" t="s">
        <v>2152</v>
      </c>
      <c r="B12" s="1304">
        <f ca="1">IF(C12&lt;B2,"已过期",1120040230)</f>
        <v>1120040230</v>
      </c>
      <c r="C12" s="2350">
        <v>45937</v>
      </c>
      <c r="D12" s="2346" t="str">
        <f t="shared" ca="1" si="0"/>
        <v>苏海（注册号：1120040230）</v>
      </c>
      <c r="E12" s="2347" t="s">
        <v>2152</v>
      </c>
      <c r="F12" s="1304">
        <f ca="1">IF(G12&lt;B2,"已过期",98030020)</f>
        <v>98030020</v>
      </c>
      <c r="G12" s="2348">
        <v>47118</v>
      </c>
      <c r="H12" s="2349" t="str">
        <f t="shared" ca="1" si="1"/>
        <v>苏海（注册号：98030020）</v>
      </c>
    </row>
    <row r="13" spans="1:8" ht="24" customHeight="1">
      <c r="A13" s="1304" t="s">
        <v>2153</v>
      </c>
      <c r="B13" s="1304">
        <f ca="1">IF(C13&lt;B2,"已过期",1120020033)</f>
        <v>1120020033</v>
      </c>
      <c r="C13" s="2345">
        <v>45375</v>
      </c>
      <c r="D13" s="2346" t="str">
        <f t="shared" ca="1" si="0"/>
        <v>刘敬东（注册号：1120020033）</v>
      </c>
      <c r="E13" s="2347" t="s">
        <v>2153</v>
      </c>
      <c r="F13" s="1304">
        <f ca="1">IF(G13&lt;B2,"已过期",2000110137)</f>
        <v>2000110137</v>
      </c>
      <c r="G13" s="2348">
        <v>46387</v>
      </c>
      <c r="H13" s="2349" t="str">
        <f t="shared" ca="1" si="1"/>
        <v>刘敬东（注册号：2000110137）</v>
      </c>
    </row>
    <row r="14" spans="1:8" ht="24" customHeight="1">
      <c r="A14" s="1304" t="s">
        <v>2154</v>
      </c>
      <c r="B14" s="1304" t="str">
        <f ca="1">IF(C14&lt;B2,"已过期",1119980106)</f>
        <v>已过期</v>
      </c>
      <c r="C14" s="2350">
        <v>44969</v>
      </c>
      <c r="D14" s="2346" t="str">
        <f t="shared" ca="1" si="0"/>
        <v>刘俊财（注册号：已过期）</v>
      </c>
      <c r="E14" s="2347" t="s">
        <v>2154</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2155</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4" t="s">
        <v>2156</v>
      </c>
      <c r="B17" s="3504"/>
      <c r="C17" s="3504"/>
      <c r="D17" s="3504"/>
      <c r="E17" s="3504"/>
      <c r="F17" s="3504"/>
      <c r="G17" s="3504"/>
      <c r="H17" s="3504"/>
    </row>
    <row r="18" spans="1:8" ht="24" customHeight="1">
      <c r="A18" s="3505" t="s">
        <v>2157</v>
      </c>
      <c r="B18" s="3505"/>
      <c r="C18" s="3505"/>
      <c r="D18" s="2343"/>
      <c r="E18" s="3506" t="s">
        <v>2158</v>
      </c>
      <c r="F18" s="3505"/>
      <c r="G18" s="3505"/>
    </row>
    <row r="19" spans="1:8" s="2354" customFormat="1" ht="24" customHeight="1">
      <c r="A19" s="2353" t="s">
        <v>2159</v>
      </c>
      <c r="B19" s="2342" t="s">
        <v>2160</v>
      </c>
      <c r="C19" s="2342" t="s">
        <v>2139</v>
      </c>
      <c r="D19" s="2343"/>
      <c r="E19" s="2347" t="s">
        <v>2159</v>
      </c>
      <c r="F19" s="2342" t="s">
        <v>2160</v>
      </c>
      <c r="G19" s="2342" t="s">
        <v>2139</v>
      </c>
    </row>
    <row r="20" spans="1:8" s="2354" customFormat="1" ht="24" customHeight="1">
      <c r="A20" s="2355" t="s">
        <v>2161</v>
      </c>
      <c r="B20" s="2355" t="s">
        <v>2162</v>
      </c>
      <c r="C20" s="2348">
        <v>45898</v>
      </c>
      <c r="D20" s="2356"/>
      <c r="E20" s="2357" t="s">
        <v>2163</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Sheet0</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2023-12-21T09:07:09Z</dcterms:modified>
</cp:coreProperties>
</file>