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B4E1947-4BB0-42DA-8079-146E53046B1D}" xr6:coauthVersionLast="46" xr6:coauthVersionMax="46" xr10:uidLastSave="{00000000-0000-0000-0000-000000000000}"/>
  <bookViews>
    <workbookView xWindow="-120" yWindow="-120" windowWidth="19440" windowHeight="15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Sheet0" sheetId="79"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案例" sheetId="78"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清单" sheetId="77" r:id="rId47"/>
    <sheet name="Sheet2" sheetId="81" r:id="rId48"/>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6" i="39" l="1"/>
  <c r="G46" i="39"/>
  <c r="E46" i="39"/>
  <c r="I7" i="39"/>
  <c r="G7" i="39"/>
  <c r="E7" i="39"/>
  <c r="I5" i="39"/>
  <c r="G5" i="39"/>
  <c r="E5" i="39"/>
  <c r="A13" i="3"/>
  <c r="Y6" i="1"/>
  <c r="N6" i="1"/>
  <c r="G19" i="6"/>
  <c r="C205" i="77"/>
  <c r="D3" i="4"/>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O19" i="71"/>
  <c r="N19" i="71"/>
  <c r="V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6" i="72"/>
  <c r="B10" i="72"/>
  <c r="C53" i="10"/>
  <c r="B51" i="10"/>
  <c r="B19" i="72"/>
  <c r="A18" i="51"/>
  <c r="B13" i="72" s="1"/>
  <c r="B49" i="48"/>
  <c r="B5" i="72" s="1"/>
  <c r="I19" i="43"/>
  <c r="D83" i="71"/>
  <c r="F82" i="71"/>
  <c r="F81" i="71" s="1"/>
  <c r="F80" i="71" s="1"/>
  <c r="E82" i="71"/>
  <c r="E81" i="71"/>
  <c r="E80" i="71" s="1"/>
  <c r="C82" i="71"/>
  <c r="D82" i="71" s="1"/>
  <c r="B82" i="71"/>
  <c r="B81" i="71" s="1"/>
  <c r="B80" i="71"/>
  <c r="D79" i="71"/>
  <c r="F78" i="71"/>
  <c r="F77" i="71" s="1"/>
  <c r="F76" i="71" s="1"/>
  <c r="E78" i="71"/>
  <c r="E77" i="71"/>
  <c r="E76" i="71" s="1"/>
  <c r="C78" i="71"/>
  <c r="D78" i="71" s="1"/>
  <c r="B78" i="71"/>
  <c r="B77" i="71" s="1"/>
  <c r="B76" i="71" s="1"/>
  <c r="D75" i="71"/>
  <c r="Q74" i="71"/>
  <c r="P74" i="71"/>
  <c r="O74" i="71"/>
  <c r="N74" i="71"/>
  <c r="F74" i="71"/>
  <c r="V74" i="71" s="1"/>
  <c r="E74" i="71"/>
  <c r="U74" i="71" s="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F60" i="71" s="1"/>
  <c r="Q60" i="71"/>
  <c r="D59" i="71"/>
  <c r="Q58" i="71"/>
  <c r="P58" i="71"/>
  <c r="O58" i="71"/>
  <c r="N58" i="71"/>
  <c r="Q57" i="71"/>
  <c r="P57" i="71"/>
  <c r="O57" i="71"/>
  <c r="N57" i="71"/>
  <c r="Q56" i="71"/>
  <c r="P56" i="71"/>
  <c r="O56" i="71"/>
  <c r="N56" i="71"/>
  <c r="Q55" i="71"/>
  <c r="F56" i="71"/>
  <c r="F57" i="71" s="1"/>
  <c r="F58" i="71"/>
  <c r="V58" i="71" s="1"/>
  <c r="P55" i="71"/>
  <c r="E56" i="71" s="1"/>
  <c r="O55" i="71"/>
  <c r="C56" i="71" s="1"/>
  <c r="C57" i="71" s="1"/>
  <c r="D57" i="71" s="1"/>
  <c r="N55" i="71"/>
  <c r="B56" i="71" s="1"/>
  <c r="B57" i="71" s="1"/>
  <c r="B58" i="71" s="1"/>
  <c r="S58" i="71" s="1"/>
  <c r="D55" i="71"/>
  <c r="Q54" i="71"/>
  <c r="P54" i="71"/>
  <c r="O54" i="71"/>
  <c r="N54" i="71"/>
  <c r="Q53" i="71"/>
  <c r="P53" i="71"/>
  <c r="O53" i="71"/>
  <c r="N53" i="71"/>
  <c r="Q52" i="71"/>
  <c r="P52" i="71"/>
  <c r="O52" i="71"/>
  <c r="N52" i="71"/>
  <c r="Q51" i="71"/>
  <c r="F52" i="71" s="1"/>
  <c r="F53" i="71" s="1"/>
  <c r="F54" i="71" s="1"/>
  <c r="V54" i="71"/>
  <c r="P51" i="71"/>
  <c r="E52" i="71"/>
  <c r="E53" i="71" s="1"/>
  <c r="E54" i="71" s="1"/>
  <c r="U54" i="71" s="1"/>
  <c r="O51" i="71"/>
  <c r="C52" i="71"/>
  <c r="C53" i="71" s="1"/>
  <c r="C54" i="71" s="1"/>
  <c r="N51" i="71"/>
  <c r="B52" i="71"/>
  <c r="B53" i="71" s="1"/>
  <c r="B54" i="71" s="1"/>
  <c r="S54" i="71" s="1"/>
  <c r="D51" i="71"/>
  <c r="Q50" i="71"/>
  <c r="P50" i="71"/>
  <c r="O50" i="71"/>
  <c r="N50" i="71"/>
  <c r="Q49" i="71"/>
  <c r="P49" i="71"/>
  <c r="O49" i="71"/>
  <c r="N49" i="71"/>
  <c r="Q48" i="71"/>
  <c r="P48" i="71"/>
  <c r="O48" i="71"/>
  <c r="N48" i="71"/>
  <c r="Q47" i="71"/>
  <c r="F48" i="71" s="1"/>
  <c r="F49" i="71"/>
  <c r="F50" i="71" s="1"/>
  <c r="V50" i="71" s="1"/>
  <c r="P47" i="71"/>
  <c r="E48" i="71"/>
  <c r="O47" i="71"/>
  <c r="C48" i="71" s="1"/>
  <c r="N47" i="71"/>
  <c r="B48" i="71" s="1"/>
  <c r="B49" i="71"/>
  <c r="B50" i="71" s="1"/>
  <c r="S50" i="71" s="1"/>
  <c r="D47" i="71"/>
  <c r="Q46" i="71"/>
  <c r="P46" i="71"/>
  <c r="O46" i="71"/>
  <c r="N46" i="71"/>
  <c r="Q45" i="71"/>
  <c r="P45" i="71"/>
  <c r="O45" i="71"/>
  <c r="N45" i="71"/>
  <c r="Q44" i="71"/>
  <c r="P44" i="71"/>
  <c r="O44" i="71"/>
  <c r="N44" i="71"/>
  <c r="Q43" i="71"/>
  <c r="F44" i="71" s="1"/>
  <c r="P43" i="71"/>
  <c r="E44" i="71" s="1"/>
  <c r="E45" i="71" s="1"/>
  <c r="E46" i="71" s="1"/>
  <c r="U46" i="71"/>
  <c r="O43" i="71"/>
  <c r="C44" i="71"/>
  <c r="C45" i="71" s="1"/>
  <c r="C46" i="71" s="1"/>
  <c r="N43" i="71"/>
  <c r="B44" i="71"/>
  <c r="B45" i="71" s="1"/>
  <c r="B46" i="71" s="1"/>
  <c r="S46" i="71" s="1"/>
  <c r="D43" i="71"/>
  <c r="T42" i="71"/>
  <c r="Q42" i="71"/>
  <c r="P42" i="71"/>
  <c r="O42" i="71"/>
  <c r="N42" i="71"/>
  <c r="D42" i="71"/>
  <c r="Q41" i="71"/>
  <c r="P41" i="71"/>
  <c r="O41" i="71"/>
  <c r="N41" i="71"/>
  <c r="Q40" i="71"/>
  <c r="P40" i="71"/>
  <c r="O40" i="71"/>
  <c r="N40" i="71"/>
  <c r="V42" i="71"/>
  <c r="Q39" i="71"/>
  <c r="F40" i="71" s="1"/>
  <c r="F41" i="71" s="1"/>
  <c r="F42" i="71" s="1"/>
  <c r="P39" i="71"/>
  <c r="E40" i="71" s="1"/>
  <c r="E41" i="71" s="1"/>
  <c r="E42" i="71" s="1"/>
  <c r="U42" i="71" s="1"/>
  <c r="O39" i="71"/>
  <c r="C40" i="71"/>
  <c r="D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c r="N35" i="71"/>
  <c r="B36" i="71"/>
  <c r="B37" i="71" s="1"/>
  <c r="B38" i="71" s="1"/>
  <c r="S38" i="71" s="1"/>
  <c r="D35" i="71"/>
  <c r="Q34" i="71"/>
  <c r="P34" i="71"/>
  <c r="O34" i="71"/>
  <c r="N34" i="71"/>
  <c r="Q33" i="71"/>
  <c r="AB33" i="71" s="1"/>
  <c r="P33" i="71"/>
  <c r="AA33" i="71"/>
  <c r="O33" i="71"/>
  <c r="Y33" i="71"/>
  <c r="Z33" i="71" s="1"/>
  <c r="N33" i="71"/>
  <c r="Q32" i="71"/>
  <c r="P32" i="71"/>
  <c r="O32" i="71"/>
  <c r="Y32" i="71"/>
  <c r="Z32" i="71" s="1"/>
  <c r="N32" i="71"/>
  <c r="Q31" i="71"/>
  <c r="F32" i="71" s="1"/>
  <c r="F33" i="71" s="1"/>
  <c r="F34" i="71" s="1"/>
  <c r="V34" i="71" s="1"/>
  <c r="P31" i="71"/>
  <c r="O31" i="71"/>
  <c r="N31" i="71"/>
  <c r="D31" i="71"/>
  <c r="Q30" i="71"/>
  <c r="AB30" i="71" s="1"/>
  <c r="P30" i="71"/>
  <c r="O30" i="71"/>
  <c r="Y30" i="71"/>
  <c r="Z30" i="71" s="1"/>
  <c r="N30" i="71"/>
  <c r="Q29" i="71"/>
  <c r="AB29" i="71"/>
  <c r="P29" i="71"/>
  <c r="O29" i="71"/>
  <c r="N29" i="71"/>
  <c r="Q28" i="71"/>
  <c r="P28" i="71"/>
  <c r="O28" i="71"/>
  <c r="Y28" i="71"/>
  <c r="Z28" i="71" s="1"/>
  <c r="N28" i="71"/>
  <c r="X12" i="71" s="1"/>
  <c r="Q27" i="71"/>
  <c r="F28" i="71" s="1"/>
  <c r="F29" i="71" s="1"/>
  <c r="F30" i="71" s="1"/>
  <c r="V30" i="71" s="1"/>
  <c r="P27" i="71"/>
  <c r="O27" i="71"/>
  <c r="N27" i="71"/>
  <c r="D27" i="71"/>
  <c r="Q26" i="71"/>
  <c r="P26" i="71"/>
  <c r="O26" i="71"/>
  <c r="Y26" i="71"/>
  <c r="Z26" i="71" s="1"/>
  <c r="N26" i="71"/>
  <c r="Q25" i="71"/>
  <c r="P25" i="71"/>
  <c r="O25" i="71"/>
  <c r="N25" i="71"/>
  <c r="Q24" i="71"/>
  <c r="P24" i="71"/>
  <c r="AA22" i="71" s="1"/>
  <c r="O24" i="71"/>
  <c r="Y24" i="71"/>
  <c r="Z24" i="71" s="1"/>
  <c r="N24" i="71"/>
  <c r="F25" i="71"/>
  <c r="F26" i="71" s="1"/>
  <c r="V26" i="71" s="1"/>
  <c r="Q23" i="71"/>
  <c r="F24" i="71" s="1"/>
  <c r="P23" i="71"/>
  <c r="O23" i="71"/>
  <c r="N23" i="71"/>
  <c r="D23" i="71"/>
  <c r="O22" i="71"/>
  <c r="C22" i="71" s="1"/>
  <c r="N22" i="71"/>
  <c r="B24" i="71"/>
  <c r="B25" i="71" s="1"/>
  <c r="B26" i="71"/>
  <c r="S26" i="71" s="1"/>
  <c r="B28" i="71"/>
  <c r="X27" i="71"/>
  <c r="E32" i="71"/>
  <c r="E28" i="71"/>
  <c r="E29" i="71" s="1"/>
  <c r="E30" i="71" s="1"/>
  <c r="U30" i="71" s="1"/>
  <c r="C24" i="71"/>
  <c r="Y23" i="71"/>
  <c r="Z23" i="71" s="1"/>
  <c r="AA24" i="71"/>
  <c r="C28" i="71"/>
  <c r="C29" i="71"/>
  <c r="X28" i="71"/>
  <c r="X30" i="71"/>
  <c r="C32" i="71"/>
  <c r="D32" i="71" s="1"/>
  <c r="Y31" i="71"/>
  <c r="Z31" i="71"/>
  <c r="X32" i="71"/>
  <c r="F45" i="71"/>
  <c r="F46" i="71" s="1"/>
  <c r="V46" i="71"/>
  <c r="Y20" i="71"/>
  <c r="Z20" i="71" s="1"/>
  <c r="Y22" i="71"/>
  <c r="Z22" i="71" s="1"/>
  <c r="B22" i="71"/>
  <c r="X22" i="71"/>
  <c r="C25" i="71"/>
  <c r="D24" i="71"/>
  <c r="D28" i="71"/>
  <c r="C33" i="71"/>
  <c r="C34" i="71" s="1"/>
  <c r="C41" i="71"/>
  <c r="D41" i="71" s="1"/>
  <c r="D44" i="71"/>
  <c r="P22" i="71"/>
  <c r="E49" i="71"/>
  <c r="E50" i="71" s="1"/>
  <c r="U50" i="71" s="1"/>
  <c r="E57" i="71"/>
  <c r="E58" i="71" s="1"/>
  <c r="U58" i="71"/>
  <c r="Q59" i="71"/>
  <c r="U62" i="71"/>
  <c r="E61" i="71"/>
  <c r="Q22" i="71"/>
  <c r="D52" i="71"/>
  <c r="D56" i="71"/>
  <c r="Q61" i="71"/>
  <c r="T62" i="71"/>
  <c r="O62" i="71"/>
  <c r="D62" i="71"/>
  <c r="C61" i="71"/>
  <c r="Q62" i="71"/>
  <c r="E65" i="71"/>
  <c r="E64" i="71" s="1"/>
  <c r="D66" i="71"/>
  <c r="C69" i="71"/>
  <c r="E69" i="71"/>
  <c r="E68" i="71" s="1"/>
  <c r="D70" i="71"/>
  <c r="E73" i="71"/>
  <c r="E72" i="71" s="1"/>
  <c r="D74" i="71"/>
  <c r="C77" i="71"/>
  <c r="C81" i="71"/>
  <c r="C80" i="71" s="1"/>
  <c r="C21" i="71"/>
  <c r="AB22" i="71"/>
  <c r="E22" i="71"/>
  <c r="E21" i="71"/>
  <c r="E20" i="71" s="1"/>
  <c r="C60" i="71"/>
  <c r="O61" i="71"/>
  <c r="D61" i="71"/>
  <c r="C58" i="71"/>
  <c r="D58" i="71" s="1"/>
  <c r="D77" i="71"/>
  <c r="C76" i="71"/>
  <c r="D76" i="71"/>
  <c r="D69" i="71"/>
  <c r="C68" i="71"/>
  <c r="D68" i="71" s="1"/>
  <c r="D81" i="71"/>
  <c r="D80" i="71"/>
  <c r="D53" i="71"/>
  <c r="P61" i="71"/>
  <c r="E60" i="71"/>
  <c r="P59" i="71" s="1"/>
  <c r="D33" i="71"/>
  <c r="D25" i="71"/>
  <c r="V22" i="71"/>
  <c r="P60" i="71"/>
  <c r="O60" i="71"/>
  <c r="D60" i="71"/>
  <c r="O59" i="71"/>
  <c r="T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s="1"/>
  <c r="Q18" i="36"/>
  <c r="Z18" i="36" s="1"/>
  <c r="D66" i="36"/>
  <c r="E66" i="36" s="1"/>
  <c r="F66" i="36"/>
  <c r="G66" i="36" s="1"/>
  <c r="H18" i="36"/>
  <c r="AB18" i="36"/>
  <c r="F18" i="36"/>
  <c r="AA18" i="36"/>
  <c r="C18" i="36"/>
  <c r="Z18" i="35"/>
  <c r="Q18" i="35"/>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G8" i="1" s="1"/>
  <c r="F9" i="1"/>
  <c r="G9" i="1" s="1"/>
  <c r="F10" i="1"/>
  <c r="F11" i="1"/>
  <c r="F12" i="1"/>
  <c r="F13" i="1"/>
  <c r="D6" i="1"/>
  <c r="D9" i="1"/>
  <c r="D10" i="1"/>
  <c r="G10" i="1" s="1"/>
  <c r="D11" i="1"/>
  <c r="D12" i="1"/>
  <c r="D13" i="1"/>
  <c r="D7" i="1"/>
  <c r="D8" i="1"/>
  <c r="A7" i="1"/>
  <c r="B7" i="1" s="1"/>
  <c r="A8" i="1"/>
  <c r="B8" i="1"/>
  <c r="E8" i="1" s="1"/>
  <c r="A9" i="1"/>
  <c r="A10" i="1"/>
  <c r="A11" i="1"/>
  <c r="B11" i="1" s="1"/>
  <c r="E11" i="1" s="1"/>
  <c r="A12" i="1"/>
  <c r="A13" i="1"/>
  <c r="K13" i="1" s="1"/>
  <c r="M13" i="1" s="1"/>
  <c r="O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 i="35" s="1"/>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F5" i="3" s="1"/>
  <c r="BG542" i="3"/>
  <c r="BH542" i="3"/>
  <c r="BI542" i="3"/>
  <c r="BJ542" i="3"/>
  <c r="BJ5" i="3" s="1"/>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L543" i="3" s="1"/>
  <c r="AZ543" i="3" s="1"/>
  <c r="BN543" i="3"/>
  <c r="BO543" i="3"/>
  <c r="BP543" i="3"/>
  <c r="BR543" i="3"/>
  <c r="BR5" i="3" s="1"/>
  <c r="BS543" i="3"/>
  <c r="BT543" i="3"/>
  <c r="H544" i="3"/>
  <c r="AC544" i="3"/>
  <c r="G544" i="3" s="1"/>
  <c r="BB544" i="3"/>
  <c r="BC544" i="3"/>
  <c r="BA544" i="3" s="1"/>
  <c r="BD544" i="3"/>
  <c r="BE544" i="3"/>
  <c r="BF544" i="3"/>
  <c r="BG544" i="3"/>
  <c r="BH544" i="3"/>
  <c r="BI544" i="3"/>
  <c r="BJ544" i="3"/>
  <c r="BK544" i="3"/>
  <c r="BK5" i="3" s="1"/>
  <c r="BM544" i="3"/>
  <c r="BN544" i="3"/>
  <c r="BL544" i="3" s="1"/>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L547" i="3" s="1"/>
  <c r="AZ547" i="3" s="1"/>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L553" i="3" s="1"/>
  <c r="AZ553" i="3" s="1"/>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L583" i="3" s="1"/>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W30" i="36" s="1"/>
  <c r="H30" i="36"/>
  <c r="F30" i="36"/>
  <c r="C26" i="35"/>
  <c r="C79" i="35" s="1"/>
  <c r="J31" i="35"/>
  <c r="W31" i="35" s="1"/>
  <c r="H31" i="35"/>
  <c r="F31" i="35"/>
  <c r="D87" i="35"/>
  <c r="E87" i="35" s="1"/>
  <c r="F87" i="35" s="1"/>
  <c r="H34" i="37"/>
  <c r="D101" i="37"/>
  <c r="E101" i="37" s="1"/>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s="1"/>
  <c r="B86" i="39"/>
  <c r="H14" i="39" s="1"/>
  <c r="AB14" i="39" s="1"/>
  <c r="B84" i="39"/>
  <c r="B82" i="39"/>
  <c r="J12" i="39" s="1"/>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G75" i="37" s="1"/>
  <c r="D73" i="37"/>
  <c r="E73" i="37" s="1"/>
  <c r="F73" i="37"/>
  <c r="G73" i="37" s="1"/>
  <c r="D71" i="37"/>
  <c r="H15" i="37"/>
  <c r="AB15" i="37" s="1"/>
  <c r="B68"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AB31" i="21" s="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36" i="39"/>
  <c r="S36" i="39" s="1"/>
  <c r="H36" i="39"/>
  <c r="AB36" i="39" s="1"/>
  <c r="F35" i="39"/>
  <c r="AA35" i="39" s="1"/>
  <c r="J36" i="39"/>
  <c r="AC36" i="39" s="1"/>
  <c r="U9" i="39"/>
  <c r="W25" i="37"/>
  <c r="U30" i="37"/>
  <c r="W31" i="37"/>
  <c r="E103" i="37"/>
  <c r="F103" i="37" s="1"/>
  <c r="G103" i="37" s="1"/>
  <c r="H103" i="37" s="1"/>
  <c r="I103" i="37" s="1"/>
  <c r="J103" i="37" s="1"/>
  <c r="K103" i="37" s="1"/>
  <c r="L103" i="37" s="1"/>
  <c r="M103" i="37" s="1"/>
  <c r="F29" i="36"/>
  <c r="AA29" i="36" s="1"/>
  <c r="W8" i="36"/>
  <c r="F16" i="36"/>
  <c r="AA16" i="36"/>
  <c r="U9" i="36"/>
  <c r="W28" i="36"/>
  <c r="AA31" i="36"/>
  <c r="AC31" i="36"/>
  <c r="W31" i="36"/>
  <c r="J33" i="36"/>
  <c r="W33" i="36" s="1"/>
  <c r="H22" i="35"/>
  <c r="AB22" i="35" s="1"/>
  <c r="AC27" i="35"/>
  <c r="U31" i="35"/>
  <c r="S34" i="35"/>
  <c r="W34" i="35"/>
  <c r="W36" i="35"/>
  <c r="W22" i="35"/>
  <c r="S31" i="35"/>
  <c r="U34" i="35"/>
  <c r="F36" i="34"/>
  <c r="J35" i="34"/>
  <c r="AC35" i="34" s="1"/>
  <c r="H39" i="33"/>
  <c r="AB39" i="33" s="1"/>
  <c r="F26" i="33"/>
  <c r="AA26" i="33" s="1"/>
  <c r="S9" i="33"/>
  <c r="U35" i="33"/>
  <c r="S40" i="33"/>
  <c r="H39" i="37"/>
  <c r="AB39" i="37" s="1"/>
  <c r="S27" i="35"/>
  <c r="F11" i="40"/>
  <c r="AA11" i="40"/>
  <c r="H11" i="40"/>
  <c r="AB11" i="40"/>
  <c r="AB39" i="40"/>
  <c r="AA9" i="40"/>
  <c r="U9" i="40"/>
  <c r="W31" i="40"/>
  <c r="S38"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W31" i="39" s="1"/>
  <c r="J19" i="39"/>
  <c r="AC19" i="39" s="1"/>
  <c r="J17" i="39"/>
  <c r="J27" i="39"/>
  <c r="AC27" i="39" s="1"/>
  <c r="F11" i="21"/>
  <c r="S11" i="21" s="1"/>
  <c r="S40" i="21"/>
  <c r="U34" i="21"/>
  <c r="S34" i="21"/>
  <c r="C25" i="39"/>
  <c r="C27" i="39"/>
  <c r="C21" i="39"/>
  <c r="H11" i="39"/>
  <c r="U11" i="39" s="1"/>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F37" i="39"/>
  <c r="AA37" i="39"/>
  <c r="J34" i="36"/>
  <c r="W34" i="36"/>
  <c r="U30" i="36"/>
  <c r="J30" i="35"/>
  <c r="W30" i="35" s="1"/>
  <c r="H30" i="35"/>
  <c r="AB30" i="35" s="1"/>
  <c r="F22" i="35"/>
  <c r="AA22" i="35" s="1"/>
  <c r="H10" i="35"/>
  <c r="U10" i="35" s="1"/>
  <c r="AC16" i="36"/>
  <c r="F33" i="36"/>
  <c r="AA33" i="36"/>
  <c r="H16" i="36"/>
  <c r="AB16" i="36" s="1"/>
  <c r="E85" i="36"/>
  <c r="F85" i="36" s="1"/>
  <c r="G85" i="36" s="1"/>
  <c r="H85" i="36" s="1"/>
  <c r="I85" i="36" s="1"/>
  <c r="J85" i="36" s="1"/>
  <c r="K85" i="36" s="1"/>
  <c r="L85" i="36" s="1"/>
  <c r="M85" i="36" s="1"/>
  <c r="J29" i="36"/>
  <c r="AC29" i="36"/>
  <c r="F24" i="36"/>
  <c r="AA24" i="36" s="1"/>
  <c r="F34" i="36"/>
  <c r="S34" i="36" s="1"/>
  <c r="S10" i="36"/>
  <c r="AB8" i="36"/>
  <c r="S8" i="36"/>
  <c r="F14" i="35"/>
  <c r="AA14" i="35"/>
  <c r="J32" i="35"/>
  <c r="AC32" i="35"/>
  <c r="J16" i="35"/>
  <c r="AC16" i="35"/>
  <c r="H16" i="35"/>
  <c r="U16" i="35"/>
  <c r="F16" i="35"/>
  <c r="S16" i="35"/>
  <c r="H14" i="35"/>
  <c r="AB14" i="35"/>
  <c r="H33" i="35"/>
  <c r="AB33"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AA28" i="34" s="1"/>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AB30" i="36"/>
  <c r="AC34" i="36"/>
  <c r="U30" i="35"/>
  <c r="U33" i="35"/>
  <c r="H33" i="37"/>
  <c r="AB33" i="37" s="1"/>
  <c r="F33" i="37"/>
  <c r="AA33" i="37" s="1"/>
  <c r="U34" i="37"/>
  <c r="W33"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J14" i="21"/>
  <c r="W14" i="21"/>
  <c r="F14" i="21"/>
  <c r="S14" i="21"/>
  <c r="H14" i="21"/>
  <c r="U14" i="21"/>
  <c r="H28" i="21"/>
  <c r="AB28" i="21"/>
  <c r="F28" i="21"/>
  <c r="AA28" i="21"/>
  <c r="J28" i="21"/>
  <c r="W28" i="21"/>
  <c r="H30" i="21"/>
  <c r="U30" i="21"/>
  <c r="F30" i="21"/>
  <c r="S30" i="21"/>
  <c r="J30" i="21"/>
  <c r="AC30"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H13" i="36"/>
  <c r="AB13" i="36" s="1"/>
  <c r="J13" i="36"/>
  <c r="AC13" i="36" s="1"/>
  <c r="F13" i="36"/>
  <c r="S13" i="36"/>
  <c r="J29" i="37"/>
  <c r="W29" i="37" s="1"/>
  <c r="F29" i="37"/>
  <c r="S29" i="37" s="1"/>
  <c r="H36" i="37"/>
  <c r="AB36" i="37"/>
  <c r="J37" i="37"/>
  <c r="AC37" i="37" s="1"/>
  <c r="H37" i="37"/>
  <c r="U37" i="37" s="1"/>
  <c r="H40" i="37"/>
  <c r="U40" i="37" s="1"/>
  <c r="F40" i="37"/>
  <c r="AA40" i="37" s="1"/>
  <c r="H14" i="33"/>
  <c r="U14" i="33" s="1"/>
  <c r="F14" i="33"/>
  <c r="J14" i="33"/>
  <c r="W14" i="33" s="1"/>
  <c r="J30" i="33"/>
  <c r="W30" i="33" s="1"/>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14" i="39"/>
  <c r="AA14" i="39" s="1"/>
  <c r="F12" i="40"/>
  <c r="S12" i="40"/>
  <c r="H12" i="40"/>
  <c r="AB12" i="40"/>
  <c r="H30" i="40"/>
  <c r="AB30" i="40"/>
  <c r="J35" i="40"/>
  <c r="AC35" i="40"/>
  <c r="J37" i="40"/>
  <c r="AC37" i="40"/>
  <c r="F13" i="39"/>
  <c r="J13" i="39"/>
  <c r="W13" i="39" s="1"/>
  <c r="H13" i="39"/>
  <c r="H14" i="40"/>
  <c r="AB14" i="40"/>
  <c r="J14" i="40"/>
  <c r="W14" i="40"/>
  <c r="F14" i="40"/>
  <c r="AA14" i="40"/>
  <c r="U46" i="33"/>
  <c r="J36" i="37"/>
  <c r="AC36" i="37" s="1"/>
  <c r="AB11" i="35"/>
  <c r="J10" i="36"/>
  <c r="AC10" i="36"/>
  <c r="AB30" i="21"/>
  <c r="W13" i="36"/>
  <c r="W11" i="36"/>
  <c r="AB46" i="34"/>
  <c r="AA14" i="34"/>
  <c r="AB45" i="33"/>
  <c r="U31" i="33"/>
  <c r="U13" i="33"/>
  <c r="AC28" i="21"/>
  <c r="S44" i="34"/>
  <c r="BA586" i="3"/>
  <c r="BA585" i="3"/>
  <c r="F17" i="21"/>
  <c r="AA17" i="21"/>
  <c r="H17" i="21"/>
  <c r="AB17" i="21"/>
  <c r="F15" i="21"/>
  <c r="S15" i="21"/>
  <c r="AB11" i="21"/>
  <c r="J41" i="39"/>
  <c r="W41" i="39" s="1"/>
  <c r="W36" i="39"/>
  <c r="W35" i="39"/>
  <c r="U36"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BL526" i="3"/>
  <c r="BL522" i="3"/>
  <c r="BL516" i="3"/>
  <c r="BL512" i="3"/>
  <c r="BL506" i="3"/>
  <c r="BL502" i="3"/>
  <c r="AZ502" i="3" s="1"/>
  <c r="BL498" i="3"/>
  <c r="BL494" i="3"/>
  <c r="BL578" i="3"/>
  <c r="BL574" i="3"/>
  <c r="BL570" i="3"/>
  <c r="BL562" i="3"/>
  <c r="BL552" i="3"/>
  <c r="BL540" i="3"/>
  <c r="BL536" i="3"/>
  <c r="G533" i="3"/>
  <c r="BL532" i="3"/>
  <c r="G529" i="3"/>
  <c r="BL528" i="3"/>
  <c r="G525" i="3"/>
  <c r="BL524" i="3"/>
  <c r="BL518" i="3"/>
  <c r="BL514" i="3"/>
  <c r="BL510" i="3"/>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46" i="3"/>
  <c r="AZ546" i="3" s="1"/>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1" i="3"/>
  <c r="AZ581" i="3" s="1"/>
  <c r="BA579" i="3"/>
  <c r="AZ579" i="3" s="1"/>
  <c r="BA577" i="3"/>
  <c r="BA575" i="3"/>
  <c r="AZ575" i="3" s="1"/>
  <c r="BA571" i="3"/>
  <c r="AZ571" i="3" s="1"/>
  <c r="BA567" i="3"/>
  <c r="AZ567" i="3" s="1"/>
  <c r="BA565" i="3"/>
  <c r="BA563" i="3"/>
  <c r="AZ563" i="3" s="1"/>
  <c r="BA561" i="3"/>
  <c r="BA559" i="3"/>
  <c r="BA553" i="3"/>
  <c r="BA549" i="3"/>
  <c r="BA547"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1" i="3"/>
  <c r="G579" i="3"/>
  <c r="G577" i="3"/>
  <c r="G575" i="3"/>
  <c r="G573" i="3"/>
  <c r="G569" i="3"/>
  <c r="G565" i="3"/>
  <c r="G563" i="3"/>
  <c r="G561" i="3"/>
  <c r="BL558" i="3"/>
  <c r="BA557" i="3"/>
  <c r="AZ557" i="3" s="1"/>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AZ559" i="3" s="1"/>
  <c r="G559" i="3"/>
  <c r="G555" i="3"/>
  <c r="G549" i="3"/>
  <c r="G545" i="3"/>
  <c r="G541" i="3"/>
  <c r="G539" i="3"/>
  <c r="G537" i="3"/>
  <c r="BQ555" i="3"/>
  <c r="BL555" i="3"/>
  <c r="BQ553" i="3"/>
  <c r="BQ551" i="3"/>
  <c r="BL551" i="3"/>
  <c r="BQ549" i="3"/>
  <c r="BQ547" i="3"/>
  <c r="BQ545" i="3"/>
  <c r="BL545" i="3"/>
  <c r="BQ543" i="3"/>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AB13" i="34"/>
  <c r="AB37" i="34"/>
  <c r="AC36" i="34"/>
  <c r="AA13" i="33"/>
  <c r="AC31" i="33"/>
  <c r="AC45" i="33"/>
  <c r="W44" i="33"/>
  <c r="U11" i="33"/>
  <c r="U19" i="21"/>
  <c r="U26" i="21"/>
  <c r="AB38" i="21"/>
  <c r="F43" i="33"/>
  <c r="AA43" i="33"/>
  <c r="W15" i="34"/>
  <c r="AC15" i="34"/>
  <c r="W16" i="35"/>
  <c r="H37" i="21"/>
  <c r="U37" i="21" s="1"/>
  <c r="S42" i="21"/>
  <c r="H19" i="34"/>
  <c r="AB19" i="34"/>
  <c r="F36" i="35"/>
  <c r="S36" i="35"/>
  <c r="J9" i="37"/>
  <c r="W9" i="37"/>
  <c r="H9" i="37"/>
  <c r="AB9" i="37"/>
  <c r="F9" i="37"/>
  <c r="S9" i="37"/>
  <c r="E71" i="37"/>
  <c r="F15" i="37"/>
  <c r="AA15" i="37" s="1"/>
  <c r="E94" i="37"/>
  <c r="F94" i="37" s="1"/>
  <c r="G94" i="37" s="1"/>
  <c r="H94" i="37" s="1"/>
  <c r="I94" i="37" s="1"/>
  <c r="J94" i="37" s="1"/>
  <c r="K94" i="37" s="1"/>
  <c r="L94" i="37" s="1"/>
  <c r="M94" i="37" s="1"/>
  <c r="F31" i="37"/>
  <c r="S31" i="37"/>
  <c r="J42" i="39"/>
  <c r="AC42" i="39" s="1"/>
  <c r="H21" i="40"/>
  <c r="AB21" i="40" s="1"/>
  <c r="H31" i="37"/>
  <c r="U31" i="37"/>
  <c r="F71" i="37"/>
  <c r="G71" i="37"/>
  <c r="J15" i="37"/>
  <c r="W15" i="37"/>
  <c r="AT6" i="3"/>
  <c r="AA25" i="21"/>
  <c r="C12" i="43"/>
  <c r="H19" i="40"/>
  <c r="U19" i="40" s="1"/>
  <c r="F88" i="40"/>
  <c r="G88" i="40" s="1"/>
  <c r="F19" i="40"/>
  <c r="S19" i="40" s="1"/>
  <c r="S14" i="40"/>
  <c r="W23" i="39"/>
  <c r="H37" i="39"/>
  <c r="AB37" i="39" s="1"/>
  <c r="AC37" i="39"/>
  <c r="W37" i="39"/>
  <c r="H25" i="39"/>
  <c r="AB25" i="39" s="1"/>
  <c r="J25" i="39"/>
  <c r="AC25" i="39" s="1"/>
  <c r="F25" i="39"/>
  <c r="AA25" i="39" s="1"/>
  <c r="F15" i="39"/>
  <c r="AA15" i="39" s="1"/>
  <c r="H15" i="39"/>
  <c r="U15" i="39" s="1"/>
  <c r="J15" i="39"/>
  <c r="W15" i="39" s="1"/>
  <c r="H41" i="39"/>
  <c r="U40" i="39"/>
  <c r="AA41" i="39"/>
  <c r="W9" i="39"/>
  <c r="J19" i="40"/>
  <c r="AC19" i="40"/>
  <c r="J50" i="40"/>
  <c r="B54" i="72"/>
  <c r="H103" i="9"/>
  <c r="D8" i="53" s="1"/>
  <c r="B16" i="53"/>
  <c r="B33" i="72" s="1"/>
  <c r="C7" i="37"/>
  <c r="C52" i="37" s="1"/>
  <c r="D52" i="37" s="1"/>
  <c r="C7" i="34"/>
  <c r="C7" i="36"/>
  <c r="C46" i="36" s="1"/>
  <c r="D46" i="36" s="1"/>
  <c r="E46" i="36" s="1"/>
  <c r="F46" i="36" s="1"/>
  <c r="G46" i="36" s="1"/>
  <c r="H46" i="36" s="1"/>
  <c r="I46" i="36" s="1"/>
  <c r="W35" i="40"/>
  <c r="A118" i="9"/>
  <c r="A4" i="52"/>
  <c r="B41" i="72" s="1"/>
  <c r="F11" i="39"/>
  <c r="AA11" i="39" s="1"/>
  <c r="A12" i="52"/>
  <c r="B56" i="72"/>
  <c r="G4" i="4"/>
  <c r="I4" i="4"/>
  <c r="K5" i="4" s="1"/>
  <c r="B47" i="48" s="1"/>
  <c r="A2" i="9"/>
  <c r="F59" i="43"/>
  <c r="H62" i="43" s="1"/>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M5" i="3"/>
  <c r="BH5" i="3"/>
  <c r="BD5" i="3"/>
  <c r="AZ317" i="3"/>
  <c r="AZ333" i="3"/>
  <c r="AC5" i="3"/>
  <c r="AZ549" i="3"/>
  <c r="AZ506" i="3"/>
  <c r="AZ496" i="3"/>
  <c r="G548" i="3"/>
  <c r="G538" i="3"/>
  <c r="G520" i="3"/>
  <c r="G502" i="3"/>
  <c r="BS5" i="3"/>
  <c r="AZ343" i="3"/>
  <c r="BG5" i="3"/>
  <c r="G17" i="3"/>
  <c r="BA17" i="3"/>
  <c r="AZ350" i="3"/>
  <c r="AZ356" i="3"/>
  <c r="AZ364" i="3"/>
  <c r="AZ368" i="3"/>
  <c r="BA15" i="3"/>
  <c r="AZ15" i="3" s="1"/>
  <c r="BB5" i="3"/>
  <c r="AZ380" i="3"/>
  <c r="AZ388" i="3"/>
  <c r="AZ396" i="3"/>
  <c r="AZ499" i="3"/>
  <c r="E8" i="6"/>
  <c r="F27" i="6" s="1"/>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AZ501" i="3"/>
  <c r="W44" i="34"/>
  <c r="AC44" i="34"/>
  <c r="S15" i="37"/>
  <c r="U13" i="37"/>
  <c r="U12" i="40"/>
  <c r="AA12" i="40"/>
  <c r="J37" i="33"/>
  <c r="W37" i="33" s="1"/>
  <c r="AC17" i="34"/>
  <c r="J34" i="33"/>
  <c r="W34" i="33"/>
  <c r="F33" i="34"/>
  <c r="S33" i="34"/>
  <c r="H20" i="36"/>
  <c r="U20" i="36"/>
  <c r="J20" i="36"/>
  <c r="W20" i="36"/>
  <c r="J27" i="36"/>
  <c r="W27" i="36" s="1"/>
  <c r="AB25" i="37"/>
  <c r="F111" i="40"/>
  <c r="G111" i="40" s="1"/>
  <c r="H111" i="40" s="1"/>
  <c r="I111" i="40" s="1"/>
  <c r="J111" i="40" s="1"/>
  <c r="K111" i="40" s="1"/>
  <c r="L111" i="40" s="1"/>
  <c r="M111" i="40" s="1"/>
  <c r="H35" i="40"/>
  <c r="AB35" i="40" s="1"/>
  <c r="H35" i="37"/>
  <c r="U35" i="37" s="1"/>
  <c r="AC14" i="35"/>
  <c r="H20" i="35"/>
  <c r="U20" i="35"/>
  <c r="F20" i="35"/>
  <c r="AA20" i="35"/>
  <c r="AB29" i="36"/>
  <c r="U29" i="36"/>
  <c r="H32" i="37"/>
  <c r="AB32" i="37" s="1"/>
  <c r="F96" i="37"/>
  <c r="G96" i="37" s="1"/>
  <c r="H96" i="37" s="1"/>
  <c r="I96" i="37" s="1"/>
  <c r="J96" i="37" s="1"/>
  <c r="K96" i="37" s="1"/>
  <c r="L96" i="37" s="1"/>
  <c r="M96" i="37" s="1"/>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F20" i="36"/>
  <c r="AA20" i="36" s="1"/>
  <c r="J33" i="34"/>
  <c r="AC33" i="34" s="1"/>
  <c r="H23" i="39"/>
  <c r="U23" i="39" s="1"/>
  <c r="D48" i="9"/>
  <c r="M52" i="9" s="1"/>
  <c r="H86" i="43"/>
  <c r="H87" i="43"/>
  <c r="K9" i="1"/>
  <c r="M9" i="1" s="1"/>
  <c r="AE9" i="1"/>
  <c r="D93" i="9"/>
  <c r="K6" i="1"/>
  <c r="M6" i="1" s="1"/>
  <c r="O6" i="1" s="1"/>
  <c r="AC26" i="33"/>
  <c r="W26" i="33"/>
  <c r="AC27" i="34"/>
  <c r="AB34" i="36"/>
  <c r="U34" i="36"/>
  <c r="AB33" i="36"/>
  <c r="U33" i="36"/>
  <c r="W12" i="39"/>
  <c r="AC39" i="40"/>
  <c r="W39" i="40"/>
  <c r="AZ401" i="3"/>
  <c r="AZ412" i="3"/>
  <c r="AZ417" i="3"/>
  <c r="AZ428" i="3"/>
  <c r="AZ433" i="3"/>
  <c r="AZ465" i="3"/>
  <c r="K101" i="43"/>
  <c r="K107" i="43" s="1"/>
  <c r="N101" i="43"/>
  <c r="N106" i="43" s="1"/>
  <c r="W12" i="33"/>
  <c r="AC12" i="33"/>
  <c r="AA32" i="36"/>
  <c r="S32" i="36"/>
  <c r="AZ408" i="3"/>
  <c r="AZ437" i="3"/>
  <c r="AZ441" i="3"/>
  <c r="AZ457" i="3"/>
  <c r="AZ473" i="3"/>
  <c r="AZ490" i="3"/>
  <c r="AA39" i="34"/>
  <c r="BL14" i="3"/>
  <c r="AZ266" i="3"/>
  <c r="AC13" i="34"/>
  <c r="W28" i="37"/>
  <c r="S19" i="39"/>
  <c r="F12" i="33"/>
  <c r="S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D1" i="66"/>
  <c r="E10" i="66"/>
  <c r="AZ80" i="3"/>
  <c r="AZ84" i="3"/>
  <c r="AZ88" i="3"/>
  <c r="AZ107" i="3"/>
  <c r="AZ111" i="3"/>
  <c r="K12" i="1"/>
  <c r="M12" i="1" s="1"/>
  <c r="O12" i="1" s="1"/>
  <c r="S13" i="1"/>
  <c r="AR13" i="1" s="1"/>
  <c r="R13" i="1"/>
  <c r="S11" i="1"/>
  <c r="AQ11" i="1" s="1"/>
  <c r="R11" i="1"/>
  <c r="S9" i="1"/>
  <c r="AR9" i="1" s="1"/>
  <c r="R9" i="1"/>
  <c r="J51" i="67"/>
  <c r="C42" i="1"/>
  <c r="C77" i="9" s="1"/>
  <c r="C74" i="9" s="1"/>
  <c r="H100" i="43"/>
  <c r="C30" i="66"/>
  <c r="E26" i="66" s="1"/>
  <c r="AC34" i="33"/>
  <c r="AA34" i="33"/>
  <c r="S22" i="31"/>
  <c r="R22" i="31" s="1"/>
  <c r="J100" i="43"/>
  <c r="AB37" i="40"/>
  <c r="S35" i="40"/>
  <c r="U35" i="40"/>
  <c r="W38" i="40"/>
  <c r="S17" i="40"/>
  <c r="S23" i="40"/>
  <c r="AC17" i="40"/>
  <c r="AC15" i="40"/>
  <c r="S30" i="40"/>
  <c r="AA19" i="40"/>
  <c r="S28" i="40"/>
  <c r="AB19" i="40"/>
  <c r="S37" i="39"/>
  <c r="U35" i="39"/>
  <c r="F32" i="39"/>
  <c r="AA32" i="39" s="1"/>
  <c r="U25" i="39"/>
  <c r="U31" i="39"/>
  <c r="S25" i="39"/>
  <c r="J21" i="39"/>
  <c r="W21" i="39" s="1"/>
  <c r="H21" i="39"/>
  <c r="AB21" i="39" s="1"/>
  <c r="W19" i="39"/>
  <c r="U19" i="39"/>
  <c r="S17" i="39"/>
  <c r="S15" i="39"/>
  <c r="S9" i="39"/>
  <c r="AC13" i="39"/>
  <c r="S23" i="36"/>
  <c r="U13" i="36"/>
  <c r="AC27" i="36"/>
  <c r="AB27" i="36"/>
  <c r="U26" i="36"/>
  <c r="S33" i="36"/>
  <c r="S27" i="36"/>
  <c r="AA34" i="36"/>
  <c r="AC26" i="36"/>
  <c r="W14" i="36"/>
  <c r="AB14" i="36"/>
  <c r="U22" i="36"/>
  <c r="S16" i="36"/>
  <c r="AA25" i="36"/>
  <c r="S24" i="36"/>
  <c r="U23" i="36"/>
  <c r="AB20" i="36"/>
  <c r="U16" i="36"/>
  <c r="S14" i="36"/>
  <c r="U10" i="36"/>
  <c r="W10" i="36"/>
  <c r="W24" i="35"/>
  <c r="U28" i="35"/>
  <c r="AB27" i="35"/>
  <c r="U32" i="35"/>
  <c r="AC30" i="35"/>
  <c r="S32" i="35"/>
  <c r="AA36" i="35"/>
  <c r="W32" i="35"/>
  <c r="S28" i="35"/>
  <c r="AB16" i="35"/>
  <c r="U22" i="35"/>
  <c r="S20" i="35"/>
  <c r="AC20" i="35"/>
  <c r="U14" i="35"/>
  <c r="AA10" i="35"/>
  <c r="AB10" i="35"/>
  <c r="AA11" i="35"/>
  <c r="S8" i="35"/>
  <c r="AC9" i="35"/>
  <c r="W9" i="35"/>
  <c r="AC12" i="35"/>
  <c r="F9" i="35"/>
  <c r="AA9" i="35" s="1"/>
  <c r="H9" i="35"/>
  <c r="AB40" i="37"/>
  <c r="S25" i="37"/>
  <c r="S26" i="37"/>
  <c r="AC9" i="37"/>
  <c r="AC29" i="37"/>
  <c r="U29" i="37"/>
  <c r="S32" i="37"/>
  <c r="AB31" i="37"/>
  <c r="W30" i="37"/>
  <c r="S36" i="37"/>
  <c r="AA38" i="37"/>
  <c r="U32" i="37"/>
  <c r="W38" i="37"/>
  <c r="AC35" i="37"/>
  <c r="S30" i="37"/>
  <c r="AC15" i="37"/>
  <c r="J17" i="37"/>
  <c r="W17" i="37"/>
  <c r="F17" i="37"/>
  <c r="AA17" i="37" s="1"/>
  <c r="AB17" i="37"/>
  <c r="F19" i="37"/>
  <c r="S19" i="37" s="1"/>
  <c r="F79" i="37"/>
  <c r="F23" i="37"/>
  <c r="S23" i="37" s="1"/>
  <c r="U23" i="37"/>
  <c r="AC13" i="37"/>
  <c r="U9" i="37"/>
  <c r="AA13" i="37"/>
  <c r="AA9" i="37"/>
  <c r="H10" i="37"/>
  <c r="H60" i="37"/>
  <c r="I60" i="37" s="1"/>
  <c r="F11" i="37"/>
  <c r="S11" i="37" s="1"/>
  <c r="W25" i="34"/>
  <c r="AB8" i="34"/>
  <c r="AA33" i="34"/>
  <c r="U44" i="34"/>
  <c r="U43" i="34"/>
  <c r="AC39" i="34"/>
  <c r="AC42" i="34"/>
  <c r="U39" i="34"/>
  <c r="S43" i="34"/>
  <c r="AB41" i="34"/>
  <c r="W34" i="34"/>
  <c r="U28" i="34"/>
  <c r="S23" i="34"/>
  <c r="U15" i="34"/>
  <c r="S10" i="34"/>
  <c r="H67" i="34"/>
  <c r="I67" i="34" s="1"/>
  <c r="H10" i="34"/>
  <c r="F11" i="34"/>
  <c r="S11" i="34" s="1"/>
  <c r="F70" i="34"/>
  <c r="W42" i="33"/>
  <c r="AA35" i="33"/>
  <c r="S27" i="33"/>
  <c r="S32"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AB14" i="33"/>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5" i="6"/>
  <c r="D9" i="11" s="1"/>
  <c r="C9" i="11" s="1"/>
  <c r="D101" i="43"/>
  <c r="D109" i="43" s="1"/>
  <c r="I101" i="43"/>
  <c r="I109" i="43" s="1"/>
  <c r="E32" i="6"/>
  <c r="L19" i="6"/>
  <c r="G1" i="68"/>
  <c r="K1" i="12"/>
  <c r="N103" i="43"/>
  <c r="K106" i="43"/>
  <c r="AR12" i="1"/>
  <c r="E19" i="69"/>
  <c r="E19" i="68"/>
  <c r="E19" i="11"/>
  <c r="E1" i="73"/>
  <c r="G22" i="69"/>
  <c r="G22" i="68"/>
  <c r="G26" i="12"/>
  <c r="G22" i="11"/>
  <c r="C100" i="43"/>
  <c r="E11" i="43"/>
  <c r="E10" i="43"/>
  <c r="E9" i="43"/>
  <c r="E8" i="43"/>
  <c r="C7" i="43" s="1"/>
  <c r="E81" i="43"/>
  <c r="B79" i="43" s="1"/>
  <c r="Y11" i="43"/>
  <c r="Y13" i="43" s="1"/>
  <c r="E48" i="43"/>
  <c r="B46" i="43"/>
  <c r="E70" i="43"/>
  <c r="B68" i="43"/>
  <c r="F100" i="43"/>
  <c r="H17" i="43"/>
  <c r="H81" i="43"/>
  <c r="H88" i="43"/>
  <c r="H53" i="43"/>
  <c r="H78" i="43"/>
  <c r="H71" i="43"/>
  <c r="C17" i="43"/>
  <c r="F33" i="43"/>
  <c r="K17" i="43"/>
  <c r="F34" i="43"/>
  <c r="N6" i="43"/>
  <c r="C6" i="43"/>
  <c r="N3" i="43"/>
  <c r="F38" i="43"/>
  <c r="F37" i="43"/>
  <c r="M9" i="43"/>
  <c r="N5" i="43"/>
  <c r="M12" i="43"/>
  <c r="B19" i="53"/>
  <c r="B37" i="72" s="1"/>
  <c r="C7" i="39"/>
  <c r="C68" i="39" s="1"/>
  <c r="C70" i="39" s="1"/>
  <c r="C7" i="35"/>
  <c r="E7" i="35" s="1"/>
  <c r="G7" i="35" s="1"/>
  <c r="I7" i="35" s="1"/>
  <c r="C7" i="33"/>
  <c r="C58" i="33" s="1"/>
  <c r="C7" i="21"/>
  <c r="C58" i="21" s="1"/>
  <c r="C7" i="40"/>
  <c r="C63" i="40" s="1"/>
  <c r="M47" i="9"/>
  <c r="G19" i="43"/>
  <c r="O19" i="43" s="1"/>
  <c r="C19" i="43" s="1"/>
  <c r="T35" i="4"/>
  <c r="A19" i="51" s="1"/>
  <c r="B14" i="72" s="1"/>
  <c r="C59" i="34"/>
  <c r="D59" i="34" s="1"/>
  <c r="E59" i="34" s="1"/>
  <c r="F59" i="34" s="1"/>
  <c r="G59" i="34" s="1"/>
  <c r="H59" i="34" s="1"/>
  <c r="I59" i="34" s="1"/>
  <c r="J59" i="34" s="1"/>
  <c r="A4" i="51"/>
  <c r="B6" i="72" s="1"/>
  <c r="C4" i="12"/>
  <c r="H65" i="43"/>
  <c r="H63" i="43"/>
  <c r="H55" i="43"/>
  <c r="H56" i="43"/>
  <c r="H72" i="43"/>
  <c r="L20" i="6"/>
  <c r="B6" i="1"/>
  <c r="E6" i="1" s="1"/>
  <c r="S8" i="1"/>
  <c r="AQ8" i="1" s="1"/>
  <c r="K11" i="1"/>
  <c r="M11" i="1" s="1"/>
  <c r="O11" i="1" s="1"/>
  <c r="P11" i="1" s="1"/>
  <c r="AP6" i="1"/>
  <c r="B9" i="1"/>
  <c r="E9" i="1" s="1"/>
  <c r="K7" i="1"/>
  <c r="M7" i="1" s="1"/>
  <c r="G1" i="15"/>
  <c r="G1" i="69"/>
  <c r="G1" i="67"/>
  <c r="W23" i="40"/>
  <c r="AB31" i="40"/>
  <c r="S37" i="40"/>
  <c r="AB28" i="40"/>
  <c r="W34" i="40"/>
  <c r="W19" i="40"/>
  <c r="S36" i="40"/>
  <c r="W37" i="40"/>
  <c r="AC14" i="40"/>
  <c r="AA15" i="40"/>
  <c r="U11" i="40"/>
  <c r="S31" i="40"/>
  <c r="U15" i="40"/>
  <c r="AB17" i="40"/>
  <c r="U8" i="40"/>
  <c r="AC41" i="39"/>
  <c r="AB23" i="39"/>
  <c r="U41" i="39"/>
  <c r="AB41" i="39"/>
  <c r="U13" i="39"/>
  <c r="AB13" i="39"/>
  <c r="AA13" i="39"/>
  <c r="S13" i="39"/>
  <c r="S14" i="39"/>
  <c r="AB11" i="39"/>
  <c r="W17" i="39"/>
  <c r="AC17" i="39"/>
  <c r="AC31" i="39"/>
  <c r="AB39" i="39"/>
  <c r="W34" i="39"/>
  <c r="U38" i="39"/>
  <c r="S20" i="36"/>
  <c r="AC25" i="36"/>
  <c r="S28" i="36"/>
  <c r="W29" i="36"/>
  <c r="AC20" i="36"/>
  <c r="U25" i="36"/>
  <c r="AB28" i="36"/>
  <c r="AA13" i="36"/>
  <c r="W9" i="36"/>
  <c r="W22" i="36"/>
  <c r="W23" i="36"/>
  <c r="S9" i="36"/>
  <c r="AB20" i="35"/>
  <c r="S24" i="35"/>
  <c r="W33" i="35"/>
  <c r="AA30" i="35"/>
  <c r="AA16" i="35"/>
  <c r="AA35" i="37"/>
  <c r="W36" i="37"/>
  <c r="S28" i="37"/>
  <c r="U36" i="37"/>
  <c r="U38" i="37"/>
  <c r="AB37" i="37"/>
  <c r="S33" i="37"/>
  <c r="AC34" i="37"/>
  <c r="AB35" i="37"/>
  <c r="AA31" i="37"/>
  <c r="U19" i="37"/>
  <c r="AA29" i="37"/>
  <c r="AA8" i="37"/>
  <c r="U8" i="37"/>
  <c r="AA40" i="34"/>
  <c r="AB40" i="34"/>
  <c r="U19" i="34"/>
  <c r="W19" i="34"/>
  <c r="AB33" i="34"/>
  <c r="AA30"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AC23" i="34"/>
  <c r="W35" i="34"/>
  <c r="U12" i="34"/>
  <c r="AB12" i="34"/>
  <c r="AB28" i="33"/>
  <c r="AC37" i="33"/>
  <c r="W46" i="33"/>
  <c r="U39" i="33"/>
  <c r="S33" i="33"/>
  <c r="AB34" i="33"/>
  <c r="U44" i="33"/>
  <c r="AB44" i="33"/>
  <c r="AC14" i="33"/>
  <c r="AC30" i="33"/>
  <c r="S31" i="33"/>
  <c r="AA31" i="33"/>
  <c r="W13" i="33"/>
  <c r="AC13" i="33"/>
  <c r="U15" i="33"/>
  <c r="S11" i="33"/>
  <c r="U37" i="33"/>
  <c r="AC28" i="33"/>
  <c r="S28" i="33"/>
  <c r="W9" i="33"/>
  <c r="W8" i="33"/>
  <c r="AB42" i="21"/>
  <c r="U28" i="21"/>
  <c r="AA11" i="21"/>
  <c r="S45" i="21"/>
  <c r="F33" i="21"/>
  <c r="J33" i="21"/>
  <c r="AC33" i="21" s="1"/>
  <c r="H33" i="21"/>
  <c r="AB33" i="21"/>
  <c r="F37" i="21"/>
  <c r="AA37" i="21"/>
  <c r="AB14" i="21"/>
  <c r="U40" i="21"/>
  <c r="U31" i="21"/>
  <c r="W8" i="21"/>
  <c r="S35" i="21"/>
  <c r="AB37" i="21"/>
  <c r="J37" i="21"/>
  <c r="W37" i="21"/>
  <c r="H15" i="21"/>
  <c r="U15" i="21"/>
  <c r="J17" i="21"/>
  <c r="AC17" i="21"/>
  <c r="W39" i="21"/>
  <c r="AC14" i="21"/>
  <c r="W30" i="21"/>
  <c r="H45" i="21"/>
  <c r="U45" i="21" s="1"/>
  <c r="F29" i="21"/>
  <c r="S29" i="21" s="1"/>
  <c r="F13" i="21"/>
  <c r="AA13" i="21" s="1"/>
  <c r="AC38" i="21"/>
  <c r="H32" i="21"/>
  <c r="H9" i="21"/>
  <c r="AB9" i="21" s="1"/>
  <c r="J9" i="21"/>
  <c r="J32" i="21"/>
  <c r="W32" i="21" s="1"/>
  <c r="F32" i="21"/>
  <c r="AA31" i="21"/>
  <c r="U17" i="21"/>
  <c r="S19" i="21"/>
  <c r="S9" i="21"/>
  <c r="AA9" i="21"/>
  <c r="K141" i="21"/>
  <c r="K144" i="21"/>
  <c r="K143" i="21"/>
  <c r="AB25" i="21"/>
  <c r="AA30" i="21"/>
  <c r="W42" i="21"/>
  <c r="AC45" i="21"/>
  <c r="F10" i="21"/>
  <c r="AA10" i="21" s="1"/>
  <c r="K145" i="21"/>
  <c r="W17"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D19" i="12"/>
  <c r="C19" i="12" s="1"/>
  <c r="AR11" i="1"/>
  <c r="T13" i="1"/>
  <c r="S7" i="1"/>
  <c r="AQ7" i="1" s="1"/>
  <c r="E7" i="70"/>
  <c r="AA39" i="40"/>
  <c r="S39" i="40"/>
  <c r="AA12" i="33"/>
  <c r="J32" i="39"/>
  <c r="H32" i="39"/>
  <c r="AB32" i="39" s="1"/>
  <c r="U21" i="39"/>
  <c r="U9" i="35"/>
  <c r="AB9" i="35"/>
  <c r="S9" i="35"/>
  <c r="AC17" i="37"/>
  <c r="S17" i="37"/>
  <c r="J19" i="37"/>
  <c r="AA19" i="37"/>
  <c r="J23" i="37"/>
  <c r="W23" i="37" s="1"/>
  <c r="G79" i="37"/>
  <c r="J10" i="37"/>
  <c r="AC10"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C37" i="21"/>
  <c r="U33" i="21"/>
  <c r="S37" i="21"/>
  <c r="AB15" i="21"/>
  <c r="J23" i="21"/>
  <c r="F85" i="21"/>
  <c r="G85" i="21" s="1"/>
  <c r="H23" i="21"/>
  <c r="U23" i="21" s="1"/>
  <c r="D6" i="52"/>
  <c r="S6" i="43"/>
  <c r="S4" i="43"/>
  <c r="S7" i="43"/>
  <c r="I102" i="43"/>
  <c r="I106" i="43"/>
  <c r="I103" i="43"/>
  <c r="D103" i="43"/>
  <c r="D107" i="43"/>
  <c r="T8" i="1"/>
  <c r="L27" i="6"/>
  <c r="AP7" i="1"/>
  <c r="AB45" i="21"/>
  <c r="W33" i="21"/>
  <c r="S33" i="21"/>
  <c r="AA33" i="21"/>
  <c r="AC32" i="21"/>
  <c r="U9" i="21"/>
  <c r="AA32" i="21"/>
  <c r="S32" i="21"/>
  <c r="W9" i="21"/>
  <c r="AC9" i="21"/>
  <c r="AB32" i="21"/>
  <c r="U32" i="21"/>
  <c r="S10" i="21"/>
  <c r="A18" i="62"/>
  <c r="B64" i="72" s="1"/>
  <c r="AC32" i="39"/>
  <c r="W32" i="39"/>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AC11" i="37"/>
  <c r="W11" i="37"/>
  <c r="W11" i="34"/>
  <c r="R7" i="1"/>
  <c r="F34" i="11"/>
  <c r="F11" i="12"/>
  <c r="C23" i="12" s="1"/>
  <c r="F34" i="68"/>
  <c r="R8" i="1"/>
  <c r="AE7" i="1"/>
  <c r="AE8" i="1"/>
  <c r="AG6" i="1"/>
  <c r="H109" i="9"/>
  <c r="M49" i="9" s="1"/>
  <c r="H110" i="9"/>
  <c r="D18" i="53" s="1"/>
  <c r="B35" i="72" s="1"/>
  <c r="D16" i="53"/>
  <c r="B34" i="72" s="1"/>
  <c r="H112" i="9"/>
  <c r="D21" i="53" s="1"/>
  <c r="B39" i="72" s="1"/>
  <c r="H111" i="9"/>
  <c r="D126" i="9"/>
  <c r="D19" i="53"/>
  <c r="B38" i="72"/>
  <c r="D20" i="53"/>
  <c r="B40" i="72"/>
  <c r="AD3" i="71"/>
  <c r="J1" i="73"/>
  <c r="C13" i="12"/>
  <c r="H77" i="43"/>
  <c r="H76" i="43"/>
  <c r="H51" i="43"/>
  <c r="H59"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C24" i="12"/>
  <c r="AB16" i="71"/>
  <c r="X14" i="71"/>
  <c r="X13" i="71"/>
  <c r="AA14" i="71"/>
  <c r="AA13" i="71"/>
  <c r="X17" i="71"/>
  <c r="Y13" i="71"/>
  <c r="Z13" i="71" s="1"/>
  <c r="AB14" i="71"/>
  <c r="AB13" i="71"/>
  <c r="Y14" i="71"/>
  <c r="Z14" i="71" s="1"/>
  <c r="X3" i="71"/>
  <c r="G20" i="43"/>
  <c r="E41" i="43" s="1"/>
  <c r="C41" i="43" s="1"/>
  <c r="F7" i="73"/>
  <c r="J15" i="15"/>
  <c r="M26" i="15"/>
  <c r="AO7" i="1"/>
  <c r="B7" i="76"/>
  <c r="F16" i="15"/>
  <c r="D2" i="33"/>
  <c r="F43" i="67"/>
  <c r="M28" i="67"/>
  <c r="M22" i="67"/>
  <c r="F42" i="67"/>
  <c r="M29" i="67"/>
  <c r="E2" i="68"/>
  <c r="F35" i="67"/>
  <c r="B9" i="76"/>
  <c r="D2" i="35"/>
  <c r="F43" i="15"/>
  <c r="D2" i="21"/>
  <c r="F37" i="15"/>
  <c r="M23" i="15"/>
  <c r="F40" i="67"/>
  <c r="J15" i="67"/>
  <c r="D3" i="73"/>
  <c r="AO11" i="1"/>
  <c r="F41" i="67"/>
  <c r="F7" i="67"/>
  <c r="F38" i="67"/>
  <c r="B10" i="76"/>
  <c r="F9" i="15"/>
  <c r="E11" i="76"/>
  <c r="M24" i="67"/>
  <c r="D2" i="36"/>
  <c r="M9" i="67"/>
  <c r="E9" i="76"/>
  <c r="AO12" i="1"/>
  <c r="M24" i="15"/>
  <c r="F9" i="67"/>
  <c r="B13" i="76"/>
  <c r="F36" i="67"/>
  <c r="AO13" i="1"/>
  <c r="M8" i="67"/>
  <c r="M8" i="15"/>
  <c r="M29" i="15"/>
  <c r="L48" i="15"/>
  <c r="M9" i="15"/>
  <c r="D7" i="73"/>
  <c r="L48" i="67"/>
  <c r="D2" i="34"/>
  <c r="M6" i="15"/>
  <c r="F6" i="73"/>
  <c r="B11" i="76"/>
  <c r="M22" i="15"/>
  <c r="F6" i="15"/>
  <c r="F6" i="67"/>
  <c r="F8" i="15"/>
  <c r="F40" i="15"/>
  <c r="L47" i="67"/>
  <c r="E13" i="76"/>
  <c r="M21" i="67"/>
  <c r="F5" i="73"/>
  <c r="D4" i="73"/>
  <c r="C76" i="15"/>
  <c r="D6" i="73"/>
  <c r="F37" i="67"/>
  <c r="L47" i="15"/>
  <c r="B8" i="76"/>
  <c r="AO9" i="1"/>
  <c r="E8" i="76"/>
  <c r="F4" i="73"/>
  <c r="E12" i="76"/>
  <c r="F13" i="15"/>
  <c r="M6" i="67"/>
  <c r="B12" i="76"/>
  <c r="C76" i="67"/>
  <c r="F38" i="15"/>
  <c r="F7" i="15"/>
  <c r="D5" i="73"/>
  <c r="M28" i="15"/>
  <c r="D9" i="68"/>
  <c r="F36" i="15"/>
  <c r="F20" i="31"/>
  <c r="D2" i="37"/>
  <c r="F16" i="67"/>
  <c r="E2" i="69"/>
  <c r="F8" i="67"/>
  <c r="AO8" i="1"/>
  <c r="M23" i="67"/>
  <c r="M26" i="67"/>
  <c r="F42" i="15"/>
  <c r="M27" i="67"/>
  <c r="AO10" i="1"/>
  <c r="F13" i="67"/>
  <c r="E10" i="76"/>
  <c r="F26" i="67"/>
  <c r="M27" i="15"/>
  <c r="F3" i="73"/>
  <c r="F26" i="15"/>
  <c r="E7" i="76"/>
  <c r="D70" i="39" l="1"/>
  <c r="E68" i="39"/>
  <c r="F68" i="39" s="1"/>
  <c r="F70" i="39" s="1"/>
  <c r="U11" i="36"/>
  <c r="AB11" i="36"/>
  <c r="W12" i="37"/>
  <c r="AC12" i="37"/>
  <c r="AC40" i="37"/>
  <c r="W40" i="37"/>
  <c r="U27" i="40"/>
  <c r="AB27" i="40"/>
  <c r="AZ544" i="3"/>
  <c r="AZ542" i="3"/>
  <c r="G17" i="43"/>
  <c r="C16" i="43" s="1"/>
  <c r="I14" i="74"/>
  <c r="B8" i="74" s="1"/>
  <c r="D127" i="9"/>
  <c r="D13" i="52" s="1"/>
  <c r="D12" i="52"/>
  <c r="L68" i="9"/>
  <c r="M68" i="9" s="1"/>
  <c r="L65" i="9"/>
  <c r="M65" i="9" s="1"/>
  <c r="L66" i="9"/>
  <c r="M66" i="9" s="1"/>
  <c r="L64" i="9"/>
  <c r="M64" i="9" s="1"/>
  <c r="L63" i="9"/>
  <c r="M63" i="9" s="1"/>
  <c r="M69" i="9" s="1"/>
  <c r="N69" i="9" s="1"/>
  <c r="L67" i="9"/>
  <c r="M67" i="9" s="1"/>
  <c r="AZ585" i="3"/>
  <c r="AZ587" i="3"/>
  <c r="AZ583" i="3"/>
  <c r="AZ573" i="3"/>
  <c r="AZ569" i="3"/>
  <c r="AZ556" i="3"/>
  <c r="AZ554" i="3"/>
  <c r="G5" i="3"/>
  <c r="B3" i="3" s="1"/>
  <c r="S44" i="33"/>
  <c r="AA44" i="33"/>
  <c r="BL585" i="3"/>
  <c r="H13" i="21"/>
  <c r="J13" i="21"/>
  <c r="J29" i="21"/>
  <c r="H29" i="21"/>
  <c r="J44" i="21"/>
  <c r="H44" i="21"/>
  <c r="F44" i="21"/>
  <c r="AC9" i="34"/>
  <c r="W9" i="34"/>
  <c r="U12" i="35"/>
  <c r="AB12" i="35"/>
  <c r="AC28" i="35"/>
  <c r="W28" i="35"/>
  <c r="H23" i="35"/>
  <c r="F23" i="35"/>
  <c r="H27" i="37"/>
  <c r="F27" i="37"/>
  <c r="J27" i="37"/>
  <c r="AA40" i="39"/>
  <c r="S40" i="39"/>
  <c r="H44" i="39"/>
  <c r="F44" i="39"/>
  <c r="J44" i="39"/>
  <c r="AC8" i="40"/>
  <c r="W8" i="40"/>
  <c r="AB34" i="40"/>
  <c r="U34" i="40"/>
  <c r="AB40" i="40"/>
  <c r="U40" i="40"/>
  <c r="H13" i="40"/>
  <c r="J13" i="40"/>
  <c r="F13" i="40"/>
  <c r="AC32" i="40"/>
  <c r="W32" i="40"/>
  <c r="U42" i="34"/>
  <c r="AB42" i="34"/>
  <c r="AA30" i="36"/>
  <c r="S30" i="36"/>
  <c r="BL548" i="3"/>
  <c r="AZ548" i="3" s="1"/>
  <c r="H60" i="43"/>
  <c r="H67" i="43"/>
  <c r="D17" i="53"/>
  <c r="B36" i="72" s="1"/>
  <c r="D124" i="9"/>
  <c r="C36" i="11"/>
  <c r="D104" i="43"/>
  <c r="S13" i="21"/>
  <c r="AA23" i="21"/>
  <c r="AA23" i="37"/>
  <c r="W25" i="21"/>
  <c r="AC19" i="21"/>
  <c r="AC15" i="21"/>
  <c r="AA26" i="21"/>
  <c r="U38" i="33"/>
  <c r="W33" i="34"/>
  <c r="AA11" i="37"/>
  <c r="S40" i="37"/>
  <c r="W32" i="37"/>
  <c r="U24" i="35"/>
  <c r="U32" i="36"/>
  <c r="S8" i="39"/>
  <c r="W25" i="39"/>
  <c r="U42" i="39"/>
  <c r="S8" i="40"/>
  <c r="W28" i="40"/>
  <c r="U32" i="40"/>
  <c r="C36" i="69"/>
  <c r="E56" i="39"/>
  <c r="H64" i="43"/>
  <c r="H66" i="43"/>
  <c r="C48" i="35"/>
  <c r="D48" i="35" s="1"/>
  <c r="H84" i="43"/>
  <c r="H85" i="43"/>
  <c r="K104" i="43"/>
  <c r="W43" i="21"/>
  <c r="W15" i="33"/>
  <c r="S46" i="33"/>
  <c r="AA29" i="33"/>
  <c r="S13" i="34"/>
  <c r="U27" i="34"/>
  <c r="S17" i="34"/>
  <c r="AA25" i="34"/>
  <c r="AB35" i="34"/>
  <c r="W41" i="34"/>
  <c r="U15" i="37"/>
  <c r="S37" i="37"/>
  <c r="AC10" i="35"/>
  <c r="S22" i="35"/>
  <c r="AA33" i="35"/>
  <c r="U36" i="35"/>
  <c r="AA22" i="36"/>
  <c r="S29" i="36"/>
  <c r="AA26" i="36"/>
  <c r="U14" i="39"/>
  <c r="F21" i="39"/>
  <c r="AA21" i="39" s="1"/>
  <c r="W39" i="39"/>
  <c r="U21" i="40"/>
  <c r="AA32" i="40"/>
  <c r="AC36" i="40"/>
  <c r="H12" i="39"/>
  <c r="H82" i="43"/>
  <c r="C20" i="43"/>
  <c r="T12" i="43" s="1"/>
  <c r="V12" i="43" s="1"/>
  <c r="F27" i="40"/>
  <c r="J27" i="40"/>
  <c r="W37" i="37"/>
  <c r="BC5" i="3"/>
  <c r="E15" i="6" s="1"/>
  <c r="BN5" i="3"/>
  <c r="S42" i="39"/>
  <c r="H5" i="3"/>
  <c r="F12" i="39"/>
  <c r="F12" i="37"/>
  <c r="H12" i="37"/>
  <c r="U12" i="21"/>
  <c r="W37" i="34"/>
  <c r="U39" i="37"/>
  <c r="W23" i="35"/>
  <c r="AC28" i="34"/>
  <c r="W29" i="33"/>
  <c r="S45" i="33"/>
  <c r="AC30" i="34"/>
  <c r="W11" i="35"/>
  <c r="S11" i="36"/>
  <c r="AB26" i="33"/>
  <c r="J14" i="39"/>
  <c r="S14" i="33"/>
  <c r="AA14" i="33"/>
  <c r="AC12" i="40"/>
  <c r="S8" i="33"/>
  <c r="AA41" i="33"/>
  <c r="S41" i="33"/>
  <c r="U23" i="34"/>
  <c r="AB23" i="34"/>
  <c r="F27" i="34"/>
  <c r="U38" i="40"/>
  <c r="W33" i="33"/>
  <c r="S34" i="34"/>
  <c r="BL586" i="3"/>
  <c r="AZ586" i="3" s="1"/>
  <c r="J27" i="21"/>
  <c r="H27" i="21"/>
  <c r="F27" i="21"/>
  <c r="H46" i="21"/>
  <c r="J46" i="21"/>
  <c r="F46" i="21"/>
  <c r="AB8" i="33"/>
  <c r="U8" i="33"/>
  <c r="AB33" i="33"/>
  <c r="U33" i="33"/>
  <c r="AC39" i="33"/>
  <c r="W39" i="33"/>
  <c r="AB34" i="34"/>
  <c r="U34" i="34"/>
  <c r="AA35" i="34"/>
  <c r="S35" i="34"/>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J43" i="39"/>
  <c r="F43" i="39"/>
  <c r="H43" i="39"/>
  <c r="H45" i="39"/>
  <c r="F45" i="39"/>
  <c r="J45" i="39"/>
  <c r="E101" i="39"/>
  <c r="F101" i="39" s="1"/>
  <c r="G101" i="39" s="1"/>
  <c r="H27" i="39"/>
  <c r="F27" i="39"/>
  <c r="AA38" i="39"/>
  <c r="S38" i="39"/>
  <c r="W9" i="40"/>
  <c r="AC9" i="40"/>
  <c r="AA34" i="40"/>
  <c r="S34" i="40"/>
  <c r="AA40" i="40"/>
  <c r="S40" i="40"/>
  <c r="W40" i="40"/>
  <c r="AC40" i="40"/>
  <c r="J33" i="40"/>
  <c r="F33" i="40"/>
  <c r="H33" i="40"/>
  <c r="BA550" i="3"/>
  <c r="AZ550" i="3" s="1"/>
  <c r="AZ422"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BL16" i="3"/>
  <c r="AZ399" i="3"/>
  <c r="AZ404" i="3"/>
  <c r="AZ409" i="3"/>
  <c r="AZ411" i="3"/>
  <c r="AZ421" i="3"/>
  <c r="AA21" i="21"/>
  <c r="S21" i="21"/>
  <c r="C20" i="71"/>
  <c r="D20" i="71" s="1"/>
  <c r="D21" i="71"/>
  <c r="D34" i="71"/>
  <c r="T34" i="71"/>
  <c r="AB28" i="71"/>
  <c r="AB27" i="71"/>
  <c r="AA29" i="71"/>
  <c r="AA30" i="71"/>
  <c r="D36" i="71"/>
  <c r="C37" i="71"/>
  <c r="D46" i="71"/>
  <c r="T46" i="71"/>
  <c r="C49" i="71"/>
  <c r="D48" i="71"/>
  <c r="D54" i="71"/>
  <c r="T54" i="71"/>
  <c r="AA15" i="71"/>
  <c r="AA12" i="71"/>
  <c r="AA16" i="71"/>
  <c r="AB15" i="71"/>
  <c r="AB6" i="71"/>
  <c r="X9" i="71"/>
  <c r="X8" i="71"/>
  <c r="X5" i="71"/>
  <c r="X7" i="71"/>
  <c r="X6" i="71"/>
  <c r="AA9" i="71"/>
  <c r="AA8" i="71"/>
  <c r="AA7" i="71"/>
  <c r="AA6" i="71"/>
  <c r="AA3" i="71"/>
  <c r="AA5" i="71"/>
  <c r="X11" i="71"/>
  <c r="AA11" i="71"/>
  <c r="BI5" i="3"/>
  <c r="BE5" i="3"/>
  <c r="BP5" i="3"/>
  <c r="G29" i="6" s="1"/>
  <c r="BO5" i="3"/>
  <c r="F29" i="6" s="1"/>
  <c r="BT5" i="3"/>
  <c r="G28" i="6" s="1"/>
  <c r="BQ5" i="3"/>
  <c r="F28" i="6" s="1"/>
  <c r="E28" i="6" s="1"/>
  <c r="AZ207" i="3"/>
  <c r="AZ22" i="3"/>
  <c r="AZ25" i="3"/>
  <c r="AZ36" i="3"/>
  <c r="AZ46" i="3"/>
  <c r="AZ57" i="3"/>
  <c r="AZ62" i="3"/>
  <c r="AZ81" i="3"/>
  <c r="AZ99" i="3"/>
  <c r="AZ103" i="3"/>
  <c r="AZ106" i="3"/>
  <c r="G12" i="1"/>
  <c r="AC21" i="33"/>
  <c r="AC21" i="37"/>
  <c r="U21" i="34"/>
  <c r="W18" i="36"/>
  <c r="D45" i="71"/>
  <c r="AA20" i="71"/>
  <c r="F22" i="71"/>
  <c r="F21" i="71" s="1"/>
  <c r="F20" i="71" s="1"/>
  <c r="AB20" i="71"/>
  <c r="C30" i="71"/>
  <c r="D29" i="71"/>
  <c r="AA26" i="71"/>
  <c r="AA27" i="71"/>
  <c r="B29" i="71"/>
  <c r="B30" i="71" s="1"/>
  <c r="S30" i="71" s="1"/>
  <c r="Y25" i="71"/>
  <c r="Z25" i="71" s="1"/>
  <c r="C26" i="71"/>
  <c r="Y19" i="71"/>
  <c r="Z19" i="71" s="1"/>
  <c r="Y21" i="71"/>
  <c r="Z21" i="71" s="1"/>
  <c r="AB25" i="71"/>
  <c r="X25" i="71"/>
  <c r="X26" i="71"/>
  <c r="X23" i="71"/>
  <c r="X20" i="71"/>
  <c r="AB26" i="71"/>
  <c r="AB23" i="71"/>
  <c r="AA25" i="71"/>
  <c r="AA32" i="71"/>
  <c r="AA31" i="71"/>
  <c r="X33" i="71"/>
  <c r="X29" i="71"/>
  <c r="E37" i="71"/>
  <c r="E38" i="71" s="1"/>
  <c r="U38" i="71" s="1"/>
  <c r="E16" i="71"/>
  <c r="E15" i="71" s="1"/>
  <c r="E14" i="71" s="1"/>
  <c r="G11" i="1"/>
  <c r="J51" i="15"/>
  <c r="B21" i="71"/>
  <c r="B20" i="71" s="1"/>
  <c r="S22" i="71"/>
  <c r="E33" i="71"/>
  <c r="E34" i="71" s="1"/>
  <c r="U34" i="71" s="1"/>
  <c r="T22" i="71"/>
  <c r="D22" i="71"/>
  <c r="U22" i="71" s="1"/>
  <c r="X19" i="71"/>
  <c r="X21" i="71"/>
  <c r="E24" i="71"/>
  <c r="E25" i="71" s="1"/>
  <c r="E26" i="71" s="1"/>
  <c r="U26" i="71" s="1"/>
  <c r="AA23" i="71"/>
  <c r="AA19" i="71"/>
  <c r="AA21" i="71"/>
  <c r="X24" i="71"/>
  <c r="AB24" i="71"/>
  <c r="AA28" i="71"/>
  <c r="Y29" i="71"/>
  <c r="Z29" i="71" s="1"/>
  <c r="Y27" i="71"/>
  <c r="Z27" i="71" s="1"/>
  <c r="B32" i="71"/>
  <c r="B33" i="71" s="1"/>
  <c r="B34" i="71" s="1"/>
  <c r="S34" i="71" s="1"/>
  <c r="X31" i="71"/>
  <c r="AB32" i="71"/>
  <c r="AB31" i="71"/>
  <c r="S62" i="71"/>
  <c r="B61" i="71"/>
  <c r="N62" i="71"/>
  <c r="T66" i="71"/>
  <c r="C65" i="71"/>
  <c r="T74" i="71"/>
  <c r="C73" i="71"/>
  <c r="AB21" i="71"/>
  <c r="AB19" i="71"/>
  <c r="X18" i="71"/>
  <c r="Y16" i="71"/>
  <c r="Z16" i="71" s="1"/>
  <c r="Y17" i="71"/>
  <c r="Z17" i="71" s="1"/>
  <c r="C18" i="71"/>
  <c r="Y18" i="71"/>
  <c r="Z18" i="71" s="1"/>
  <c r="AB17" i="71"/>
  <c r="AB18" i="71"/>
  <c r="F18" i="71"/>
  <c r="F17" i="71" s="1"/>
  <c r="F16" i="71" s="1"/>
  <c r="F15" i="71" s="1"/>
  <c r="F14" i="71" s="1"/>
  <c r="F13" i="71" s="1"/>
  <c r="F12" i="71" s="1"/>
  <c r="F11" i="71" s="1"/>
  <c r="Y15" i="71"/>
  <c r="Z15" i="71" s="1"/>
  <c r="Y6" i="71"/>
  <c r="Z6" i="71" s="1"/>
  <c r="AA17" i="71"/>
  <c r="AA18" i="71"/>
  <c r="X16" i="71"/>
  <c r="B18" i="71"/>
  <c r="X15" i="71"/>
  <c r="Y12" i="71"/>
  <c r="Z12" i="71" s="1"/>
  <c r="AB12" i="71"/>
  <c r="Y8" i="71"/>
  <c r="Z8" i="71" s="1"/>
  <c r="Y11" i="71"/>
  <c r="Z11" i="71" s="1"/>
  <c r="AB11" i="71"/>
  <c r="AB5" i="71"/>
  <c r="Y7" i="71"/>
  <c r="Z7" i="71" s="1"/>
  <c r="AB9" i="71"/>
  <c r="AB7" i="71"/>
  <c r="AB8" i="71"/>
  <c r="Y5" i="71"/>
  <c r="Z5" i="71" s="1"/>
  <c r="F81" i="39"/>
  <c r="G81" i="39" s="1"/>
  <c r="H81" i="39" s="1"/>
  <c r="I81" i="39" s="1"/>
  <c r="J81" i="39" s="1"/>
  <c r="K81" i="39" s="1"/>
  <c r="L81" i="39" s="1"/>
  <c r="M81" i="39" s="1"/>
  <c r="J11" i="39"/>
  <c r="S11" i="39"/>
  <c r="S32" i="39"/>
  <c r="U37" i="39"/>
  <c r="W29" i="39"/>
  <c r="U29" i="39"/>
  <c r="W27" i="39"/>
  <c r="S21" i="39"/>
  <c r="W42" i="39"/>
  <c r="W40" i="39"/>
  <c r="AA39" i="39"/>
  <c r="AB34" i="39"/>
  <c r="U32" i="39"/>
  <c r="S29" i="39"/>
  <c r="S23" i="39"/>
  <c r="AC21" i="39"/>
  <c r="AB15" i="39"/>
  <c r="AC15" i="39"/>
  <c r="F26" i="35"/>
  <c r="J26" i="35"/>
  <c r="H26" i="35"/>
  <c r="G87" i="35"/>
  <c r="H87" i="35" s="1"/>
  <c r="I87" i="35" s="1"/>
  <c r="J87" i="35" s="1"/>
  <c r="K87" i="35" s="1"/>
  <c r="L87" i="35" s="1"/>
  <c r="M87" i="35" s="1"/>
  <c r="J29" i="35"/>
  <c r="AC8" i="35"/>
  <c r="U8" i="35"/>
  <c r="AC38" i="39"/>
  <c r="C9" i="68"/>
  <c r="W8" i="39"/>
  <c r="D5" i="43"/>
  <c r="C36" i="43" s="1"/>
  <c r="E36" i="43" s="1"/>
  <c r="C5" i="43"/>
  <c r="P61" i="15"/>
  <c r="C94" i="9"/>
  <c r="C92" i="9"/>
  <c r="C5" i="11"/>
  <c r="B41" i="1"/>
  <c r="C21" i="69"/>
  <c r="D22" i="67"/>
  <c r="AR7" i="1"/>
  <c r="G30" i="6"/>
  <c r="G31" i="6" s="1"/>
  <c r="D102" i="43"/>
  <c r="D106" i="43"/>
  <c r="D105" i="43"/>
  <c r="I105" i="43"/>
  <c r="I107" i="43"/>
  <c r="I104" i="43"/>
  <c r="J22" i="43"/>
  <c r="S3" i="43"/>
  <c r="C23" i="43"/>
  <c r="C21" i="43" s="1"/>
  <c r="T9" i="1"/>
  <c r="AQ9" i="1"/>
  <c r="D9" i="69"/>
  <c r="C9" i="69" s="1"/>
  <c r="AQ13" i="1"/>
  <c r="N109" i="43"/>
  <c r="S5" i="43"/>
  <c r="K109" i="43"/>
  <c r="N107" i="43"/>
  <c r="E101" i="43"/>
  <c r="M101" i="43"/>
  <c r="M105" i="43" s="1"/>
  <c r="H22" i="43"/>
  <c r="E14" i="6"/>
  <c r="E10" i="6"/>
  <c r="E22" i="43"/>
  <c r="F101" i="43"/>
  <c r="F107" i="43" s="1"/>
  <c r="E180" i="3"/>
  <c r="E221" i="3"/>
  <c r="E91" i="3"/>
  <c r="E254" i="3"/>
  <c r="E134" i="3"/>
  <c r="E130" i="3"/>
  <c r="E216" i="3"/>
  <c r="E231" i="3"/>
  <c r="E380"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O9" i="1"/>
  <c r="P9" i="1" s="1"/>
  <c r="T7" i="1"/>
  <c r="AR8" i="1"/>
  <c r="E103" i="43"/>
  <c r="E102" i="43"/>
  <c r="P6" i="1"/>
  <c r="O7" i="1"/>
  <c r="P7" i="1" s="1"/>
  <c r="AQ10" i="1"/>
  <c r="AR10" i="1"/>
  <c r="F102" i="43"/>
  <c r="H16" i="1"/>
  <c r="Q16" i="1"/>
  <c r="E109" i="43"/>
  <c r="M107" i="43"/>
  <c r="E105" i="43"/>
  <c r="E107" i="43"/>
  <c r="E51" i="40"/>
  <c r="T12" i="1"/>
  <c r="F106" i="43"/>
  <c r="P12" i="1"/>
  <c r="N102" i="43"/>
  <c r="N105" i="43"/>
  <c r="N104" i="43"/>
  <c r="K103" i="43"/>
  <c r="K102" i="43"/>
  <c r="K105" i="43"/>
  <c r="B113" i="43"/>
  <c r="G101" i="43"/>
  <c r="C101" i="43"/>
  <c r="J101" i="43"/>
  <c r="N104" i="46"/>
  <c r="L101" i="43"/>
  <c r="H101" i="43"/>
  <c r="G22" i="43"/>
  <c r="D22" i="43" s="1"/>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P8" i="1"/>
  <c r="O10" i="1"/>
  <c r="P10" i="1" s="1"/>
  <c r="P13" i="1"/>
  <c r="G6" i="1"/>
  <c r="G16" i="1" s="1"/>
  <c r="T14" i="43"/>
  <c r="V14" i="43" s="1"/>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Y10" i="71"/>
  <c r="Z10" i="71" s="1"/>
  <c r="Y9" i="71"/>
  <c r="AA10" i="71"/>
  <c r="AB3" i="71"/>
  <c r="C35" i="43"/>
  <c r="E35" i="43" s="1"/>
  <c r="T9" i="43"/>
  <c r="V9" i="43" s="1"/>
  <c r="C37" i="43"/>
  <c r="E37" i="43" s="1"/>
  <c r="X10" i="71"/>
  <c r="AB10" i="71"/>
  <c r="T4" i="43"/>
  <c r="V4" i="43" s="1"/>
  <c r="T6" i="43"/>
  <c r="V6" i="43" s="1"/>
  <c r="Z9" i="71"/>
  <c r="Y3" i="71"/>
  <c r="Z3" i="71" s="1"/>
  <c r="F10" i="71"/>
  <c r="F9" i="71" s="1"/>
  <c r="F8" i="71" s="1"/>
  <c r="F7" i="71" s="1"/>
  <c r="F6" i="71" s="1"/>
  <c r="F5" i="71" s="1"/>
  <c r="AF3" i="71"/>
  <c r="P22" i="43" s="1"/>
  <c r="C34" i="43"/>
  <c r="T7" i="43"/>
  <c r="V7" i="43" s="1"/>
  <c r="T16" i="43"/>
  <c r="V16" i="43" s="1"/>
  <c r="T8" i="43"/>
  <c r="V8" i="43" s="1"/>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G1" i="73"/>
  <c r="C17" i="67"/>
  <c r="C16" i="67"/>
  <c r="C16" i="15"/>
  <c r="C14" i="67"/>
  <c r="E29" i="6" l="1"/>
  <c r="K15" i="1" s="1"/>
  <c r="F30" i="6"/>
  <c r="F31" i="6" s="1"/>
  <c r="E65" i="39"/>
  <c r="E60" i="40"/>
  <c r="B17" i="71"/>
  <c r="B16" i="71" s="1"/>
  <c r="B15" i="71" s="1"/>
  <c r="B14" i="71" s="1"/>
  <c r="S18" i="71"/>
  <c r="C17" i="71"/>
  <c r="T18" i="71"/>
  <c r="D18" i="71"/>
  <c r="U18" i="71" s="1"/>
  <c r="D73" i="71"/>
  <c r="C72" i="71"/>
  <c r="D72" i="71" s="1"/>
  <c r="C64" i="71"/>
  <c r="D64" i="71" s="1"/>
  <c r="D65" i="71"/>
  <c r="C38" i="71"/>
  <c r="D37" i="71"/>
  <c r="S33" i="40"/>
  <c r="AA33" i="40"/>
  <c r="S27" i="39"/>
  <c r="AA27" i="39"/>
  <c r="S45" i="39"/>
  <c r="AA45" i="39"/>
  <c r="AB43" i="39"/>
  <c r="U43" i="39"/>
  <c r="W43" i="39"/>
  <c r="AC43" i="39"/>
  <c r="W39" i="37"/>
  <c r="AC39" i="37"/>
  <c r="S14" i="37"/>
  <c r="AA14" i="37"/>
  <c r="AB24" i="36"/>
  <c r="U24" i="36"/>
  <c r="AA12" i="36"/>
  <c r="S12" i="36"/>
  <c r="W12" i="36"/>
  <c r="AC12" i="36"/>
  <c r="AA35" i="35"/>
  <c r="S35" i="35"/>
  <c r="U25" i="35"/>
  <c r="AB25" i="35"/>
  <c r="W25" i="35"/>
  <c r="AC25" i="35"/>
  <c r="W13" i="35"/>
  <c r="AC13" i="35"/>
  <c r="W47" i="34"/>
  <c r="AC47" i="34"/>
  <c r="U47" i="34"/>
  <c r="AB47" i="34"/>
  <c r="W45" i="34"/>
  <c r="AC45" i="34"/>
  <c r="AA31" i="34"/>
  <c r="S31" i="34"/>
  <c r="AC31" i="34"/>
  <c r="W31" i="34"/>
  <c r="S29" i="34"/>
  <c r="AA29" i="34"/>
  <c r="AB30" i="33"/>
  <c r="U30" i="33"/>
  <c r="W46" i="21"/>
  <c r="AC46" i="21"/>
  <c r="AA27" i="21"/>
  <c r="S27" i="21"/>
  <c r="AC27" i="21"/>
  <c r="W27" i="21"/>
  <c r="AC14" i="39"/>
  <c r="W14" i="39"/>
  <c r="U12" i="37"/>
  <c r="AB12" i="37"/>
  <c r="AA12" i="39"/>
  <c r="S12" i="39"/>
  <c r="AC27" i="40"/>
  <c r="W27" i="40"/>
  <c r="U12" i="39"/>
  <c r="AB12" i="39"/>
  <c r="D10" i="52"/>
  <c r="D125" i="9"/>
  <c r="D11" i="52" s="1"/>
  <c r="H14" i="74"/>
  <c r="B7" i="74" s="1"/>
  <c r="W13" i="40"/>
  <c r="AC13" i="40"/>
  <c r="AC44" i="39"/>
  <c r="W44" i="39"/>
  <c r="U44" i="39"/>
  <c r="AB44" i="39"/>
  <c r="S27" i="37"/>
  <c r="AA27" i="37"/>
  <c r="AA23" i="35"/>
  <c r="S23" i="35"/>
  <c r="S44" i="21"/>
  <c r="AA44" i="21"/>
  <c r="AC44" i="21"/>
  <c r="W44" i="21"/>
  <c r="AC29" i="21"/>
  <c r="W29" i="21"/>
  <c r="AB13" i="21"/>
  <c r="U13" i="21"/>
  <c r="E439" i="3"/>
  <c r="E387" i="3"/>
  <c r="E215" i="3"/>
  <c r="E191" i="3"/>
  <c r="E99" i="3"/>
  <c r="E188" i="3"/>
  <c r="E228" i="3"/>
  <c r="E181" i="3"/>
  <c r="E140" i="3"/>
  <c r="E120" i="3"/>
  <c r="E85" i="3"/>
  <c r="E45" i="3"/>
  <c r="E223" i="3"/>
  <c r="E277" i="3"/>
  <c r="E238" i="3"/>
  <c r="E224" i="3"/>
  <c r="E197" i="3"/>
  <c r="E116" i="3"/>
  <c r="E133" i="3"/>
  <c r="E105" i="3"/>
  <c r="E313" i="3"/>
  <c r="E369" i="3"/>
  <c r="E330" i="3"/>
  <c r="E393" i="3"/>
  <c r="E519" i="3"/>
  <c r="E532" i="3"/>
  <c r="Q6" i="3"/>
  <c r="E560" i="3"/>
  <c r="E405" i="3"/>
  <c r="E437" i="3"/>
  <c r="E427" i="3"/>
  <c r="E458" i="3"/>
  <c r="E456" i="3"/>
  <c r="E472" i="3"/>
  <c r="E486" i="3"/>
  <c r="E474" i="3"/>
  <c r="E469" i="3"/>
  <c r="E481" i="3"/>
  <c r="E507" i="3"/>
  <c r="E406" i="3"/>
  <c r="E422" i="3"/>
  <c r="E438" i="3"/>
  <c r="E408" i="3"/>
  <c r="E424" i="3"/>
  <c r="E440" i="3"/>
  <c r="E457" i="3"/>
  <c r="E451" i="3"/>
  <c r="E465" i="3"/>
  <c r="E490" i="3"/>
  <c r="E288" i="3"/>
  <c r="E360" i="3"/>
  <c r="E344" i="3"/>
  <c r="E562" i="3"/>
  <c r="AH6" i="3"/>
  <c r="W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407" i="3"/>
  <c r="E320" i="3"/>
  <c r="E294" i="3"/>
  <c r="E230" i="3"/>
  <c r="E136" i="3"/>
  <c r="E156"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56" i="3"/>
  <c r="E584" i="3"/>
  <c r="AE6" i="3"/>
  <c r="T6" i="3"/>
  <c r="E529" i="3"/>
  <c r="E493" i="3"/>
  <c r="E537" i="3"/>
  <c r="E129" i="3"/>
  <c r="E189" i="3"/>
  <c r="E325" i="3"/>
  <c r="E324" i="3"/>
  <c r="E346" i="3"/>
  <c r="BA5" i="3"/>
  <c r="E27" i="6" s="1"/>
  <c r="K20" i="6" s="1"/>
  <c r="M20" i="6" s="1"/>
  <c r="I20" i="6" s="1"/>
  <c r="S20" i="6" s="1"/>
  <c r="E543" i="3"/>
  <c r="J6" i="3"/>
  <c r="E496" i="3"/>
  <c r="E577" i="3"/>
  <c r="E326" i="3"/>
  <c r="E370" i="3"/>
  <c r="E113" i="3"/>
  <c r="E177" i="3"/>
  <c r="E522" i="3"/>
  <c r="E498" i="3"/>
  <c r="E357" i="3"/>
  <c r="C38" i="43"/>
  <c r="E38" i="43" s="1"/>
  <c r="T13" i="43"/>
  <c r="V13" i="43" s="1"/>
  <c r="C33" i="43"/>
  <c r="G33" i="43" s="1"/>
  <c r="I33" i="43" s="1"/>
  <c r="T10" i="43"/>
  <c r="V10" i="43" s="1"/>
  <c r="C29" i="43"/>
  <c r="C30" i="43" s="1"/>
  <c r="E30" i="43" s="1"/>
  <c r="T15" i="43"/>
  <c r="V15" i="43" s="1"/>
  <c r="C39" i="43"/>
  <c r="E39" i="43" s="1"/>
  <c r="F7" i="36"/>
  <c r="J7" i="37"/>
  <c r="AC7" i="37" s="1"/>
  <c r="V42" i="37" s="1"/>
  <c r="I42" i="37" s="1"/>
  <c r="H7" i="36"/>
  <c r="H7" i="34"/>
  <c r="U7" i="34" s="1"/>
  <c r="F7" i="34"/>
  <c r="E70" i="39"/>
  <c r="F103" i="43"/>
  <c r="F109" i="43"/>
  <c r="M104" i="43"/>
  <c r="F105" i="43"/>
  <c r="F104" i="4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38" i="3"/>
  <c r="E321" i="3"/>
  <c r="E298" i="3"/>
  <c r="E169" i="3"/>
  <c r="E185" i="3"/>
  <c r="E61" i="3"/>
  <c r="E135" i="3"/>
  <c r="E290" i="3"/>
  <c r="E161" i="3"/>
  <c r="E117" i="3"/>
  <c r="E13" i="6"/>
  <c r="E11" i="6"/>
  <c r="E12" i="6"/>
  <c r="N61" i="71"/>
  <c r="B60" i="71"/>
  <c r="E13" i="71"/>
  <c r="E12" i="71" s="1"/>
  <c r="E11" i="71" s="1"/>
  <c r="E10" i="71" s="1"/>
  <c r="V14" i="71"/>
  <c r="D26" i="71"/>
  <c r="T26" i="71"/>
  <c r="D30" i="71"/>
  <c r="T30" i="71"/>
  <c r="C50" i="71"/>
  <c r="D49" i="71"/>
  <c r="BL5" i="3"/>
  <c r="AZ16" i="3"/>
  <c r="AZ5" i="3" s="1"/>
  <c r="U33" i="40"/>
  <c r="AB33" i="40"/>
  <c r="AC33" i="40"/>
  <c r="W33" i="40"/>
  <c r="U27" i="39"/>
  <c r="AB27" i="39"/>
  <c r="AC45" i="39"/>
  <c r="W45" i="39"/>
  <c r="AB45" i="39"/>
  <c r="U45" i="39"/>
  <c r="AA43" i="39"/>
  <c r="S43" i="39"/>
  <c r="AA39" i="37"/>
  <c r="S39" i="37"/>
  <c r="AC14" i="37"/>
  <c r="W14" i="37"/>
  <c r="U14" i="37"/>
  <c r="AB14" i="37"/>
  <c r="W24" i="36"/>
  <c r="AC24" i="36"/>
  <c r="AB12" i="36"/>
  <c r="U12" i="36"/>
  <c r="AB35" i="35"/>
  <c r="U35" i="35"/>
  <c r="AC35" i="35"/>
  <c r="W35" i="35"/>
  <c r="S25" i="35"/>
  <c r="AA25" i="35"/>
  <c r="U13" i="35"/>
  <c r="AB13" i="35"/>
  <c r="S13" i="35"/>
  <c r="AA13" i="35"/>
  <c r="S47" i="34"/>
  <c r="AA47" i="34"/>
  <c r="S45" i="34"/>
  <c r="AA45" i="34"/>
  <c r="U45" i="34"/>
  <c r="AB45" i="34"/>
  <c r="U31" i="34"/>
  <c r="AB31" i="34"/>
  <c r="AB29" i="34"/>
  <c r="U29" i="34"/>
  <c r="AA30" i="33"/>
  <c r="S30" i="33"/>
  <c r="AA46" i="21"/>
  <c r="S46" i="21"/>
  <c r="U46" i="21"/>
  <c r="AB46" i="21"/>
  <c r="AB27" i="21"/>
  <c r="U27" i="21"/>
  <c r="AA27" i="34"/>
  <c r="S27" i="34"/>
  <c r="AA12" i="37"/>
  <c r="S12" i="37"/>
  <c r="S27" i="40"/>
  <c r="AA27" i="40"/>
  <c r="E13" i="3"/>
  <c r="AA13" i="40"/>
  <c r="S13" i="40"/>
  <c r="AB13" i="40"/>
  <c r="U13" i="40"/>
  <c r="AA44" i="39"/>
  <c r="S44" i="39"/>
  <c r="AC27" i="37"/>
  <c r="W27" i="37"/>
  <c r="U27" i="37"/>
  <c r="AB27" i="37"/>
  <c r="U23" i="35"/>
  <c r="AB23" i="35"/>
  <c r="U44" i="21"/>
  <c r="AB44" i="21"/>
  <c r="U29" i="21"/>
  <c r="AB29" i="21"/>
  <c r="W13" i="21"/>
  <c r="AC13" i="21"/>
  <c r="E571" i="3"/>
  <c r="L6" i="3"/>
  <c r="E587" i="3"/>
  <c r="E580" i="3"/>
  <c r="E525" i="3"/>
  <c r="E557" i="3"/>
  <c r="E497" i="3"/>
  <c r="E157" i="3"/>
  <c r="E193" i="3"/>
  <c r="E391" i="3"/>
  <c r="E332" i="3"/>
  <c r="E544" i="3"/>
  <c r="E547" i="3"/>
  <c r="K6" i="3"/>
  <c r="E527" i="3"/>
  <c r="E564" i="3"/>
  <c r="E573" i="3"/>
  <c r="E335" i="3"/>
  <c r="E372" i="3"/>
  <c r="E173" i="3"/>
  <c r="E534" i="3"/>
  <c r="E512" i="3"/>
  <c r="E333" i="3"/>
  <c r="E376" i="3"/>
  <c r="W11" i="39"/>
  <c r="AC11" i="39"/>
  <c r="G36" i="43"/>
  <c r="I36" i="43" s="1"/>
  <c r="AC26" i="35"/>
  <c r="W26" i="35"/>
  <c r="AB26" i="35"/>
  <c r="U26" i="35"/>
  <c r="AA26" i="35"/>
  <c r="S26" i="35"/>
  <c r="F29" i="35"/>
  <c r="H29" i="35"/>
  <c r="AC29" i="35"/>
  <c r="W29" i="35"/>
  <c r="F48" i="9"/>
  <c r="O52" i="9" s="1"/>
  <c r="F30" i="11"/>
  <c r="F28" i="67"/>
  <c r="C28" i="67" s="1"/>
  <c r="F52" i="9"/>
  <c r="F32" i="67"/>
  <c r="F60" i="67" s="1"/>
  <c r="F30" i="69"/>
  <c r="F32" i="15"/>
  <c r="F60" i="15" s="1"/>
  <c r="M18" i="15"/>
  <c r="D68" i="9"/>
  <c r="F53" i="9"/>
  <c r="F31" i="12"/>
  <c r="C31" i="12" s="1"/>
  <c r="M18" i="67"/>
  <c r="F54" i="9"/>
  <c r="F30" i="68"/>
  <c r="F28" i="15"/>
  <c r="C28" i="15" s="1"/>
  <c r="E64" i="39"/>
  <c r="E59" i="40"/>
  <c r="M109" i="43"/>
  <c r="M102" i="43"/>
  <c r="M103" i="43"/>
  <c r="M106" i="43"/>
  <c r="E57" i="40"/>
  <c r="E62" i="39"/>
  <c r="K14" i="1"/>
  <c r="K23" i="6"/>
  <c r="M23" i="6" s="1"/>
  <c r="I23" i="6" s="1"/>
  <c r="S23" i="6" s="1"/>
  <c r="K19" i="6"/>
  <c r="S6" i="1" s="1"/>
  <c r="E58" i="40"/>
  <c r="E63" i="39"/>
  <c r="E104" i="43"/>
  <c r="E106" i="43"/>
  <c r="H6" i="3"/>
  <c r="L102" i="43"/>
  <c r="L105" i="43"/>
  <c r="L104" i="43"/>
  <c r="L109" i="43"/>
  <c r="L106" i="43"/>
  <c r="L107" i="43"/>
  <c r="L103" i="43"/>
  <c r="J107" i="43"/>
  <c r="J102" i="43"/>
  <c r="J104" i="43"/>
  <c r="J105" i="43"/>
  <c r="J103" i="43"/>
  <c r="J109" i="43"/>
  <c r="J106" i="43"/>
  <c r="G107" i="43"/>
  <c r="G104" i="43"/>
  <c r="G106" i="43"/>
  <c r="G105" i="43"/>
  <c r="G103" i="43"/>
  <c r="G102" i="43"/>
  <c r="G109" i="43"/>
  <c r="F28" i="12"/>
  <c r="C29" i="12" s="1"/>
  <c r="D28" i="12" s="1"/>
  <c r="F27" i="11"/>
  <c r="F27" i="69"/>
  <c r="H107" i="43"/>
  <c r="H106" i="43"/>
  <c r="H105" i="43"/>
  <c r="H102" i="43"/>
  <c r="H103" i="43"/>
  <c r="H104" i="43"/>
  <c r="H109" i="43"/>
  <c r="C107" i="43"/>
  <c r="C103" i="43"/>
  <c r="C109" i="43"/>
  <c r="C106"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F10" i="39"/>
  <c r="S10" i="39" s="1"/>
  <c r="F10" i="40"/>
  <c r="S10" i="40" s="1"/>
  <c r="H10" i="39"/>
  <c r="U10" i="39" s="1"/>
  <c r="J10" i="40"/>
  <c r="AC10" i="40" s="1"/>
  <c r="J10" i="39"/>
  <c r="W10" i="39" s="1"/>
  <c r="H10" i="40"/>
  <c r="AB10" i="40" s="1"/>
  <c r="F59" i="67"/>
  <c r="G35" i="43"/>
  <c r="I35" i="43" s="1"/>
  <c r="G70" i="39"/>
  <c r="H68" i="39"/>
  <c r="H7" i="37"/>
  <c r="AB7" i="37" s="1"/>
  <c r="T42" i="37" s="1"/>
  <c r="G42" i="37" s="1"/>
  <c r="B40" i="1"/>
  <c r="U10" i="40"/>
  <c r="H7" i="33"/>
  <c r="J7" i="33"/>
  <c r="D65" i="40"/>
  <c r="E63" i="40"/>
  <c r="F48" i="35"/>
  <c r="S7" i="36"/>
  <c r="AA7" i="36"/>
  <c r="R36" i="36" s="1"/>
  <c r="W7" i="37"/>
  <c r="AB7" i="36"/>
  <c r="T36" i="36" s="1"/>
  <c r="G36" i="36" s="1"/>
  <c r="U7" i="36"/>
  <c r="AB7" i="34"/>
  <c r="T49" i="34" s="1"/>
  <c r="G49" i="34" s="1"/>
  <c r="AA7" i="34"/>
  <c r="R49" i="34" s="1"/>
  <c r="S7" i="34"/>
  <c r="AB10" i="39"/>
  <c r="F7" i="33"/>
  <c r="E58" i="21"/>
  <c r="AC7" i="36"/>
  <c r="V36" i="36" s="1"/>
  <c r="I36" i="36" s="1"/>
  <c r="W7" i="36"/>
  <c r="F7" i="37"/>
  <c r="W7" i="34"/>
  <c r="AC7" i="34"/>
  <c r="V49" i="34" s="1"/>
  <c r="I49" i="34" s="1"/>
  <c r="G37" i="43"/>
  <c r="I37" i="43" s="1"/>
  <c r="M17" i="67"/>
  <c r="M17" i="15"/>
  <c r="F59" i="15"/>
  <c r="P24" i="43"/>
  <c r="B66" i="40" s="1"/>
  <c r="P21" i="43"/>
  <c r="C49" i="67"/>
  <c r="G39" i="43"/>
  <c r="I39" i="43" s="1"/>
  <c r="P25" i="43"/>
  <c r="P23" i="43"/>
  <c r="B71" i="39" s="1"/>
  <c r="E29" i="43"/>
  <c r="G38" i="43"/>
  <c r="I38" i="43" s="1"/>
  <c r="G34" i="43"/>
  <c r="I34" i="43" s="1"/>
  <c r="E34" i="43"/>
  <c r="E33" i="43"/>
  <c r="C26" i="43" s="1"/>
  <c r="C49" i="15"/>
  <c r="C15" i="67"/>
  <c r="C18" i="67"/>
  <c r="J18" i="15"/>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C17" i="15"/>
  <c r="F27" i="68"/>
  <c r="D10" i="68"/>
  <c r="E6" i="3" l="1"/>
  <c r="E6" i="70"/>
  <c r="E2" i="70" s="1"/>
  <c r="E3" i="6"/>
  <c r="AY6" i="3"/>
  <c r="N60" i="71"/>
  <c r="N59" i="71"/>
  <c r="E61" i="39"/>
  <c r="E66" i="39" s="1"/>
  <c r="E56" i="40"/>
  <c r="D38" i="71"/>
  <c r="T38" i="71"/>
  <c r="E16" i="6"/>
  <c r="K21" i="6"/>
  <c r="M21" i="6" s="1"/>
  <c r="I21" i="6" s="1"/>
  <c r="S21" i="6" s="1"/>
  <c r="U7" i="37"/>
  <c r="AA10" i="39"/>
  <c r="K25" i="6"/>
  <c r="M25" i="6" s="1"/>
  <c r="I25" i="6" s="1"/>
  <c r="S25" i="6" s="1"/>
  <c r="K26" i="6"/>
  <c r="M26" i="6" s="1"/>
  <c r="I26" i="6" s="1"/>
  <c r="S26" i="6" s="1"/>
  <c r="K22" i="6"/>
  <c r="M22" i="6" s="1"/>
  <c r="I22" i="6" s="1"/>
  <c r="S22" i="6" s="1"/>
  <c r="E30" i="6"/>
  <c r="E31" i="6" s="1"/>
  <c r="D50" i="71"/>
  <c r="T50" i="71"/>
  <c r="E9" i="71"/>
  <c r="E8" i="71" s="1"/>
  <c r="E7" i="71" s="1"/>
  <c r="E6" i="71" s="1"/>
  <c r="V10" i="71"/>
  <c r="C16" i="71"/>
  <c r="D17" i="71"/>
  <c r="B13" i="71"/>
  <c r="B12" i="71" s="1"/>
  <c r="B11" i="71" s="1"/>
  <c r="B10" i="71" s="1"/>
  <c r="S14" i="71"/>
  <c r="K24" i="6"/>
  <c r="M24" i="6" s="1"/>
  <c r="I24" i="6" s="1"/>
  <c r="S24" i="6" s="1"/>
  <c r="AB29" i="35"/>
  <c r="U29" i="35"/>
  <c r="S29" i="35"/>
  <c r="AA29" i="35"/>
  <c r="C32" i="15"/>
  <c r="C32" i="67"/>
  <c r="F48" i="68"/>
  <c r="C30" i="68"/>
  <c r="C48" i="68"/>
  <c r="F48" i="69"/>
  <c r="C48" i="69"/>
  <c r="C30" i="69"/>
  <c r="C30" i="11"/>
  <c r="C48" i="11"/>
  <c r="AR6" i="1"/>
  <c r="T6" i="1"/>
  <c r="AQ6" i="1"/>
  <c r="S16" i="1"/>
  <c r="C10" i="68"/>
  <c r="D19" i="68"/>
  <c r="M19" i="6"/>
  <c r="K27" i="6"/>
  <c r="M14" i="1"/>
  <c r="K16" i="1"/>
  <c r="C34" i="69"/>
  <c r="AA10" i="40"/>
  <c r="W10" i="40"/>
  <c r="D113" i="43"/>
  <c r="C115" i="43"/>
  <c r="C47" i="69"/>
  <c r="D45" i="69" s="1"/>
  <c r="F45" i="69"/>
  <c r="C29" i="69"/>
  <c r="D27" i="69" s="1"/>
  <c r="C29" i="68"/>
  <c r="D27" i="68" s="1"/>
  <c r="F45" i="68"/>
  <c r="C47" i="68"/>
  <c r="D45" i="68" s="1"/>
  <c r="C47" i="11"/>
  <c r="D45" i="11" s="1"/>
  <c r="C29" i="11"/>
  <c r="D27" i="11"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14" i="15"/>
  <c r="E6" i="76"/>
  <c r="F41" i="15"/>
  <c r="C18" i="15" l="1"/>
  <c r="C15" i="15"/>
  <c r="D19" i="11"/>
  <c r="C19" i="11" s="1"/>
  <c r="M18" i="9"/>
  <c r="B118" i="9" s="1"/>
  <c r="B14" i="74" s="1"/>
  <c r="B1" i="74" s="1"/>
  <c r="D37" i="11"/>
  <c r="C37" i="11" s="1"/>
  <c r="D3" i="33"/>
  <c r="L18" i="9"/>
  <c r="D3" i="21"/>
  <c r="D14" i="12"/>
  <c r="D3" i="34"/>
  <c r="E6" i="6"/>
  <c r="D3" i="37"/>
  <c r="C17" i="4"/>
  <c r="B4" i="52" s="1"/>
  <c r="B43" i="72" s="1"/>
  <c r="B9" i="71"/>
  <c r="B8" i="71" s="1"/>
  <c r="B7" i="71" s="1"/>
  <c r="B6" i="71" s="1"/>
  <c r="S10" i="71"/>
  <c r="C15" i="71"/>
  <c r="D16" i="71"/>
  <c r="E5" i="71"/>
  <c r="V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103" i="3"/>
  <c r="AY50" i="3"/>
  <c r="AY160" i="3"/>
  <c r="AY289" i="3"/>
  <c r="AY183" i="3"/>
  <c r="AY261" i="3"/>
  <c r="AY284" i="3"/>
  <c r="AY209" i="3"/>
  <c r="AY319" i="3"/>
  <c r="AY455" i="3"/>
  <c r="AY497" i="3"/>
  <c r="AY116" i="3"/>
  <c r="AY212" i="3"/>
  <c r="AY343" i="3"/>
  <c r="AY478"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82" i="3"/>
  <c r="AY191" i="3"/>
  <c r="AY132" i="3"/>
  <c r="AY31" i="3"/>
  <c r="AY292" i="3"/>
  <c r="AY147" i="3"/>
  <c r="AY220" i="3"/>
  <c r="AY350" i="3"/>
  <c r="AY486" i="3"/>
  <c r="AY425" i="3"/>
  <c r="AY199" i="3"/>
  <c r="AY244" i="3"/>
  <c r="AY355" i="3"/>
  <c r="AY481"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348" i="3"/>
  <c r="AY475" i="3"/>
  <c r="AY462" i="3"/>
  <c r="AY398" i="3"/>
  <c r="BQ6" i="3"/>
  <c r="AY534" i="3"/>
  <c r="AY495" i="3"/>
  <c r="AY501" i="3"/>
  <c r="AY582" i="3"/>
  <c r="AY65" i="3"/>
  <c r="AY194" i="3"/>
  <c r="AY137" i="3"/>
  <c r="AY251" i="3"/>
  <c r="AY380" i="3"/>
  <c r="AY329" i="3"/>
  <c r="AY312"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32" i="3"/>
  <c r="AY488" i="3"/>
  <c r="AY446" i="3"/>
  <c r="AY427" i="3"/>
  <c r="BM6" i="3"/>
  <c r="BF6" i="3"/>
  <c r="AY510" i="3"/>
  <c r="AY584" i="3"/>
  <c r="AY519" i="3"/>
  <c r="AY80" i="3"/>
  <c r="AY189" i="3"/>
  <c r="AY129" i="3"/>
  <c r="AY369"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82" i="3"/>
  <c r="AY345"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67" i="3"/>
  <c r="AY196" i="3"/>
  <c r="AY139" i="3"/>
  <c r="AY74" i="3"/>
  <c r="AY123" i="3"/>
  <c r="AY204" i="3"/>
  <c r="AY252" i="3"/>
  <c r="AY363" i="3"/>
  <c r="AY489" i="3"/>
  <c r="AY412" i="3"/>
  <c r="AY43" i="3"/>
  <c r="AY229" i="3"/>
  <c r="AY379" i="3"/>
  <c r="AY326" i="3"/>
  <c r="AY436"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98" i="3"/>
  <c r="AY18" i="3"/>
  <c r="AY171" i="3"/>
  <c r="AY90" i="3"/>
  <c r="AY163" i="3"/>
  <c r="AY75" i="3"/>
  <c r="AY237" i="3"/>
  <c r="AY387" i="3"/>
  <c r="AY334" i="3"/>
  <c r="AY444" i="3"/>
  <c r="AY526" i="3"/>
  <c r="AY269" i="3"/>
  <c r="AY390" i="3"/>
  <c r="AY311" i="3"/>
  <c r="AY447"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333" i="3"/>
  <c r="AY316" i="3"/>
  <c r="AY472" i="3"/>
  <c r="AY430" i="3"/>
  <c r="AY411" i="3"/>
  <c r="AY585" i="3"/>
  <c r="AY571" i="3"/>
  <c r="BG6" i="3"/>
  <c r="AY494" i="3"/>
  <c r="AY101" i="3"/>
  <c r="AY48" i="3"/>
  <c r="AY158" i="3"/>
  <c r="AY287" i="3"/>
  <c r="AY234" i="3"/>
  <c r="AY364" i="3"/>
  <c r="AY344"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17" i="3"/>
  <c r="AY491" i="3"/>
  <c r="AY457" i="3"/>
  <c r="AY414" i="3"/>
  <c r="AY581" i="3"/>
  <c r="AY561" i="3"/>
  <c r="AY546" i="3"/>
  <c r="AY16" i="3"/>
  <c r="AY514" i="3"/>
  <c r="AY96" i="3"/>
  <c r="AY37" i="3"/>
  <c r="AY169" i="3"/>
  <c r="AY266" i="3"/>
  <c r="AY313"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23" i="3"/>
  <c r="AY328"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C8" i="68"/>
  <c r="B29" i="1"/>
  <c r="F69" i="15"/>
  <c r="J29" i="15"/>
  <c r="C35" i="69"/>
  <c r="C38" i="69"/>
  <c r="M16" i="1"/>
  <c r="N16" i="1" s="1"/>
  <c r="O14" i="1"/>
  <c r="T16" i="1"/>
  <c r="I19" i="6"/>
  <c r="M27"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19" i="15" l="1"/>
  <c r="C20" i="15" s="1"/>
  <c r="C26" i="15" s="1"/>
  <c r="D10" i="69"/>
  <c r="D20" i="12"/>
  <c r="C20" i="12" s="1"/>
  <c r="C18" i="12" s="1"/>
  <c r="D10" i="11"/>
  <c r="C10" i="11" s="1"/>
  <c r="D17" i="12"/>
  <c r="C17" i="12" s="1"/>
  <c r="C14" i="12"/>
  <c r="C20" i="11"/>
  <c r="C25" i="11" s="1"/>
  <c r="C28" i="11"/>
  <c r="C27" i="11" s="1"/>
  <c r="D25" i="6"/>
  <c r="D22" i="6"/>
  <c r="D14" i="6"/>
  <c r="D11" i="6"/>
  <c r="D29" i="6"/>
  <c r="C18" i="4"/>
  <c r="D9" i="6"/>
  <c r="M19" i="9"/>
  <c r="C118" i="9" s="1"/>
  <c r="C14" i="74" s="1"/>
  <c r="B2" i="74" s="1"/>
  <c r="D21" i="6"/>
  <c r="D5" i="6"/>
  <c r="E61" i="40"/>
  <c r="H22" i="6"/>
  <c r="R22" i="6" s="1"/>
  <c r="D8" i="6"/>
  <c r="D13" i="6"/>
  <c r="H25" i="6"/>
  <c r="R25" i="6" s="1"/>
  <c r="H24" i="6"/>
  <c r="D15" i="6"/>
  <c r="D23" i="6"/>
  <c r="D12" i="6"/>
  <c r="L19" i="9"/>
  <c r="D19" i="6"/>
  <c r="D24" i="6"/>
  <c r="D28" i="6"/>
  <c r="D30" i="6" s="1"/>
  <c r="D26" i="6"/>
  <c r="D20" i="6"/>
  <c r="D10" i="6"/>
  <c r="H20" i="6"/>
  <c r="R20" i="6" s="1"/>
  <c r="H23" i="6"/>
  <c r="R23" i="6" s="1"/>
  <c r="D6" i="6"/>
  <c r="H26" i="6"/>
  <c r="R26" i="6" s="1"/>
  <c r="H21" i="6"/>
  <c r="R21" i="6" s="1"/>
  <c r="C14" i="71"/>
  <c r="D15" i="71"/>
  <c r="B5" i="71"/>
  <c r="S6" i="71"/>
  <c r="C8" i="74"/>
  <c r="C7" i="74"/>
  <c r="S19" i="6"/>
  <c r="S27" i="6" s="1"/>
  <c r="H19" i="6"/>
  <c r="I27" i="6"/>
  <c r="L16" i="1"/>
  <c r="C34" i="11"/>
  <c r="F50" i="68"/>
  <c r="F50" i="11"/>
  <c r="F50" i="69"/>
  <c r="P14" i="1"/>
  <c r="P16" i="1" s="1"/>
  <c r="C11" i="12" s="1"/>
  <c r="O16" i="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6" i="67"/>
  <c r="C33" i="67"/>
  <c r="C31" i="67" s="1"/>
  <c r="J14" i="67"/>
  <c r="C13" i="67"/>
  <c r="J19" i="67"/>
  <c r="J17" i="67" s="1"/>
  <c r="C57" i="67"/>
  <c r="C61" i="67" s="1"/>
  <c r="Q49" i="67"/>
  <c r="J59" i="67"/>
  <c r="J60" i="67" s="1"/>
  <c r="C34" i="68"/>
  <c r="C23" i="15" l="1"/>
  <c r="C29" i="15" s="1"/>
  <c r="C13" i="71"/>
  <c r="T14" i="71"/>
  <c r="D14" i="71"/>
  <c r="U14" i="71" s="1"/>
  <c r="R24" i="6"/>
  <c r="D8" i="74"/>
  <c r="D7" i="74"/>
  <c r="A10" i="51"/>
  <c r="B9" i="72" s="1"/>
  <c r="A7" i="51"/>
  <c r="B7" i="72" s="1"/>
  <c r="C4" i="52"/>
  <c r="B45" i="72" s="1"/>
  <c r="C10" i="69"/>
  <c r="C8" i="69" s="1"/>
  <c r="C5" i="69" s="1"/>
  <c r="D19" i="69"/>
  <c r="C31" i="11"/>
  <c r="D27" i="6"/>
  <c r="D31" i="6" s="1"/>
  <c r="D16" i="6"/>
  <c r="C35" i="11"/>
  <c r="C38" i="11"/>
  <c r="C38" i="68"/>
  <c r="C35" i="68"/>
  <c r="R19" i="6"/>
  <c r="H27" i="6"/>
  <c r="C12" i="12"/>
  <c r="C15" i="12"/>
  <c r="K70" i="39"/>
  <c r="L68" i="39"/>
  <c r="I63" i="40"/>
  <c r="H65" i="40"/>
  <c r="I58" i="21"/>
  <c r="J58" i="21" s="1"/>
  <c r="K58" i="21" s="1"/>
  <c r="L58" i="21" s="1"/>
  <c r="M58" i="21" s="1"/>
  <c r="N58" i="21" s="1"/>
  <c r="O58" i="21" s="1"/>
  <c r="H7" i="21" s="1"/>
  <c r="J48" i="35"/>
  <c r="Q48" i="15"/>
  <c r="J13" i="67"/>
  <c r="J23" i="67" s="1"/>
  <c r="J22" i="67"/>
  <c r="C59" i="67"/>
  <c r="C64" i="67"/>
  <c r="Q48" i="67"/>
  <c r="L46" i="67"/>
  <c r="C56" i="67"/>
  <c r="C65" i="67" s="1"/>
  <c r="C75" i="67"/>
  <c r="Q70" i="67"/>
  <c r="C37" i="67"/>
  <c r="C30" i="67" s="1"/>
  <c r="C39" i="67" s="1"/>
  <c r="L51" i="67"/>
  <c r="C57" i="15" l="1"/>
  <c r="J14" i="15"/>
  <c r="J19" i="15"/>
  <c r="C36" i="15"/>
  <c r="C13" i="15"/>
  <c r="Q49" i="15"/>
  <c r="C19" i="69"/>
  <c r="D37" i="69"/>
  <c r="C37" i="69" s="1"/>
  <c r="C33" i="69" s="1"/>
  <c r="C12" i="71"/>
  <c r="D13" i="71"/>
  <c r="F7" i="21"/>
  <c r="I6" i="6"/>
  <c r="I5" i="6"/>
  <c r="C23" i="69"/>
  <c r="C33" i="68"/>
  <c r="C42" i="68" s="1"/>
  <c r="C33" i="11"/>
  <c r="C42" i="11" s="1"/>
  <c r="C16" i="12"/>
  <c r="C21" i="12" s="1"/>
  <c r="C22" i="12" s="1"/>
  <c r="C27" i="12" s="1"/>
  <c r="C25" i="12" s="1"/>
  <c r="R27" i="6"/>
  <c r="R6" i="1"/>
  <c r="J7" i="21"/>
  <c r="AC7" i="21" s="1"/>
  <c r="V48" i="21" s="1"/>
  <c r="I48" i="21" s="1"/>
  <c r="L70" i="39"/>
  <c r="M68" i="39"/>
  <c r="U7" i="21"/>
  <c r="AB7" i="21"/>
  <c r="T48" i="21" s="1"/>
  <c r="G48" i="21" s="1"/>
  <c r="S7" i="21"/>
  <c r="AA7" i="21"/>
  <c r="R48" i="21" s="1"/>
  <c r="J63" i="40"/>
  <c r="I65" i="40"/>
  <c r="K48" i="35"/>
  <c r="L48" i="35" s="1"/>
  <c r="M48" i="35" s="1"/>
  <c r="N48" i="35" s="1"/>
  <c r="O48" i="35" s="1"/>
  <c r="H7" i="35" s="1"/>
  <c r="J7" i="35"/>
  <c r="J16" i="67"/>
  <c r="J25" i="67" s="1"/>
  <c r="C80" i="67"/>
  <c r="C79" i="67" s="1"/>
  <c r="C58" i="67"/>
  <c r="C67" i="67" s="1"/>
  <c r="C68" i="67" s="1"/>
  <c r="Q69" i="67"/>
  <c r="Q68" i="67" s="1"/>
  <c r="C40" i="67"/>
  <c r="F35" i="15"/>
  <c r="M21" i="15"/>
  <c r="Q70" i="15" l="1"/>
  <c r="C75" i="15"/>
  <c r="C56" i="15"/>
  <c r="C65" i="15" s="1"/>
  <c r="C37" i="15"/>
  <c r="C61" i="15"/>
  <c r="C64" i="15"/>
  <c r="J13" i="15"/>
  <c r="J23" i="15" s="1"/>
  <c r="J22" i="15"/>
  <c r="C42" i="69"/>
  <c r="C39" i="69"/>
  <c r="C11" i="71"/>
  <c r="D12" i="71"/>
  <c r="C20" i="69"/>
  <c r="C24" i="69"/>
  <c r="J20" i="15"/>
  <c r="J17" i="15" s="1"/>
  <c r="C34" i="15"/>
  <c r="C31" i="15" s="1"/>
  <c r="C30" i="15" s="1"/>
  <c r="C39" i="15" s="1"/>
  <c r="F63" i="15"/>
  <c r="C62" i="15" s="1"/>
  <c r="C59" i="15" s="1"/>
  <c r="R16" i="1"/>
  <c r="C39" i="11"/>
  <c r="C46" i="11" s="1"/>
  <c r="C45" i="11" s="1"/>
  <c r="C39" i="68"/>
  <c r="C43" i="68" s="1"/>
  <c r="C41" i="68" s="1"/>
  <c r="C30" i="12"/>
  <c r="C28" i="12" s="1"/>
  <c r="C32" i="12" s="1"/>
  <c r="B2" i="12" s="1"/>
  <c r="B3" i="12" s="1"/>
  <c r="W7" i="2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8" i="15" l="1"/>
  <c r="C67" i="15" s="1"/>
  <c r="C68" i="15" s="1"/>
  <c r="C71" i="15" s="1"/>
  <c r="J16" i="15"/>
  <c r="J25" i="15" s="1"/>
  <c r="C25" i="69"/>
  <c r="C22" i="69" s="1"/>
  <c r="C28" i="69"/>
  <c r="C27" i="69" s="1"/>
  <c r="C10" i="71"/>
  <c r="D11" i="71"/>
  <c r="C43" i="69"/>
  <c r="C41" i="69" s="1"/>
  <c r="C46" i="69"/>
  <c r="C45" i="69" s="1"/>
  <c r="C46" i="68"/>
  <c r="C45" i="68" s="1"/>
  <c r="C49" i="68" s="1"/>
  <c r="C51" i="68" s="1"/>
  <c r="Q67" i="15"/>
  <c r="L57" i="15"/>
  <c r="L60" i="15" s="1"/>
  <c r="L46" i="15" s="1"/>
  <c r="C80" i="15"/>
  <c r="C79" i="15" s="1"/>
  <c r="Q69" i="15"/>
  <c r="Q68" i="15" s="1"/>
  <c r="C40" i="15"/>
  <c r="C43" i="11"/>
  <c r="C41" i="11" s="1"/>
  <c r="C49" i="11" s="1"/>
  <c r="C51" i="11" s="1"/>
  <c r="C52" i="11" s="1"/>
  <c r="B2" i="11" s="1"/>
  <c r="B3" i="11"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1" i="69" l="1"/>
  <c r="C9" i="71"/>
  <c r="T10" i="71"/>
  <c r="D10" i="71"/>
  <c r="U10" i="71" s="1"/>
  <c r="C49" i="69"/>
  <c r="C51" i="69" s="1"/>
  <c r="Q57" i="15"/>
  <c r="Q66" i="15"/>
  <c r="B2" i="15"/>
  <c r="Q65" i="15"/>
  <c r="Q47" i="15"/>
  <c r="Q53" i="15" s="1"/>
  <c r="C46" i="15"/>
  <c r="Q56" i="15"/>
  <c r="Q62" i="15" s="1"/>
  <c r="C43" i="15"/>
  <c r="C83" i="15"/>
  <c r="C82" i="15" s="1"/>
  <c r="C56" i="11"/>
  <c r="C57" i="11" s="1"/>
  <c r="H7" i="39"/>
  <c r="J7" i="39"/>
  <c r="AA7" i="39"/>
  <c r="R47" i="39" s="1"/>
  <c r="S7" i="39"/>
  <c r="R39" i="35"/>
  <c r="E38" i="35"/>
  <c r="M63" i="40"/>
  <c r="L65" i="40"/>
  <c r="D19" i="9"/>
  <c r="AO6" i="1"/>
  <c r="C52" i="69" l="1"/>
  <c r="B2" i="69" s="1"/>
  <c r="B3" i="69" s="1"/>
  <c r="C8" i="71"/>
  <c r="D9" i="71"/>
  <c r="Q75" i="15"/>
  <c r="D102" i="9"/>
  <c r="D21" i="9"/>
  <c r="B6" i="70"/>
  <c r="B2" i="70" s="1"/>
  <c r="B3" i="70" s="1"/>
  <c r="B3" i="15"/>
  <c r="E47" i="39"/>
  <c r="W7" i="39"/>
  <c r="AC7" i="39"/>
  <c r="V47" i="39" s="1"/>
  <c r="I47" i="39" s="1"/>
  <c r="U7" i="39"/>
  <c r="AB7" i="39"/>
  <c r="T47" i="39" s="1"/>
  <c r="G47" i="39" s="1"/>
  <c r="C39" i="35"/>
  <c r="B2" i="35" s="1"/>
  <c r="B3" i="35" s="1"/>
  <c r="C38" i="35"/>
  <c r="N63" i="40"/>
  <c r="M65" i="40"/>
  <c r="E43" i="35"/>
  <c r="F43" i="35" s="1"/>
  <c r="E42" i="35"/>
  <c r="F42" i="35" s="1"/>
  <c r="I43" i="35"/>
  <c r="J43" i="35" s="1"/>
  <c r="D34" i="9"/>
  <c r="D35" i="9"/>
  <c r="D20" i="9"/>
  <c r="C57" i="69" l="1"/>
  <c r="C56" i="69" s="1"/>
  <c r="D8" i="71"/>
  <c r="C7" i="71"/>
  <c r="D103" i="9"/>
  <c r="R48" i="39"/>
  <c r="C48" i="39" s="1"/>
  <c r="C6" i="68" s="1"/>
  <c r="C7" i="68" s="1"/>
  <c r="C5" i="68" s="1"/>
  <c r="E52" i="39"/>
  <c r="F52" i="39" s="1"/>
  <c r="E51" i="39"/>
  <c r="F51" i="39" s="1"/>
  <c r="G51" i="39"/>
  <c r="H51" i="39" s="1"/>
  <c r="G52" i="39"/>
  <c r="H52" i="39" s="1"/>
  <c r="I51" i="39"/>
  <c r="J51" i="39" s="1"/>
  <c r="I52" i="39"/>
  <c r="J52" i="39" s="1"/>
  <c r="O63" i="40"/>
  <c r="O65" i="40" s="1"/>
  <c r="N65" i="40"/>
  <c r="C6" i="71" l="1"/>
  <c r="D7" i="71"/>
  <c r="C23" i="68"/>
  <c r="C20" i="68"/>
  <c r="C25" i="68"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 i="71" l="1"/>
  <c r="T6" i="71"/>
  <c r="D6" i="71"/>
  <c r="U6" i="71" s="1"/>
  <c r="C28" i="68"/>
  <c r="C27" i="68" s="1"/>
  <c r="C22" i="68"/>
  <c r="F66" i="39"/>
  <c r="B2" i="39" s="1"/>
  <c r="B3" i="39" s="1"/>
  <c r="U7" i="40"/>
  <c r="AB7" i="40"/>
  <c r="T42" i="40" s="1"/>
  <c r="G42" i="40" s="1"/>
  <c r="AA7" i="40"/>
  <c r="R42" i="40" s="1"/>
  <c r="S7" i="40"/>
  <c r="AC7" i="40"/>
  <c r="V42" i="40" s="1"/>
  <c r="I42" i="40" s="1"/>
  <c r="W7" i="40"/>
  <c r="D5" i="71" l="1"/>
  <c r="M20" i="43"/>
  <c r="C31" i="68"/>
  <c r="C52" i="68" s="1"/>
  <c r="B2" i="68" s="1"/>
  <c r="I46" i="40"/>
  <c r="J46" i="40" s="1"/>
  <c r="R43" i="40"/>
  <c r="E42" i="40"/>
  <c r="G47" i="40"/>
  <c r="H47" i="40" s="1"/>
  <c r="G46" i="40"/>
  <c r="H46" i="40" s="1"/>
  <c r="C19" i="9"/>
  <c r="B3" i="68"/>
  <c r="G19" i="9" l="1"/>
  <c r="J19" i="9" s="1"/>
  <c r="D22" i="9"/>
  <c r="C102" i="9"/>
  <c r="C21" i="9"/>
  <c r="C57" i="68"/>
  <c r="C56" i="68" s="1"/>
  <c r="C42" i="40"/>
  <c r="C43" i="40"/>
  <c r="E47" i="40"/>
  <c r="F47" i="40" s="1"/>
  <c r="E46" i="40"/>
  <c r="F46" i="40" s="1"/>
  <c r="I47" i="40"/>
  <c r="J47" i="40" s="1"/>
  <c r="C20" i="9"/>
  <c r="G20" i="9" l="1"/>
  <c r="C103" i="9"/>
  <c r="C32" i="9"/>
  <c r="C35" i="9" s="1"/>
  <c r="C34" i="9"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H4" i="52" s="1"/>
  <c r="D4" i="52" l="1"/>
  <c r="B47" i="72" s="1"/>
  <c r="F119" i="9"/>
  <c r="F5" i="52" s="1"/>
  <c r="B53" i="72" s="1"/>
  <c r="G118" i="9"/>
  <c r="G4" i="52" s="1"/>
  <c r="B52" i="72" s="1"/>
  <c r="H101" i="9"/>
  <c r="M48" i="9" s="1"/>
  <c r="I118" i="9"/>
  <c r="I4" i="52" s="1"/>
  <c r="D5" i="53"/>
  <c r="D14" i="74"/>
  <c r="C104" i="9"/>
  <c r="H119" i="9"/>
  <c r="H5" i="52" s="1"/>
  <c r="H107" i="9" l="1"/>
  <c r="H108" i="9" s="1"/>
  <c r="D15" i="53" s="1"/>
  <c r="B31" i="72" s="1"/>
  <c r="E118" i="9"/>
  <c r="E4" i="52" s="1"/>
  <c r="B48" i="72" s="1"/>
  <c r="D45" i="9"/>
  <c r="D52" i="9" s="1"/>
  <c r="C105" i="9"/>
  <c r="H102" i="9"/>
  <c r="D7" i="53" s="1"/>
  <c r="B21" i="72" s="1"/>
  <c r="E14" i="74"/>
  <c r="F14" i="74"/>
  <c r="B5" i="74"/>
  <c r="D122" i="9"/>
  <c r="B20" i="72"/>
  <c r="D6" i="53"/>
  <c r="B22" i="72" s="1"/>
  <c r="D13" i="53" l="1"/>
  <c r="D14" i="53" s="1"/>
  <c r="B32" i="72" s="1"/>
  <c r="C85" i="9"/>
  <c r="D53" i="9"/>
  <c r="C72" i="9"/>
  <c r="C78" i="9"/>
  <c r="C73" i="9" s="1"/>
  <c r="C64" i="9"/>
  <c r="C63" i="9" s="1"/>
  <c r="C67" i="9" s="1"/>
  <c r="D59" i="9" s="1"/>
  <c r="M55" i="9" s="1"/>
  <c r="D55" i="9"/>
  <c r="M53" i="9" s="1"/>
  <c r="C93" i="9"/>
  <c r="C86" i="9" s="1"/>
  <c r="D5" i="74"/>
  <c r="C5" i="74"/>
  <c r="B30" i="72"/>
  <c r="D8" i="52"/>
  <c r="G14" i="74"/>
  <c r="B6" i="74" s="1"/>
  <c r="D123" i="9"/>
  <c r="D9" i="52" s="1"/>
  <c r="C68" i="9" l="1"/>
  <c r="D54" i="9" s="1"/>
  <c r="C95" i="9"/>
  <c r="C96" i="9" s="1"/>
  <c r="E96" i="9" s="1"/>
  <c r="E97" i="9" s="1"/>
  <c r="C79" i="9"/>
  <c r="C80" i="9" s="1"/>
  <c r="E80" i="9" s="1"/>
  <c r="E81" i="9" s="1"/>
  <c r="D6" i="74"/>
  <c r="C6" i="74"/>
  <c r="C81" i="9" l="1"/>
  <c r="C97" i="9"/>
  <c r="D58" i="9" s="1"/>
  <c r="D56" i="9" s="1"/>
  <c r="M54" i="9" s="1"/>
  <c r="N57" i="9" s="1"/>
  <c r="N5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<sst xmlns="http://schemas.openxmlformats.org/spreadsheetml/2006/main" count="7835" uniqueCount="3297">
  <si>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</si>
  <si>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</si>
  <si>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</si>
  <si>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</si>
  <si>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</si>
  <si>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</si>
  <si>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</si>
  <si>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</si>
  <si>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</si>
  <si>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</si>
  <si>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</si>
  <si>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</si>
  <si>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</si>
  <si>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</si>
  <si>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</si>
  <si>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</si>
  <si>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</si>
  <si>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</si>
  <si>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</si>
  <si>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</si>
  <si>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</si>
  <si>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</si>
  <si>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</si>
  <si>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</si>
  <si>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</si>
  <si>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</si>
  <si>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</si>
  <si>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</si>
  <si>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</si>
  <si>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</si>
  <si>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</si>
  <si>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</si>
  <si>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</si>
  <si>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</si>
  <si>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</si>
  <si>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</si>
  <si>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</si>
  <si>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</si>
  <si>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</si>
  <si>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</si>
  <si>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</si>
  <si>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</si>
  <si>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</si>
  <si>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</si>
  <si>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</si>
  <si>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</si>
  <si>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</si>
  <si>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</si>
  <si>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</si>
  <si>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</si>
  <si>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</si>
  <si>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</si>
  <si>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</si>
  <si>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</si>
  <si>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</si>
  <si>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</si>
  <si>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</si>
  <si>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</si>
  <si>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</si>
  <si>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</si>
  <si>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</si>
  <si>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</si>
  <si>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</si>
  <si>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</si>
  <si>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</si>
  <si>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</si>
  <si>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</si>
  <si>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</si>
  <si>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</si>
  <si>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</si>
  <si>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</si>
  <si>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</si>
  <si>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</si>
  <si>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</si>
  <si>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</si>
  <si>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</si>
  <si>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</si>
  <si>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</si>
  <si>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</si>
  <si>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</si>
  <si>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</si>
  <si>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</si>
  <si>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</si>
  <si>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</si>
  <si>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</si>
  <si>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</si>
  <si>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</si>
  <si>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</si>
  <si>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</si>
  <si>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</si>
  <si>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</si>
  <si>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</si>
  <si>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</si>
  <si>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</si>
  <si>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</si>
  <si>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</si>
  <si>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</si>
  <si>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</si>
  <si>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</si>
  <si>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</si>
  <si>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</si>
  <si>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</si>
  <si>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</si>
  <si>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</si>
  <si>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</si>
  <si>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</si>
  <si>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</si>
  <si>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</si>
  <si>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</si>
  <si>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</si>
  <si>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</si>
  <si>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</si>
  <si>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</si>
  <si>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</si>
  <si>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</si>
  <si>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</si>
  <si>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</si>
  <si>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</si>
  <si>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</si>
  <si>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</si>
  <si>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</si>
  <si>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</si>
  <si>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</si>
  <si>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</si>
  <si>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</si>
  <si>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</si>
  <si>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</si>
  <si>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</si>
  <si>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</si>
  <si>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</si>
  <si>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</si>
  <si>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</si>
  <si>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</si>
  <si>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</si>
  <si>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</si>
  <si>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</si>
  <si>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</si>
  <si>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</si>
  <si>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</si>
  <si>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</si>
  <si>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</si>
  <si>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</si>
  <si>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</si>
  <si>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</si>
  <si>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</si>
  <si>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</si>
  <si>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</si>
  <si>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</si>
  <si>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</si>
  <si>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</si>
  <si>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</si>
  <si>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</si>
  <si>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</si>
  <si>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</si>
  <si>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</si>
  <si>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</si>
  <si>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</si>
  <si>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</si>
  <si>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</si>
  <si>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</si>
  <si>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</si>
  <si>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</si>
  <si>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</si>
  <si>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</si>
  <si>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</si>
  <si>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</si>
  <si>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</si>
  <si>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</si>
  <si>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</si>
  <si>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</si>
  <si>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</si>
  <si>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</si>
  <si>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</si>
  <si>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</si>
  <si>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</si>
  <si>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</si>
  <si>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</si>
  <si>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</si>
  <si>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</si>
  <si>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</si>
  <si>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</si>
  <si>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</si>
  <si>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</si>
  <si>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</si>
  <si>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</si>
  <si>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</si>
  <si>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</si>
  <si>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</si>
  <si>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</si>
  <si>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</si>
  <si>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</si>
  <si>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</si>
  <si>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</si>
  <si>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</si>
  <si>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</si>
  <si>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</si>
  <si>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</si>
  <si>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</si>
  <si>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</si>
  <si>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</si>
  <si>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</si>
  <si>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</si>
  <si>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</si>
  <si>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</si>
  <si>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</si>
  <si>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</si>
  <si>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</si>
  <si>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</si>
  <si>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</si>
  <si>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</si>
  <si>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</si>
  <si>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</si>
  <si>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</si>
  <si>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</si>
  <si>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</si>
  <si>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</si>
  <si>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</si>
  <si>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</si>
  <si>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</si>
  <si>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</si>
  <si>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</si>
  <si>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</si>
  <si>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</si>
  <si>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</si>
  <si>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</si>
  <si>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</si>
  <si>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</si>
  <si>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</si>
  <si>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</si>
  <si>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</si>
  <si>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</si>
  <si>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</si>
  <si>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</si>
  <si>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</si>
  <si>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</si>
  <si>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</si>
  <si>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</si>
  <si>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</si>
  <si>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</si>
  <si>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</si>
  <si>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</si>
  <si>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</si>
  <si>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</si>
  <si>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</si>
  <si>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</si>
  <si>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</si>
  <si>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</si>
  <si>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</si>
  <si>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</si>
  <si>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</si>
  <si>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</si>
  <si>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</si>
  <si>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</si>
  <si>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</si>
  <si>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</si>
  <si>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</si>
  <si>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</si>
  <si>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</si>
  <si>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</si>
  <si>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</si>
  <si>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</si>
  <si>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</si>
  <si>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</si>
  <si>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</si>
  <si>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</si>
  <si>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</si>
  <si>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</si>
  <si>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</si>
  <si>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</si>
  <si>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</si>
  <si>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</si>
  <si>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</si>
  <si>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</si>
  <si>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</si>
  <si>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</si>
  <si>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</si>
  <si>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</si>
  <si>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</si>
  <si>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</si>
  <si>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</si>
  <si>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</si>
  <si>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</si>
  <si>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</si>
  <si>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</si>
  <si>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</si>
  <si>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</si>
  <si>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</si>
  <si>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</si>
  <si>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</si>
  <si>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</si>
  <si>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</si>
  <si>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</si>
  <si>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</si>
  <si>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</si>
  <si>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</si>
  <si>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</si>
  <si>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</si>
  <si>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</si>
  <si>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</si>
  <si>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</si>
  <si>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</si>
  <si>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</si>
  <si>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</si>
  <si>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</si>
  <si>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</si>
  <si>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</si>
  <si>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</si>
  <si>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</si>
  <si>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</si>
  <si>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</si>
  <si>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</si>
  <si>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</si>
  <si>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</si>
  <si>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</si>
  <si>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</si>
  <si>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</si>
  <si>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</si>
  <si>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</si>
  <si>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</si>
  <si>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</si>
  <si>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</si>
  <si>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</si>
  <si>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</si>
  <si>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</si>
  <si>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</si>
  <si>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</si>
  <si>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</si>
  <si>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</si>
  <si>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</si>
  <si>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</si>
  <si>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</si>
  <si>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</si>
  <si>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</si>
  <si>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</si>
  <si>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</si>
  <si>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</si>
  <si>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</si>
  <si>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</si>
  <si>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</si>
  <si>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</si>
  <si>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</si>
  <si>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</si>
  <si>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</si>
  <si>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</si>
  <si>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</si>
  <si>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</si>
  <si>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</si>
  <si>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</si>
  <si>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</si>
  <si>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</si>
  <si>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</si>
  <si>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</si>
  <si>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</si>
  <si>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</si>
  <si>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</si>
  <si>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</si>
  <si>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</si>
  <si>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</si>
  <si>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</si>
  <si>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</si>
  <si>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</si>
  <si>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</si>
  <si>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</si>
  <si>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</si>
  <si>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</si>
  <si>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</si>
  <si>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</si>
  <si>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</si>
  <si>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</si>
  <si>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</si>
  <si>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</si>
  <si>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</si>
  <si>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</si>
  <si>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</si>
  <si>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</si>
  <si>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</si>
  <si>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</si>
  <si>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</si>
  <si>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</si>
  <si>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</si>
  <si>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</si>
  <si>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</si>
  <si>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</si>
  <si>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</si>
  <si>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</si>
  <si>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</si>
  <si>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</si>
  <si>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</si>
  <si>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</si>
  <si>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</si>
  <si>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</si>
  <si>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</si>
  <si>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</si>
  <si>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</si>
  <si>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</si>
  <si>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</si>
  <si>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</si>
  <si>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</si>
  <si>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</si>
  <si>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</si>
  <si>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</si>
  <si>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</si>
  <si>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</si>
  <si>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</si>
  <si>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</si>
  <si>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</si>
  <si>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</si>
  <si>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</si>
  <si>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</si>
  <si>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</si>
  <si>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</si>
  <si>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</si>
  <si>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</si>
  <si>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</si>
  <si>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</si>
  <si>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</si>
  <si>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</si>
  <si>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</si>
  <si>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</si>
  <si>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</si>
  <si>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</si>
  <si>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</si>
  <si>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</si>
  <si>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</si>
  <si>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</si>
  <si>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</si>
  <si>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</si>
  <si>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</si>
  <si>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</si>
  <si>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</si>
  <si>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</si>
  <si>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</si>
  <si>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</si>
  <si>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</si>
  <si>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</si>
  <si>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</si>
  <si>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</si>
  <si>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</si>
  <si>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</si>
  <si>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</si>
  <si>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</si>
  <si>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</si>
  <si>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</si>
  <si>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</si>
  <si>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</si>
  <si>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</si>
  <si>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</si>
  <si>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</si>
  <si>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</si>
  <si>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</si>
  <si>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</si>
  <si>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</si>
  <si>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</si>
  <si>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</si>
  <si>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</si>
  <si>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</si>
  <si>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</si>
  <si>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</si>
  <si>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</si>
  <si>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</si>
  <si>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</si>
  <si>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</si>
  <si>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</si>
  <si>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</si>
  <si>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</si>
  <si>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</si>
  <si>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</si>
  <si>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</si>
  <si>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</si>
  <si>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</si>
  <si>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</si>
  <si>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</si>
  <si>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</si>
  <si>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</si>
  <si>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</si>
  <si>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</si>
  <si>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</si>
  <si>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</si>
  <si>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</si>
  <si>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</si>
  <si>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</si>
  <si>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</si>
  <si>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</si>
  <si>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</si>
  <si>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</si>
  <si>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</si>
  <si>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</si>
  <si>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</si>
  <si>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</si>
  <si>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</si>
  <si>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</si>
  <si>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</si>
  <si>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</si>
  <si>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</si>
  <si>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</si>
  <si>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</si>
  <si>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</si>
  <si>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</si>
  <si>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</si>
  <si>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</si>
  <si>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</si>
  <si>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</si>
  <si>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</si>
  <si>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</si>
  <si>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</si>
  <si>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</si>
  <si>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</si>
  <si>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</si>
  <si>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</si>
  <si>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</si>
  <si>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</si>
  <si>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</si>
  <si>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</si>
  <si>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</si>
  <si>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</si>
  <si>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</si>
  <si>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</si>
  <si>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</si>
  <si>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</si>
  <si>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</si>
  <si>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</si>
  <si>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</si>
  <si>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</si>
  <si>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</si>
  <si>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</si>
  <si>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</si>
  <si>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</si>
  <si>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</si>
  <si>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</si>
  <si>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</si>
  <si>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</si>
  <si>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</si>
  <si>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</si>
  <si>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</si>
  <si>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</si>
  <si>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</si>
  <si>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</si>
  <si>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</si>
  <si>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</si>
  <si>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</si>
  <si>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</si>
  <si>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</si>
  <si>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</si>
  <si>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</si>
  <si>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</si>
  <si>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</si>
  <si>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</si>
  <si>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</si>
  <si>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</si>
  <si>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</si>
  <si>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</si>
  <si>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</si>
  <si>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</si>
  <si>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</si>
  <si>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</si>
  <si>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</si>
  <si>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</si>
  <si>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</si>
  <si>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</si>
  <si>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</si>
  <si>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</si>
  <si>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</si>
  <si>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</si>
  <si>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</si>
  <si>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</si>
  <si>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</si>
  <si>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</si>
  <si>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</si>
  <si>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</si>
  <si>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</si>
  <si>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</si>
  <si>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</si>
  <si>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</si>
  <si>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</si>
  <si>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</si>
  <si>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</si>
  <si>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</si>
  <si>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</si>
  <si>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</si>
  <si>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</si>
  <si>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</si>
  <si>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</si>
  <si>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</si>
  <si>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</si>
  <si>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</si>
  <si>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</si>
  <si>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</si>
  <si>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</si>
  <si>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</si>
  <si>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</si>
  <si>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</si>
  <si>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</si>
  <si>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</si>
  <si>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</si>
  <si>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</si>
  <si>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</si>
  <si>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</si>
  <si>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</si>
  <si>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</si>
  <si>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</si>
  <si>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</si>
  <si>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</si>
  <si>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</si>
  <si>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</si>
  <si>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</si>
  <si>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</si>
  <si>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</si>
  <si>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</si>
  <si>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</si>
  <si>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</si>
  <si>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</si>
  <si>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</si>
  <si>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</si>
  <si>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</si>
  <si>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</si>
  <si>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</si>
  <si>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</si>
  <si>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</si>
  <si>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</si>
  <si>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</si>
  <si>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</si>
  <si>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</si>
  <si>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</si>
  <si>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</si>
  <si>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</si>
  <si>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</si>
  <si>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</si>
  <si>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</si>
  <si>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</si>
  <si>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</si>
  <si>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</si>
  <si>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</si>
  <si>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</si>
  <si>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</si>
  <si>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</si>
  <si>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</si>
  <si>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</si>
  <si>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</si>
  <si>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</si>
  <si>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</si>
  <si>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</si>
  <si>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</si>
  <si>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</si>
  <si>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</si>
  <si>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</si>
  <si>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</si>
  <si>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</si>
  <si>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</si>
  <si>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</si>
  <si>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</si>
  <si>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</si>
  <si>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</si>
  <si>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</si>
  <si>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</si>
  <si>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</si>
  <si>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</si>
  <si>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</si>
  <si>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</si>
  <si>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</si>
  <si>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</si>
  <si>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</si>
  <si>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</si>
  <si>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</si>
  <si>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</si>
  <si>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</si>
  <si>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</si>
  <si>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</si>
  <si>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</si>
  <si>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</si>
  <si>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</si>
  <si>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</si>
  <si>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</si>
  <si>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</si>
  <si>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</si>
  <si>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</si>
  <si>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</si>
  <si>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</si>
  <si>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</si>
  <si>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</si>
  <si>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</si>
  <si>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</si>
  <si>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</si>
  <si>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</si>
  <si>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</si>
  <si>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</si>
  <si>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</si>
  <si>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</si>
  <si>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</si>
  <si>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</si>
  <si>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</si>
  <si>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</si>
  <si>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</si>
  <si>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</si>
  <si>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</si>
  <si>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</si>
  <si>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</si>
  <si>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</si>
  <si>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</si>
  <si>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</si>
  <si>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</si>
  <si>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</si>
  <si>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</si>
  <si>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</si>
  <si>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</si>
  <si>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</si>
  <si>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</si>
  <si>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</si>
  <si>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</si>
  <si>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</si>
  <si>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</si>
  <si>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</si>
  <si>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</si>
  <si>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</si>
  <si>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</si>
  <si>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</si>
  <si>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</si>
  <si>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</si>
  <si>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</si>
  <si>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</si>
  <si>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</si>
  <si>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</si>
  <si>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</si>
  <si>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</si>
  <si>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</si>
  <si>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</si>
  <si>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</si>
  <si>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</si>
  <si>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</si>
  <si>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</si>
  <si>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</si>
  <si>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</si>
  <si>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</si>
  <si>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</si>
  <si>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</si>
  <si>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</si>
  <si>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</si>
  <si>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</si>
  <si>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</si>
  <si>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</si>
  <si>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</si>
  <si>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</si>
  <si>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</si>
  <si>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</si>
  <si>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</si>
  <si>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</si>
  <si>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</si>
  <si>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</si>
  <si>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</si>
  <si>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</si>
  <si>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</si>
  <si>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</si>
  <si>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</si>
  <si>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</si>
  <si>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</si>
  <si>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</si>
  <si>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</si>
  <si>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</si>
  <si>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</si>
  <si>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</si>
  <si>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</si>
  <si>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</si>
  <si>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</si>
  <si>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</si>
  <si>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</si>
  <si>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</si>
  <si>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</si>
  <si>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</si>
  <si>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</si>
  <si>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</si>
  <si>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</si>
  <si>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</si>
  <si>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</si>
  <si>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</si>
  <si>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</si>
  <si>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</si>
  <si>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</si>
  <si>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</si>
  <si>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</si>
  <si>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</si>
  <si>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</si>
  <si>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</si>
  <si>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</si>
  <si>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</si>
  <si>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</si>
  <si>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</si>
  <si>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</si>
  <si>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</si>
  <si>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</si>
  <si>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</si>
  <si>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</si>
  <si>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</si>
  <si>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</si>
  <si>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</si>
  <si>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</si>
  <si>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</si>
  <si>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</si>
  <si>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</si>
  <si>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</si>
  <si>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</si>
  <si>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</si>
  <si>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</si>
  <si>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</si>
  <si>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</si>
  <si>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</si>
  <si>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</si>
  <si>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</si>
  <si>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</si>
  <si>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</si>
  <si>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</si>
  <si>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</si>
  <si>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</si>
  <si>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</si>
  <si>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</si>
  <si>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</si>
  <si>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</si>
  <si>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</si>
  <si>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</si>
  <si>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</si>
  <si>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</si>
  <si>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</si>
  <si>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</si>
  <si>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</si>
  <si>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</si>
  <si>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</si>
  <si>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</si>
  <si>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</si>
  <si>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</si>
  <si>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</si>
  <si>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</si>
  <si>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</si>
  <si>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</si>
  <si>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</si>
  <si>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</si>
  <si>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</si>
  <si>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</si>
  <si>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</si>
  <si>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</si>
  <si>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</si>
  <si>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</si>
  <si>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</si>
  <si>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</si>
  <si>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</si>
  <si>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</si>
  <si>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</si>
  <si>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</si>
  <si>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</si>
  <si>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</si>
  <si>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</si>
  <si>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</si>
  <si>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</si>
  <si>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</si>
  <si>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</si>
  <si>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</si>
  <si>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</si>
  <si>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</si>
  <si>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</si>
  <si>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</si>
  <si>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</si>
  <si>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</si>
  <si>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</si>
  <si>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</si>
  <si>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</si>
  <si>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</si>
  <si>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</si>
  <si>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</si>
  <si>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</si>
  <si>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</si>
  <si>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</si>
  <si>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</si>
  <si>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</si>
  <si>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</si>
  <si>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</si>
  <si>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</si>
  <si>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</si>
  <si>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</si>
  <si>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</si>
  <si>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</si>
  <si>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</si>
  <si>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</si>
  <si>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</si>
  <si>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</si>
  <si>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</si>
  <si>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</si>
  <si>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</si>
  <si>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</si>
  <si>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</si>
  <si>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</si>
  <si>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</si>
  <si>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</si>
  <si>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</si>
  <si>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</si>
  <si>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</si>
  <si>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</si>
  <si>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</si>
  <si>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</si>
  <si>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</si>
  <si>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</si>
  <si>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</si>
  <si>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</si>
  <si>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</si>
  <si>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</si>
  <si>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</si>
  <si>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</si>
  <si>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</si>
  <si>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</si>
  <si>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</si>
  <si>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</si>
  <si>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</si>
  <si>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</si>
  <si>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</si>
  <si>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</si>
  <si>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</si>
  <si>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</si>
  <si>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</si>
  <si>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</si>
  <si>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</si>
  <si>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</si>
  <si>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</si>
  <si>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</si>
  <si>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</si>
  <si>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</si>
  <si>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</si>
  <si>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</si>
  <si>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</si>
  <si>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</si>
  <si>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</si>
  <si>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</si>
  <si>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</si>
  <si>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</si>
  <si>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</si>
  <si>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</si>
  <si>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</si>
  <si>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</si>
  <si>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</si>
  <si>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</si>
  <si>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</si>
  <si>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</si>
  <si>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</si>
  <si>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</si>
  <si>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</si>
  <si>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</si>
  <si>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</si>
  <si>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</si>
  <si>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</si>
  <si>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</si>
  <si>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</si>
  <si>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</si>
  <si>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</si>
  <si>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</si>
  <si>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</si>
  <si>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</si>
  <si>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</si>
  <si>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</si>
  <si>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</si>
  <si>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</si>
  <si>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</si>
  <si>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</si>
  <si>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</si>
  <si>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</si>
  <si>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</si>
  <si>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</si>
  <si>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</si>
  <si>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</si>
  <si>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</si>
  <si>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</si>
  <si>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</si>
  <si>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</si>
  <si>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</si>
  <si>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</si>
  <si>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</si>
  <si>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</si>
  <si>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</si>
  <si>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</si>
  <si>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</si>
  <si>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</si>
  <si>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</si>
  <si>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</si>
  <si>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</si>
  <si>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</si>
  <si>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</si>
  <si>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</si>
  <si>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</si>
  <si>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</si>
  <si>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</si>
  <si>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</si>
  <si>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</si>
  <si>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</si>
  <si>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</si>
  <si>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</si>
  <si>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</si>
  <si>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</si>
  <si>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</si>
  <si>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</si>
  <si>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</si>
  <si>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</si>
  <si>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</si>
  <si>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</si>
  <si>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</si>
  <si>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</si>
  <si>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</si>
  <si>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</si>
  <si>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</si>
  <si>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</si>
  <si>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</si>
  <si>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</si>
  <si>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</si>
  <si>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</si>
  <si>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</si>
  <si>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</si>
  <si>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</si>
  <si>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</si>
  <si>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</si>
  <si>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</si>
  <si>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</si>
  <si>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</si>
  <si>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</si>
  <si>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</si>
  <si>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</si>
  <si>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</si>
  <si>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</si>
  <si>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</si>
  <si>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</si>
  <si>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</si>
  <si>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</si>
  <si>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</si>
  <si>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</si>
  <si>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</si>
  <si>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</si>
  <si>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</si>
  <si>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</si>
  <si>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</si>
  <si>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</si>
  <si>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</si>
  <si>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</si>
  <si>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</si>
  <si>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</si>
  <si>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</si>
  <si>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</si>
  <si>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</si>
  <si>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</si>
  <si>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</si>
  <si>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</si>
  <si>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</si>
  <si>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</si>
  <si>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</si>
  <si>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</si>
  <si>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</si>
  <si>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</si>
  <si>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</si>
  <si>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</si>
  <si>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</si>
  <si>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</si>
  <si>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</si>
  <si>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</si>
  <si>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</si>
  <si>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</si>
  <si>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</si>
  <si>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</si>
  <si>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</si>
  <si>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</si>
  <si>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</si>
  <si>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</si>
  <si>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</si>
  <si>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</si>
  <si>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</si>
  <si>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</si>
  <si>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</si>
  <si>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</si>
  <si>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</si>
  <si>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</si>
  <si>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</si>
  <si>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</si>
  <si>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</si>
  <si>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</si>
  <si>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</si>
  <si>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</si>
  <si>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</si>
  <si>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</si>
  <si>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</si>
  <si>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</si>
  <si>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</si>
  <si>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</si>
  <si>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</si>
  <si>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</si>
  <si>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</si>
  <si>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</si>
  <si>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</si>
  <si>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</si>
  <si>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</si>
  <si>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</si>
  <si>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</si>
  <si>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</si>
  <si>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</si>
  <si>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</si>
  <si>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</si>
  <si>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</si>
  <si>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</si>
  <si>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</si>
  <si>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</si>
  <si>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</si>
  <si>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</si>
  <si>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</si>
  <si>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</si>
  <si>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</si>
  <si>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</si>
  <si>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</si>
  <si>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</si>
  <si>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</si>
  <si>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</si>
  <si>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</si>
  <si>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</si>
  <si>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</si>
  <si>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</si>
  <si>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</si>
  <si>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</si>
  <si>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</si>
  <si>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</si>
  <si>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</si>
  <si>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</si>
  <si>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</si>
  <si>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</si>
  <si>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</si>
  <si>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</si>
  <si>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</si>
  <si>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</si>
  <si>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</si>
  <si>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</si>
  <si>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</si>
  <si>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</si>
  <si>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</si>
  <si>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</si>
  <si>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</si>
  <si>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</si>
  <si>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</si>
  <si>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</si>
  <si>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</si>
  <si>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</si>
  <si>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</si>
  <si>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</si>
  <si>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</si>
  <si>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</si>
  <si>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</si>
  <si>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</si>
  <si>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</si>
  <si>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</si>
  <si>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</si>
  <si>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</si>
  <si>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</si>
  <si>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</si>
  <si>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</si>
  <si>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</si>
  <si>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</si>
  <si>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</si>
  <si>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</si>
  <si>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</si>
  <si>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</si>
  <si>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</si>
  <si>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</si>
  <si>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</si>
  <si>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</si>
  <si>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</si>
  <si>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</si>
  <si>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</si>
  <si>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</si>
  <si>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</si>
  <si>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</si>
  <si>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</si>
  <si>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</si>
  <si>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</si>
  <si>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</si>
  <si>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</si>
  <si>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</si>
  <si>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</si>
  <si>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</si>
  <si>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</si>
  <si>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</si>
  <si>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</si>
  <si>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</si>
  <si>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</si>
  <si>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</si>
  <si>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</si>
  <si>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</si>
  <si>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</si>
  <si>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</si>
  <si>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</si>
  <si>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</si>
  <si>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</si>
  <si>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</si>
  <si>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</si>
  <si>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</si>
  <si>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</si>
  <si>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</si>
  <si>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</si>
  <si>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</si>
  <si>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</si>
  <si>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</si>
  <si>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</si>
  <si>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</si>
  <si>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</si>
  <si>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</si>
  <si>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</si>
  <si>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</si>
  <si>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</si>
  <si>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</si>
  <si>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</si>
  <si>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</si>
  <si>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</si>
  <si>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</si>
  <si>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</si>
  <si>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</si>
  <si>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</si>
  <si>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</si>
  <si>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</si>
  <si>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</si>
  <si>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</si>
  <si>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</si>
  <si>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</si>
  <si>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</si>
  <si>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</si>
  <si>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</si>
  <si>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</si>
  <si>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</si>
  <si>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</si>
  <si>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</si>
  <si>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</si>
  <si>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</si>
  <si>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</si>
  <si>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</si>
  <si>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</si>
  <si>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</si>
  <si>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</si>
  <si>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</si>
  <si>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</si>
  <si>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</si>
  <si>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</si>
  <si>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</si>
  <si>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</si>
  <si>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</si>
  <si>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</si>
  <si>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</si>
  <si>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</si>
  <si>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</si>
  <si>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</si>
  <si>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</si>
  <si>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</si>
  <si>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</si>
  <si>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</si>
  <si>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</si>
  <si>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</si>
  <si>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</si>
  <si>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</si>
  <si>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</si>
  <si>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</si>
  <si>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</si>
  <si>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</si>
  <si>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</si>
  <si>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</si>
  <si>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</si>
  <si>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</si>
  <si>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</si>
  <si>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</si>
  <si>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</si>
  <si>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</si>
  <si>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</si>
  <si>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</si>
  <si>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</si>
  <si>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</si>
  <si>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</si>
  <si>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</si>
  <si>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</si>
  <si>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</si>
  <si>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</si>
  <si>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</si>
  <si>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</si>
  <si>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</si>
  <si>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</si>
  <si>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</si>
  <si>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</si>
  <si>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</si>
  <si>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</si>
  <si>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</si>
  <si>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</si>
  <si>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</si>
  <si>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</si>
  <si>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</si>
  <si>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</si>
  <si>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</si>
  <si>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</si>
  <si>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</si>
  <si>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</si>
  <si>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</si>
  <si>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</si>
  <si>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</si>
  <si>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</si>
  <si>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</si>
  <si>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</si>
  <si>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</si>
  <si>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</si>
  <si>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</si>
  <si>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</si>
  <si>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</si>
  <si>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</si>
  <si>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</si>
  <si>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</si>
  <si>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</si>
  <si>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</si>
  <si>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</si>
  <si>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</si>
  <si>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</si>
  <si>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</si>
  <si>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</si>
  <si>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</si>
  <si>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</si>
  <si>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</si>
  <si>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</si>
  <si>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</si>
  <si>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</si>
  <si>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</si>
  <si>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</si>
  <si>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</si>
  <si>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</si>
  <si>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</si>
  <si>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</si>
  <si>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</si>
  <si>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</si>
  <si>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</si>
  <si>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</si>
  <si>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</si>
  <si>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</si>
  <si>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</si>
  <si>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</si>
  <si>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</si>
  <si>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</si>
  <si>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</si>
  <si>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</si>
  <si>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</si>
  <si>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</si>
  <si>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</si>
  <si>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</si>
  <si>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</si>
  <si>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</si>
  <si>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</si>
  <si>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</si>
  <si>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</si>
  <si>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</si>
  <si>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</si>
  <si>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</si>
  <si>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</si>
  <si>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</si>
  <si>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</si>
  <si>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</si>
  <si>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</si>
  <si>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</si>
  <si>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</si>
  <si>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</si>
  <si>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</si>
  <si>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</si>
  <si>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</si>
  <si>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</si>
  <si>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</si>
  <si>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</si>
  <si>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</si>
  <si>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</si>
  <si>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</si>
  <si>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</si>
  <si>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</si>
  <si>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</si>
  <si>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</si>
  <si>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</si>
  <si>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</si>
  <si>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</si>
  <si>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</si>
  <si>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</si>
  <si>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</si>
  <si>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</si>
  <si>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</si>
  <si>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</si>
  <si>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</si>
  <si>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</si>
  <si>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</si>
  <si>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</si>
  <si>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</si>
  <si>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</si>
  <si>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</si>
  <si>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</si>
  <si>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</si>
  <si>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</si>
  <si>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</si>
  <si>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</si>
  <si>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</si>
  <si>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</si>
  <si>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</si>
  <si>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</si>
  <si>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</si>
  <si>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</si>
  <si>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</si>
  <si>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</si>
  <si>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</si>
  <si>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</si>
  <si>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</si>
  <si>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</si>
  <si>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</si>
  <si>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</si>
  <si>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</si>
  <si>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</si>
  <si>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</si>
  <si>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</si>
  <si>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</si>
  <si>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</si>
  <si>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</si>
  <si>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</si>
  <si>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</si>
  <si>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</si>
  <si>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</si>
  <si>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</si>
  <si>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</si>
  <si>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</si>
  <si>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</si>
  <si>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</si>
  <si>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</si>
  <si>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</si>
  <si>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</si>
  <si>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</si>
  <si>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</si>
  <si>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</si>
  <si>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</si>
  <si>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</si>
  <si>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</si>
  <si>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</si>
  <si>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</si>
  <si>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</si>
  <si>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</si>
  <si>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</si>
  <si>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</si>
  <si>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</si>
  <si>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</si>
  <si>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</si>
  <si>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</si>
  <si>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</si>
  <si>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</si>
  <si>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</si>
  <si>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</si>
  <si>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</si>
  <si>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</si>
  <si>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</si>
  <si>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</si>
  <si>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</si>
  <si>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</si>
  <si>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</si>
  <si>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</si>
  <si>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</si>
  <si>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</si>
  <si>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</si>
  <si>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</si>
  <si>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</si>
  <si>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</si>
  <si>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</si>
  <si>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</si>
  <si>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</si>
  <si>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</si>
  <si>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</si>
  <si>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</si>
  <si>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</si>
  <si>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</si>
  <si>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</si>
  <si>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</si>
  <si>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</si>
  <si>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</si>
  <si>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</si>
  <si>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</si>
  <si>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</si>
  <si>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</si>
  <si>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</si>
  <si>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</si>
  <si>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</si>
  <si>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</si>
  <si>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</si>
  <si>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</si>
  <si>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</si>
  <si>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</si>
  <si>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</si>
  <si>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</si>
  <si>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</si>
  <si>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</si>
  <si>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</si>
  <si>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</si>
  <si>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</si>
  <si>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</si>
  <si>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</si>
  <si>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</si>
  <si>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</si>
  <si>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</si>
  <si>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</si>
  <si>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</si>
  <si>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</si>
  <si>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</si>
  <si>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</si>
  <si>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</si>
  <si>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</si>
  <si>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</si>
  <si>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</si>
  <si>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</si>
  <si>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</si>
  <si>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</si>
  <si>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</si>
  <si>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</si>
  <si>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</si>
  <si>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</si>
  <si>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</si>
  <si>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</si>
  <si>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</si>
  <si>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</si>
  <si>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</si>
  <si>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</si>
  <si>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</si>
  <si>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</si>
  <si>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</si>
  <si>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</si>
  <si>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</si>
  <si>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</si>
  <si>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</si>
  <si>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</si>
  <si>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</si>
  <si>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</si>
  <si>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</si>
  <si>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</si>
  <si>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</si>
  <si>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</si>
  <si>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</si>
  <si>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</si>
  <si>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</si>
  <si>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</si>
  <si>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</si>
  <si>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</si>
  <si>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</si>
  <si>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</si>
  <si>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</si>
  <si>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</si>
  <si>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</si>
  <si>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</si>
  <si>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</si>
  <si>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</si>
  <si>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</si>
  <si>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</si>
  <si>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</si>
  <si>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</si>
  <si>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</si>
  <si>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</si>
  <si>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</si>
  <si>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</si>
  <si>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</si>
  <si>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</si>
  <si>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</si>
  <si>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</si>
  <si>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</si>
  <si>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</si>
  <si>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</si>
  <si>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</si>
  <si>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</si>
  <si>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</si>
  <si>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</si>
  <si>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</si>
  <si>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</si>
  <si>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</si>
  <si>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</si>
  <si>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</si>
  <si>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</si>
  <si>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</si>
  <si>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</si>
  <si>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</si>
  <si>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</si>
  <si>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</si>
  <si>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</si>
  <si>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</si>
  <si>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</si>
  <si>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</si>
  <si>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</si>
  <si>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</si>
  <si>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</si>
  <si>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</si>
  <si>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</si>
  <si>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</si>
  <si>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</si>
  <si>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</si>
  <si>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</si>
  <si>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</si>
  <si>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</si>
  <si>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</si>
  <si>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</si>
  <si>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</si>
  <si>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</si>
  <si>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</si>
  <si>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</si>
  <si>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</si>
  <si>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</si>
  <si>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</si>
  <si>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</si>
  <si>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</si>
  <si>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</si>
  <si>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</si>
  <si>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</si>
  <si>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</si>
  <si>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</si>
  <si>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</si>
  <si>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</si>
  <si>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</si>
  <si>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</si>
  <si>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</si>
  <si>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</si>
  <si>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</si>
  <si>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</si>
  <si>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</si>
  <si>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</si>
  <si>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</si>
  <si>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</si>
  <si>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</si>
  <si>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</si>
  <si>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</si>
  <si>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</si>
  <si>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</si>
  <si>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</si>
  <si>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</si>
  <si>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</si>
  <si>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</si>
  <si>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</si>
  <si>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</si>
  <si>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</si>
  <si>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</si>
  <si>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</si>
  <si>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</si>
  <si>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</si>
  <si>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</si>
  <si>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</si>
  <si>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</si>
  <si>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</si>
  <si>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</si>
  <si>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</si>
  <si>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</si>
  <si>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</si>
  <si>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</si>
  <si>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</si>
  <si>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</si>
  <si>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</si>
  <si>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</si>
  <si>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</si>
  <si>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</si>
  <si>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</si>
  <si>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</si>
  <si>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</si>
  <si>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</si>
  <si>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</si>
  <si>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</si>
  <si>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</si>
  <si>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</si>
  <si>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</si>
  <si>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</si>
  <si>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</si>
  <si>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</si>
  <si>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</si>
  <si>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</si>
  <si>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</si>
  <si>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</si>
  <si>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</si>
  <si>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</si>
  <si>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</si>
  <si>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</si>
  <si>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</si>
  <si>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</si>
  <si>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</si>
  <si>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</si>
  <si>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</si>
  <si>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</si>
  <si>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</si>
  <si>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</si>
  <si>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</si>
  <si>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</si>
  <si>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</si>
  <si>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</si>
  <si>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</si>
  <si>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</si>
  <si>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</si>
  <si>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</si>
  <si>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</si>
  <si>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</si>
  <si>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</si>
  <si>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</si>
  <si>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</si>
  <si>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</si>
  <si>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</si>
  <si>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</si>
  <si>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</si>
  <si>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</si>
  <si>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</si>
  <si>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</si>
  <si>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</si>
  <si>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</si>
  <si>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</si>
  <si>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</si>
  <si>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</si>
  <si>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</si>
  <si>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</si>
  <si>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</si>
  <si>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</si>
  <si>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</si>
  <si>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</si>
  <si>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</si>
  <si>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</si>
  <si>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</si>
  <si>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</si>
  <si>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</si>
  <si>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</si>
  <si>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</si>
  <si>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</si>
  <si>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</si>
  <si>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</si>
  <si>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</si>
  <si>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</si>
  <si>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</si>
  <si>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</si>
  <si>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</si>
  <si>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</si>
  <si>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</si>
  <si>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</si>
  <si>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</si>
  <si>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</si>
  <si>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</si>
  <si>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</si>
  <si>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</si>
  <si>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</si>
  <si>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</si>
  <si>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</si>
  <si>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</si>
  <si>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</si>
  <si>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</si>
  <si>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</si>
  <si>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</si>
  <si>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</si>
  <si>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</si>
  <si>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</si>
  <si>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</si>
  <si>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</si>
  <si>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</si>
  <si>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</si>
  <si>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</si>
  <si>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</si>
  <si>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</si>
  <si>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</si>
  <si>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</si>
  <si>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</si>
  <si>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</si>
  <si>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</si>
  <si>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</si>
  <si>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</si>
  <si>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</si>
  <si>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</si>
  <si>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</si>
  <si>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</si>
  <si>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</si>
  <si>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</si>
  <si>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</si>
  <si>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</si>
  <si>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</si>
  <si>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</si>
  <si>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</si>
  <si>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</si>
  <si>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</si>
  <si>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</si>
  <si>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</si>
  <si>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</si>
  <si>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</si>
  <si>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</si>
  <si>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</si>
  <si>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</si>
  <si>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</si>
  <si>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</si>
  <si>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</si>
  <si>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</si>
  <si>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</si>
  <si>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</si>
  <si>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</si>
  <si>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</si>
  <si>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</si>
  <si>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</si>
  <si>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</si>
  <si>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</si>
  <si>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</si>
  <si>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</si>
  <si>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</si>
  <si>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</si>
  <si>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</si>
  <si>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</si>
  <si>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</si>
  <si>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</si>
  <si>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</si>
  <si>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</si>
  <si>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</si>
  <si>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</si>
  <si>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</si>
  <si>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</si>
  <si>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</si>
  <si>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</si>
  <si>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</si>
  <si>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</si>
  <si>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</si>
  <si>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</si>
  <si>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</si>
  <si>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</si>
  <si>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</si>
  <si>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</si>
  <si>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</si>
  <si>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</si>
  <si>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</si>
  <si>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</si>
  <si>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</si>
  <si>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</si>
  <si>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</si>
  <si>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</si>
  <si>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</si>
  <si>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</si>
  <si>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</si>
  <si>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</si>
  <si>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</si>
  <si>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</si>
  <si>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</si>
  <si>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</si>
  <si>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</si>
  <si>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</si>
  <si>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</si>
  <si>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</si>
  <si>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</si>
  <si>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</si>
  <si>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</si>
  <si>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</si>
  <si>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</si>
  <si>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</si>
  <si>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</si>
  <si>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</si>
  <si>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</si>
  <si>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</si>
  <si>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</si>
  <si>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</si>
  <si>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</si>
  <si>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</si>
  <si>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</si>
  <si>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</si>
  <si>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</si>
  <si>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</si>
  <si>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</si>
  <si>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</si>
  <si>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</si>
  <si>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</si>
  <si>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</si>
  <si>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</si>
  <si>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</si>
  <si>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</si>
  <si>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</si>
  <si>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</si>
  <si>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</si>
  <si>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</si>
  <si>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</si>
  <si>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</si>
  <si>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</si>
  <si>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</si>
  <si>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</si>
  <si>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</si>
  <si>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</si>
  <si>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</si>
  <si>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</si>
  <si>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</si>
  <si>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</si>
  <si>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</si>
  <si>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</si>
  <si>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</si>
  <si>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</si>
  <si>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</si>
  <si>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</si>
  <si>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</si>
  <si>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</si>
  <si>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</si>
  <si>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</si>
  <si>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</si>
  <si>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</si>
  <si>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</si>
  <si>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</si>
  <si>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</si>
  <si>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</si>
  <si>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</si>
  <si>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</si>
  <si>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</si>
  <si>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</si>
  <si>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</si>
  <si>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</si>
  <si>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</si>
  <si>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</si>
  <si>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</si>
  <si>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</si>
  <si>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</si>
  <si>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</si>
  <si>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</si>
  <si>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</si>
  <si>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</si>
  <si>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</si>
  <si>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</si>
  <si>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</si>
  <si>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</si>
  <si>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</si>
  <si>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</si>
  <si>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</si>
  <si>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</si>
  <si>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</si>
  <si>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</si>
  <si>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</si>
  <si>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</si>
  <si>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</si>
  <si>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</si>
  <si>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</si>
  <si>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</si>
  <si>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</si>
  <si>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</si>
  <si>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</si>
  <si>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</si>
  <si>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</si>
  <si>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</si>
  <si>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</si>
  <si>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</si>
  <si>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</si>
  <si>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</si>
  <si>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</si>
  <si>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</si>
  <si>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</si>
  <si>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</si>
  <si>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</si>
  <si>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</si>
  <si>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</si>
  <si>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</si>
  <si>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</si>
  <si>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</si>
  <si>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</si>
  <si>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</si>
  <si>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</si>
  <si>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</si>
  <si>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</si>
  <si>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</si>
  <si>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</si>
  <si>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</si>
  <si>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</si>
  <si>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</si>
  <si>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</si>
  <si>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</si>
  <si>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</si>
  <si>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</si>
  <si>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</si>
  <si>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</si>
  <si>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</si>
  <si>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</si>
  <si>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</si>
  <si>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</si>
  <si>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</si>
  <si>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</si>
  <si>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</si>
  <si>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</si>
  <si>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</si>
  <si>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</si>
  <si>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</si>
  <si>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</si>
  <si>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</si>
  <si>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</si>
  <si>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</si>
  <si>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</si>
  <si>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</si>
  <si>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</si>
  <si>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</si>
  <si>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</si>
  <si>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</si>
  <si>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</si>
  <si>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</si>
  <si>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</si>
  <si>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</si>
  <si>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</si>
  <si>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</si>
  <si>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</si>
  <si>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</si>
  <si>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</si>
  <si>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</si>
  <si>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</si>
  <si>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</si>
  <si>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</si>
  <si>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</si>
  <si>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</si>
  <si>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</si>
  <si>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</si>
  <si>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</si>
  <si>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</si>
  <si>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</si>
  <si>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</si>
  <si>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</si>
  <si>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</si>
  <si>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</si>
  <si>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</si>
  <si>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</si>
  <si>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</si>
  <si>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</si>
  <si>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</si>
  <si>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</si>
  <si>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</si>
  <si>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</si>
  <si>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</si>
  <si>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</si>
  <si>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</si>
  <si>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</si>
  <si>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</si>
  <si>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</si>
  <si>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</si>
  <si>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</si>
  <si>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</si>
  <si>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</si>
  <si>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</si>
  <si>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</si>
  <si>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</si>
  <si>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</si>
  <si>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</si>
  <si>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</si>
  <si>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</si>
  <si>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</si>
  <si>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</si>
  <si>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</si>
  <si>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</si>
  <si>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</si>
  <si>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</si>
  <si>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</si>
  <si>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</si>
  <si>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</si>
  <si>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</si>
  <si>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</si>
  <si>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</si>
  <si>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</si>
  <si>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</si>
  <si>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</si>
  <si>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</si>
  <si>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</si>
  <si>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</si>
  <si>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</si>
  <si>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</si>
  <si>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</si>
  <si>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</si>
  <si>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</si>
  <si>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</si>
  <si>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</si>
  <si>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</si>
  <si>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</si>
  <si>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</si>
  <si>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</si>
  <si>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</si>
  <si>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</si>
  <si>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</si>
  <si>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</si>
  <si>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</si>
  <si>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</si>
  <si>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</si>
  <si>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</si>
  <si>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</si>
  <si>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</si>
  <si>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</si>
  <si>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</si>
  <si>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</si>
  <si>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</si>
  <si>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</si>
  <si>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</si>
  <si>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</si>
  <si>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</si>
  <si>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</si>
  <si>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</si>
  <si>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</si>
  <si>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</si>
  <si>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</si>
  <si>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</si>
  <si>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</si>
  <si>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</si>
  <si>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</si>
  <si>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</si>
  <si>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</si>
  <si>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</si>
  <si>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</si>
  <si>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</si>
  <si>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</si>
  <si>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</si>
  <si>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</si>
  <si>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</si>
  <si>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</si>
  <si>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</si>
  <si>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</si>
  <si>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</si>
  <si>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</si>
  <si>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</si>
  <si>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</si>
  <si>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</si>
  <si>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</si>
  <si>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</si>
  <si>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</si>
  <si>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</si>
  <si>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</si>
  <si>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</si>
  <si>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</si>
  <si>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</si>
  <si>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</si>
  <si>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</si>
  <si>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</si>
  <si>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</si>
  <si>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</si>
  <si>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</si>
  <si>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</si>
  <si>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</si>
  <si>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</si>
  <si>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</si>
  <si>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</si>
  <si>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</si>
  <si>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</si>
  <si>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</si>
  <si>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</si>
  <si>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</si>
  <si>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</si>
  <si>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</si>
  <si>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</si>
  <si>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</si>
  <si>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</si>
  <si>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</si>
  <si>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</si>
  <si>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</si>
  <si>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</si>
  <si>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</si>
  <si>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</si>
  <si>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</si>
  <si>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</si>
  <si>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</si>
  <si>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</si>
  <si>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</si>
  <si>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</si>
  <si>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</si>
  <si>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</si>
  <si>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</si>
  <si>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</si>
  <si>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</si>
  <si>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</si>
  <si>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</si>
  <si>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</si>
  <si>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</si>
  <si>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</si>
  <si>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</si>
  <si>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</si>
  <si>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</si>
  <si>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</si>
  <si>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</si>
  <si>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</si>
  <si>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</si>
  <si>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</si>
  <si>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</si>
  <si>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</si>
  <si>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</si>
  <si>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</si>
  <si>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</si>
  <si>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</si>
  <si>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</si>
  <si>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</si>
  <si>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</si>
  <si>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</si>
  <si>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</si>
  <si>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</si>
  <si>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</si>
  <si>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</si>
  <si>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</si>
  <si>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</si>
  <si>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</si>
  <si>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</si>
  <si>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</si>
  <si>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</si>
  <si>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</si>
  <si>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</si>
  <si>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</si>
  <si>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</si>
  <si>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</si>
  <si>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</si>
  <si>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</si>
  <si>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</si>
  <si>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</si>
  <si>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</si>
  <si>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</si>
  <si>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</si>
  <si>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</si>
  <si>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</si>
  <si>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</si>
  <si>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</si>
  <si>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</si>
  <si>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</si>
  <si>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</si>
  <si>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</si>
  <si>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</si>
  <si>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</si>
  <si>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</si>
  <si>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</si>
  <si>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</si>
  <si>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</si>
  <si>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</si>
  <si>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</si>
  <si>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</si>
  <si>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</si>
  <si>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</si>
  <si>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</si>
  <si>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</si>
  <si>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</si>
  <si>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</si>
  <si>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</si>
  <si>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</si>
  <si>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</si>
  <si>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</si>
  <si>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</si>
  <si>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</si>
  <si>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</si>
  <si>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</si>
  <si>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</si>
  <si>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</si>
  <si>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</si>
  <si>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</si>
  <si>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</si>
  <si>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</si>
  <si>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</si>
  <si>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</si>
  <si>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</si>
  <si>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</si>
  <si>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</si>
  <si>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</si>
  <si>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</si>
  <si>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</si>
  <si>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</si>
  <si>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</si>
  <si>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</si>
  <si>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</si>
  <si>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</si>
  <si>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</si>
  <si>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</si>
  <si>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</si>
  <si>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</si>
  <si>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</si>
  <si>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</si>
  <si>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</si>
  <si>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</si>
  <si>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</si>
  <si>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</si>
  <si>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</si>
  <si>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</si>
  <si>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</si>
  <si>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</si>
  <si>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</si>
  <si>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</si>
  <si>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</si>
  <si>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</si>
  <si>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</si>
  <si>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</si>
  <si>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</si>
  <si>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</si>
  <si>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</si>
  <si>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</si>
  <si>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</si>
  <si>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</si>
  <si>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</si>
  <si>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</si>
  <si>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</si>
  <si>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</si>
  <si>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</si>
  <si>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</si>
  <si>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</si>
  <si>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</si>
  <si>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</si>
  <si>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</si>
  <si>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</si>
  <si>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</si>
  <si>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</si>
  <si>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</si>
  <si>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</si>
  <si>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</si>
  <si>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</si>
  <si>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</si>
  <si>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</si>
  <si>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</si>
  <si>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</si>
  <si>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</si>
  <si>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</si>
  <si>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</si>
  <si>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</si>
  <si>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</si>
  <si>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</si>
  <si>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</si>
  <si>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</si>
  <si>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</si>
  <si>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</si>
  <si>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</si>
  <si>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</si>
  <si>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</si>
  <si>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</si>
  <si>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</si>
  <si>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</si>
  <si>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</si>
  <si>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</si>
  <si>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</si>
  <si>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</si>
  <si>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</si>
  <si>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</si>
  <si>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</si>
  <si>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</si>
  <si>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</si>
  <si>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</si>
  <si>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</si>
  <si>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</si>
  <si>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</si>
  <si>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</si>
  <si>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</si>
  <si>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</si>
  <si>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</si>
  <si>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</si>
  <si>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</si>
  <si>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</si>
  <si>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</si>
  <si>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</si>
  <si>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</si>
  <si>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</si>
  <si>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</si>
  <si>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</si>
  <si>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</si>
  <si>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</si>
  <si>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</si>
  <si>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</si>
  <si>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</si>
  <si>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</si>
  <si>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</si>
  <si>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</si>
  <si>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</si>
  <si>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</si>
  <si>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</si>
  <si>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</si>
  <si>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</si>
  <si>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</si>
  <si>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</si>
  <si>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</si>
  <si>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</si>
  <si>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</si>
  <si>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</si>
  <si>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</si>
  <si>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</si>
  <si>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</si>
  <si>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</si>
  <si>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</si>
  <si>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</si>
  <si>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</si>
  <si>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</si>
  <si>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</si>
  <si>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</si>
  <si>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</si>
  <si>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</si>
  <si>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</si>
  <si>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</si>
  <si>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</si>
  <si>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</si>
  <si>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</si>
  <si>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</si>
  <si>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</si>
  <si>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</si>
  <si>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</si>
  <si>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</si>
  <si>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</si>
  <si>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</si>
  <si>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</si>
  <si>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</si>
  <si>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</si>
  <si>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</si>
  <si>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</si>
  <si>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</si>
  <si>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</si>
  <si>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</si>
  <si>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</si>
  <si>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</si>
  <si>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</si>
  <si>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</si>
  <si>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</si>
  <si>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</si>
  <si>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</si>
  <si>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</si>
  <si>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</si>
  <si>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</si>
  <si>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</si>
  <si>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</si>
  <si>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</si>
  <si>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</si>
  <si>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</si>
  <si>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</si>
  <si>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</si>
  <si>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</si>
  <si>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</si>
  <si>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</si>
  <si>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</si>
  <si>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</si>
  <si>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</si>
  <si>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</si>
  <si>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</si>
  <si>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</si>
  <si>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</si>
  <si>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</si>
  <si>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</si>
  <si>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</si>
  <si>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</si>
  <si>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</si>
  <si>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</si>
  <si>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</si>
  <si>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</si>
  <si>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</si>
  <si>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</si>
  <si>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</si>
  <si>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</si>
  <si>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</si>
  <si>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</si>
  <si>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</si>
  <si>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</si>
  <si>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</si>
  <si>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</si>
  <si>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</si>
  <si>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</si>
  <si>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</si>
  <si>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</si>
  <si>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</si>
  <si>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</si>
  <si>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</si>
  <si>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</si>
  <si>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</si>
  <si>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</si>
  <si>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</si>
  <si>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</si>
  <si>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</si>
  <si>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</si>
  <si>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</si>
  <si>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</si>
  <si>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</si>
  <si>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</si>
  <si>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</si>
  <si>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</si>
  <si>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</si>
  <si>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</si>
  <si>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</si>
  <si>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</si>
  <si>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</si>
  <si>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</si>
  <si>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</si>
  <si>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</si>
  <si>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</si>
  <si>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</si>
  <si>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</si>
  <si>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</si>
  <si>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</si>
  <si>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</si>
  <si>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</si>
  <si>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</si>
  <si>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</si>
  <si>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</si>
  <si>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</si>
  <si>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</si>
  <si>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</si>
  <si>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</si>
  <si>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</si>
  <si>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</si>
  <si>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</si>
  <si>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</si>
  <si>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</si>
  <si>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</si>
  <si>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</si>
  <si>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</si>
  <si>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</si>
  <si>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</si>
  <si>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</si>
  <si>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</si>
  <si>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</si>
  <si>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</si>
  <si>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</si>
  <si>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</si>
  <si>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</si>
  <si>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</si>
  <si>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</si>
  <si>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</si>
  <si>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</si>
  <si>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</si>
  <si>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</si>
  <si>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</si>
  <si>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</si>
  <si>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</si>
  <si>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</si>
  <si>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</si>
  <si>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</si>
  <si>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</si>
  <si>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</si>
  <si>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</si>
  <si>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</si>
  <si>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</si>
  <si>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</si>
  <si>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</si>
  <si>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</si>
  <si>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</si>
  <si>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</si>
  <si>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</si>
  <si>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</si>
  <si>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</si>
  <si>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</si>
  <si>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</si>
  <si>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</si>
  <si>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</si>
  <si>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</si>
  <si>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</si>
  <si>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</si>
  <si>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</si>
  <si>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</si>
  <si>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</si>
  <si>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</si>
  <si>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</si>
  <si>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</si>
  <si>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</si>
  <si>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</si>
  <si>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</si>
  <si>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</si>
  <si>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</si>
  <si>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</si>
  <si>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</si>
  <si>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</si>
  <si>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</si>
  <si>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</si>
  <si>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</si>
  <si>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</si>
  <si>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</si>
  <si>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</si>
  <si>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</si>
  <si>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</si>
  <si>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</si>
  <si>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</si>
  <si>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</si>
  <si>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</si>
  <si>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</si>
  <si>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</si>
  <si>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</si>
  <si>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</si>
  <si>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</si>
  <si>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</si>
  <si>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</si>
  <si>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</si>
  <si>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</si>
  <si>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</si>
  <si>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</si>
  <si>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</si>
  <si>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</si>
  <si>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</si>
  <si>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</si>
  <si>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</si>
  <si>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</si>
  <si>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</si>
  <si>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</si>
  <si>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</si>
  <si>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</si>
  <si>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</si>
  <si>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</si>
  <si>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</si>
  <si>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</si>
  <si>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</si>
  <si>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</si>
  <si>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</si>
  <si>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</si>
  <si>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</si>
  <si>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</si>
  <si>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</si>
  <si>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</si>
  <si>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</si>
  <si>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</si>
  <si>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</si>
  <si>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</si>
  <si>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</si>
  <si>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</si>
  <si>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</si>
  <si>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</si>
  <si>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</si>
  <si>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</si>
  <si>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</si>
  <si>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</si>
  <si>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</si>
  <si>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</si>
  <si>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</si>
  <si>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</si>
  <si>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</si>
  <si>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</si>
  <si>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</si>
  <si>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</si>
  <si>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</si>
  <si>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</si>
  <si>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</si>
  <si>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</si>
  <si>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</si>
  <si>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</si>
  <si>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</si>
  <si>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</si>
  <si>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</si>
  <si>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</si>
  <si>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</si>
  <si>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</si>
  <si>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</si>
  <si>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</si>
  <si>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</si>
  <si>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</si>
  <si>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</si>
  <si>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</si>
  <si>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</si>
  <si>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</si>
  <si>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</si>
  <si>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</si>
  <si>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</si>
  <si>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</si>
  <si>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</si>
  <si>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</si>
  <si>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</si>
  <si>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</si>
  <si>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</si>
  <si>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</si>
  <si>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</si>
  <si>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</si>
  <si>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</si>
  <si>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</si>
  <si>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</si>
  <si>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</si>
  <si>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</si>
  <si>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</si>
  <si>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</si>
  <si>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</si>
  <si>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</si>
  <si>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</si>
  <si>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</si>
  <si>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</si>
  <si>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</si>
  <si>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</si>
  <si>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</si>
  <si>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</si>
  <si>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</si>
  <si>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</si>
  <si>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</si>
  <si>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</si>
  <si>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</si>
  <si>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</si>
  <si>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</si>
  <si>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</si>
  <si>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</si>
  <si>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</si>
  <si>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</si>
  <si>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</si>
  <si>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</si>
  <si>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</si>
  <si>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</si>
  <si>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</si>
  <si>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</si>
  <si>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</si>
  <si>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</si>
  <si>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</si>
  <si>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</si>
  <si>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</si>
  <si>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</si>
  <si>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</si>
  <si>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</si>
  <si>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</si>
  <si>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</si>
  <si>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</si>
  <si>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</si>
  <si>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</si>
  <si>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</si>
  <si>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</si>
  <si>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</si>
  <si>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</si>
  <si>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</si>
  <si>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</si>
  <si>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</si>
  <si>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</si>
  <si>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</si>
  <si>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</si>
  <si>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</si>
  <si>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</si>
  <si>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</si>
  <si>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</si>
  <si>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</si>
  <si>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</si>
  <si>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</si>
  <si>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</si>
  <si>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</si>
  <si>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</si>
  <si>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</si>
  <si>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</si>
  <si>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</si>
  <si>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</si>
  <si>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</si>
  <si>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</si>
  <si>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</si>
  <si>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</si>
  <si>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</si>
  <si>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</si>
  <si>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</si>
  <si>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</si>
  <si>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</si>
  <si>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</si>
  <si>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</si>
  <si>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</si>
  <si>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</si>
  <si>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</si>
  <si>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</si>
  <si>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</si>
  <si>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</si>
  <si>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</si>
  <si>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</si>
  <si>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</si>
  <si>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</si>
  <si>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</si>
  <si>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</si>
  <si>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</si>
  <si>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</si>
  <si>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</si>
  <si>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</si>
  <si>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</si>
  <si>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</si>
  <si>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</si>
  <si>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</si>
  <si>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</si>
  <si>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</si>
  <si>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</si>
  <si>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</si>
  <si>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</si>
  <si>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</si>
  <si>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</si>
  <si>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</si>
  <si>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</si>
  <si>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</si>
  <si>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</si>
  <si>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</si>
  <si>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</si>
  <si>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</si>
  <si>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</si>
  <si>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</si>
  <si>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</si>
  <si>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</si>
  <si>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</si>
  <si>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</si>
  <si>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</si>
  <si>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</si>
  <si>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</si>
  <si>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</si>
  <si>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</si>
  <si>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</si>
  <si>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</si>
  <si>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</si>
  <si>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</si>
  <si>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</si>
  <si>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</si>
  <si>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</si>
  <si>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</si>
  <si>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</si>
  <si>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</si>
  <si>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</si>
  <si>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</si>
  <si>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</si>
  <si>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</si>
  <si>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</si>
  <si>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</si>
  <si>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</si>
  <si>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</si>
  <si>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</si>
  <si>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</si>
  <si>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</si>
  <si>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</si>
  <si>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</si>
  <si>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</si>
  <si>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</si>
  <si>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</si>
  <si>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</si>
  <si>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</si>
  <si>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</si>
  <si>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</si>
  <si>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</si>
  <si>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</si>
  <si>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</si>
  <si>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</si>
  <si>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</si>
  <si>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</si>
  <si>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</si>
  <si>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</si>
  <si>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</si>
  <si>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</si>
  <si>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</si>
  <si>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</si>
  <si>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</si>
  <si>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</si>
  <si>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</si>
  <si>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</si>
  <si>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</si>
  <si>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</si>
  <si>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</si>
  <si>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</si>
  <si>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</si>
  <si>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</si>
  <si>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</si>
  <si>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</si>
  <si>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</si>
  <si>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</si>
  <si>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</si>
  <si>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</si>
  <si>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</si>
  <si>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</si>
  <si>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</si>
  <si>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</si>
  <si>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</si>
  <si>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</si>
  <si>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</si>
  <si>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</si>
  <si>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</si>
  <si>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</si>
  <si>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</si>
  <si>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</si>
  <si>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</si>
  <si>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</si>
  <si>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</si>
  <si>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</si>
  <si>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</si>
  <si>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</si>
  <si>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</si>
  <si>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</si>
  <si>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</si>
  <si>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</si>
  <si>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</si>
  <si>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</si>
  <si>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</si>
  <si>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</si>
  <si>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</si>
  <si>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</si>
  <si>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</si>
  <si>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</si>
  <si>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</si>
  <si>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</si>
  <si>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</si>
  <si>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</si>
  <si>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</si>
  <si>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</si>
  <si>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</si>
  <si>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</si>
  <si>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</si>
  <si>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</si>
  <si>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</si>
  <si>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</si>
  <si>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</si>
  <si>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</si>
  <si>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</si>
  <si>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</si>
  <si>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</si>
  <si>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</si>
  <si>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</si>
  <si>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</si>
  <si>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</si>
  <si>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</si>
  <si>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</si>
  <si>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</si>
  <si>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</si>
  <si>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</si>
  <si>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</si>
  <si>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</si>
  <si>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</si>
  <si>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</si>
  <si>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</si>
  <si>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</si>
  <si>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</si>
  <si>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</si>
  <si>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</si>
  <si>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</si>
  <si>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</si>
  <si>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</si>
  <si>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</si>
  <si>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</si>
  <si>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</si>
  <si>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</si>
  <si>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</si>
  <si>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</si>
  <si>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</si>
  <si>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</si>
  <si>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</si>
  <si>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</si>
  <si>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</si>
  <si>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</si>
  <si>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</si>
  <si>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</si>
  <si>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</si>
  <si>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</si>
  <si>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</si>
  <si>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</si>
  <si>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</si>
  <si>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</si>
  <si>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</si>
  <si>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</si>
  <si>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</si>
  <si>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</si>
  <si>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</si>
  <si>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</si>
  <si>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</si>
  <si>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</si>
  <si>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</si>
  <si>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</si>
  <si>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</si>
  <si>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</si>
  <si>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</si>
  <si>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</si>
  <si>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</si>
  <si>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</si>
  <si>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</si>
  <si>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</si>
  <si>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</si>
  <si>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</si>
  <si>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</si>
  <si>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</si>
  <si>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</si>
  <si>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</si>
  <si>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</si>
  <si>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</si>
  <si>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</si>
  <si>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</si>
  <si>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</si>
  <si>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</si>
  <si>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</si>
  <si>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</si>
  <si>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</si>
  <si>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</si>
  <si>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</si>
  <si>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</si>
  <si>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</si>
  <si>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</si>
  <si>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</si>
  <si>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</si>
  <si>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</si>
  <si>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</si>
  <si>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</si>
  <si>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</si>
  <si>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</si>
  <si>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</si>
  <si>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</si>
  <si>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</si>
  <si>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</si>
  <si>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</si>
  <si>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</si>
  <si>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</si>
  <si>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</si>
  <si>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</si>
  <si>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</si>
  <si>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</si>
  <si>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</si>
  <si>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</si>
  <si>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</si>
  <si>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</si>
  <si>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</si>
  <si>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</si>
  <si>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</si>
  <si>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</si>
  <si>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</si>
  <si>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</si>
  <si>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</si>
  <si>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</si>
  <si>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</si>
  <si>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</si>
  <si>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</si>
  <si>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</si>
  <si>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</si>
  <si>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</si>
  <si>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</si>
  <si>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</si>
  <si>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</si>
  <si>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</si>
  <si>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</si>
  <si>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</si>
  <si>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</si>
  <si>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</si>
  <si>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</si>
  <si>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</si>
  <si>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</si>
  <si>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</si>
  <si>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</si>
  <si>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</si>
  <si>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</si>
  <si>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</si>
  <si>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</si>
  <si>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</si>
  <si>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</si>
  <si>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</si>
  <si>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</si>
  <si>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</si>
  <si>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</si>
  <si>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</si>
  <si>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</si>
  <si>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</si>
  <si>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</si>
  <si>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</si>
  <si>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</si>
  <si>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</si>
  <si>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</si>
  <si>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</si>
  <si>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</si>
  <si>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</si>
  <si>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</si>
  <si>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</si>
  <si>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</si>
  <si>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</si>
  <si>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</si>
  <si>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</si>
  <si>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</si>
  <si>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</si>
  <si>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</si>
  <si>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</si>
  <si>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</si>
  <si>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</si>
  <si>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</si>
  <si>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</si>
  <si>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</si>
  <si>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</si>
  <si>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</si>
  <si>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</si>
  <si>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</si>
  <si>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</si>
  <si>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</si>
  <si>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</si>
  <si>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</si>
  <si>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</si>
  <si>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</si>
  <si>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</si>
  <si>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</si>
  <si>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</si>
  <si>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</si>
  <si>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</si>
  <si>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</si>
  <si>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</si>
  <si>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</si>
  <si>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</si>
  <si>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</si>
  <si>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</si>
  <si>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</si>
  <si>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</si>
  <si>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</si>
  <si>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</si>
  <si>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</si>
  <si>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</si>
  <si>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</si>
  <si>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</si>
  <si>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</si>
  <si>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</si>
  <si>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</si>
  <si>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</si>
  <si>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</si>
  <si>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</si>
  <si>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</si>
  <si>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</si>
  <si>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</si>
  <si>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</si>
  <si>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</si>
  <si>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</si>
  <si>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</si>
  <si>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</si>
  <si>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</si>
  <si>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</si>
  <si>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序号</t>
    <phoneticPr fontId="140" type="noConversion"/>
  </si>
  <si>
    <t>楼层</t>
    <phoneticPr fontId="140" type="noConversion"/>
  </si>
  <si>
    <t>面积</t>
    <phoneticPr fontId="140" type="noConversion"/>
  </si>
  <si>
    <t>合计</t>
    <phoneticPr fontId="140" type="noConversion"/>
  </si>
  <si>
    <t>企业</t>
  </si>
  <si>
    <t>出让</t>
  </si>
  <si>
    <t>自然人</t>
  </si>
  <si>
    <t>地下</t>
  </si>
  <si>
    <t>车库</t>
  </si>
  <si>
    <t>是</t>
  </si>
  <si>
    <t>车库</t>
    <phoneticPr fontId="7" type="noConversion"/>
  </si>
  <si>
    <t>成新度</t>
  </si>
  <si>
    <t>收益法</t>
  </si>
  <si>
    <t>自定义</t>
  </si>
  <si>
    <t>按租金收入计税</t>
  </si>
  <si>
    <t>钢混</t>
  </si>
  <si>
    <t>非生产用房</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</si>
  <si>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</si>
  <si>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</si>
  <si>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</si>
  <si>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</si>
  <si>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</si>
  <si>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</si>
  <si>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</si>
  <si>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</si>
  <si>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</si>
  <si>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</si>
  <si>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</si>
  <si>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</si>
  <si>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</si>
  <si>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</si>
  <si>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</si>
  <si>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</si>
  <si>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武侯区金花桥街道花龙门村3、4组</t>
  </si>
  <si>
    <t>成都市</t>
  </si>
  <si>
    <t>住宅用地</t>
  </si>
  <si>
    <t>拍卖</t>
  </si>
  <si>
    <t>2021-01-19</t>
  </si>
  <si>
    <t>成都仁轩贸易有限公司</t>
  </si>
  <si>
    <t>5星</t>
  </si>
  <si>
    <t>武侯区金花桥街道川西营社区1、2组和九龙社区4组</t>
  </si>
  <si>
    <t>二类住宅用地</t>
  </si>
  <si>
    <t>2021-01-07</t>
  </si>
  <si>
    <t>成都武科实业有限公司</t>
  </si>
  <si>
    <t>4星</t>
  </si>
  <si>
    <t>武侯区机投桥街道半边街社区5、6、7组</t>
  </si>
  <si>
    <t>2021-01-06</t>
  </si>
  <si>
    <t>成都绿曙置业有限公司</t>
  </si>
  <si>
    <t>武侯区机投桥街道半边街村7组,簇桥街道瓦房村3、4组</t>
  </si>
  <si>
    <t>住宅用地70年</t>
  </si>
  <si>
    <t>2020-12-29</t>
  </si>
  <si>
    <t>成都荣惠煜企业管理有限责任公司</t>
  </si>
  <si>
    <t>武侯区机投桥街道办事处半边街村2、5、6组</t>
  </si>
  <si>
    <t>成都德韵置业有限公司</t>
  </si>
  <si>
    <t>武侯区机投桥街道半边街社区7组</t>
  </si>
  <si>
    <t>四川三聚亿实业有限公司</t>
  </si>
  <si>
    <t>武侯区机投桥街道半边街村2组</t>
  </si>
  <si>
    <t>不大于2.5</t>
  </si>
  <si>
    <t>2020-04-02</t>
  </si>
  <si>
    <t>成都中南新世界房地产开发有限公司</t>
  </si>
  <si>
    <t>武侯区新马路1号、长益路4号、18号、80号</t>
  </si>
  <si>
    <t>综合用地(含住宅)</t>
  </si>
  <si>
    <t>住宅用地、商服用地</t>
  </si>
  <si>
    <t>2020-01-20</t>
  </si>
  <si>
    <t>成都南横置业有限公司</t>
  </si>
  <si>
    <t>武侯区金花桥街道陆坝村6组</t>
  </si>
  <si>
    <t>2019-12-31</t>
  </si>
  <si>
    <t>深圳市创琪企业管理有限公司</t>
  </si>
  <si>
    <t>武侯区簇桥街道办事处七里村5、6、8组,簇锦街道办事处铁佛村7组</t>
  </si>
  <si>
    <t>≤2.60</t>
  </si>
  <si>
    <t>商业服务业设施用地、二类住宅用地兼容商业服务业设施用地、二类住宅用地</t>
  </si>
  <si>
    <t>2019-07-11</t>
  </si>
  <si>
    <t>成都轨道城市发展集团有限公司</t>
  </si>
  <si>
    <t>武侯区机投桥街道万寿村二、四组,机投村四组</t>
  </si>
  <si>
    <t>≤1.5</t>
  </si>
  <si>
    <t>2019-06-27</t>
  </si>
  <si>
    <t>保利(成都)实业有限公司</t>
  </si>
  <si>
    <t>武侯区机投桥街道半边街村2、5组,白佛村3组</t>
  </si>
  <si>
    <t>≤2.0</t>
  </si>
  <si>
    <t>2019-03-19</t>
  </si>
  <si>
    <t>成都兴城人居地产投资集团有限公司</t>
  </si>
  <si>
    <t>武侯区机投桥街道办事处半边村6、7组</t>
  </si>
  <si>
    <t>2018-12-20</t>
  </si>
  <si>
    <t>武侯区红瓦寺11、13号,一环路南一段16号</t>
  </si>
  <si>
    <t>≤3.0</t>
  </si>
  <si>
    <t>二类住宅用地兼容商业用地</t>
  </si>
  <si>
    <t>2018-12-14</t>
  </si>
  <si>
    <t>成都阳光城迤达置业有限公司</t>
  </si>
  <si>
    <t>武侯区簇桥街道办事处高碑村2、4、5组</t>
  </si>
  <si>
    <t>≤2.13</t>
  </si>
  <si>
    <t>2018-01-10</t>
  </si>
  <si>
    <t>成都金科骏丰房地产开发有限公司</t>
  </si>
  <si>
    <t>武侯区簇锦街办铁佛村9组</t>
  </si>
  <si>
    <t>2017-09-07</t>
  </si>
  <si>
    <t>武侯区簇桥街道办事处七里村2、3、5、8、9组</t>
  </si>
  <si>
    <t>综合容积率≤2.0</t>
  </si>
  <si>
    <t>1、3号地块:二类住宅用地;2号地块:二类住宅用地兼容商业服务业设施用地</t>
  </si>
  <si>
    <t>北京兴茂置业有限公司,成都天泉置业有限责任公司</t>
  </si>
  <si>
    <t>武侯区簇锦街道铁佛村6、7组、簇桥街道七里村6组</t>
  </si>
  <si>
    <t>≤2.8</t>
  </si>
  <si>
    <t>商业服务业设施用地兼容二类住宅用地</t>
  </si>
  <si>
    <t>2017-07-18</t>
  </si>
  <si>
    <t>重庆龙湖地产发展有限公司(龙湖)</t>
  </si>
  <si>
    <t>武侯区七里村6组,铁佛村7、8组</t>
  </si>
  <si>
    <t>≤2.5</t>
  </si>
  <si>
    <t>城镇混合住宅用地</t>
  </si>
  <si>
    <t>2017-04-06</t>
  </si>
  <si>
    <t>北京兴茂置业有限公司</t>
  </si>
  <si>
    <t>武侯区红牌楼街道太平村1、7组</t>
  </si>
  <si>
    <t>≤1.9</t>
  </si>
  <si>
    <t>成都东原房地产开发有限公司</t>
  </si>
  <si>
    <t>武侯区红牌楼街道太平村三组</t>
  </si>
  <si>
    <t>≤1.8</t>
  </si>
  <si>
    <t>城镇混合住宅用地,商业用地</t>
  </si>
  <si>
    <t>2016-11-01</t>
  </si>
  <si>
    <t>成都金房集团有限公司</t>
  </si>
  <si>
    <t>武侯区簇桥街道簇桥上街(原生产路9-27号B-13地块)</t>
  </si>
  <si>
    <t>≤2.3</t>
  </si>
  <si>
    <t>2016-06-29</t>
  </si>
  <si>
    <t>成都朋汇房地产开发有限公司</t>
  </si>
  <si>
    <t>武侯区机投桥街道办事处半边街村2组</t>
  </si>
  <si>
    <t>≤3</t>
  </si>
  <si>
    <t>武侯区金花桥街办江安河村1、2组,簇桥街道双凤村1、2组</t>
  </si>
  <si>
    <t>≤2</t>
  </si>
  <si>
    <t>城镇混合住宅用地、商业用地</t>
  </si>
  <si>
    <t>成都新希望置业有限公司</t>
  </si>
  <si>
    <t>武侯区簇锦街道办事处高碑社区2、4组,顺江村7组</t>
  </si>
  <si>
    <t>≤3.22</t>
  </si>
  <si>
    <t>苏南阳光城置业(苏州)有限公司</t>
  </si>
  <si>
    <t>武侯区永丰乡肖家河村12组</t>
  </si>
  <si>
    <t>≤3.1</t>
  </si>
  <si>
    <t>2016-02-04</t>
  </si>
  <si>
    <t>四川蓝光和骏实业有限公司</t>
  </si>
  <si>
    <t>武侯区簇锦街办铁佛村3组、簇桥街办七里村4、5组</t>
  </si>
  <si>
    <t>≤2.7</t>
  </si>
  <si>
    <t>2015-12-04</t>
  </si>
  <si>
    <t>中铁房地产集团四川有限公司</t>
  </si>
  <si>
    <t>武侯区簇锦街办铁佛村3、8组、簇桥街办七里村4、5组</t>
  </si>
  <si>
    <t>武侯区晋阳街道办事处沙堰村一组</t>
  </si>
  <si>
    <t>≤2.4</t>
  </si>
  <si>
    <t>城镇混合住宅用地,商服用地</t>
  </si>
  <si>
    <t>2015-11-27</t>
  </si>
  <si>
    <t>成都进达合能置业有限公司</t>
  </si>
  <si>
    <t>武侯区机投桥街道果堰村11组</t>
  </si>
  <si>
    <t>中海佳诚(成都)房地产开发有限公司</t>
  </si>
  <si>
    <t>武侯区机投街道半边街社区2、5、6组</t>
  </si>
  <si>
    <t>≤2.6</t>
  </si>
  <si>
    <t>2015-09-30</t>
  </si>
  <si>
    <t>广京发展有限公司(FIRST*CAPITAL*DEVELOPMENT*LIMITED)</t>
  </si>
  <si>
    <t>3星</t>
  </si>
  <si>
    <t>武侯区机投桥街道果堰村4、10组</t>
  </si>
  <si>
    <t>≤2.9</t>
  </si>
  <si>
    <t>中海地产集团有限公司</t>
  </si>
  <si>
    <t>武侯区红牌楼街道办事处太平村一、二、三、七组</t>
  </si>
  <si>
    <t>2015-06-26</t>
  </si>
  <si>
    <t>成都恒德凯盛资产管理有限公司</t>
  </si>
  <si>
    <t>武侯区簇桥街道铁佛村社区2、4、9组</t>
  </si>
  <si>
    <t>2015-01-08</t>
  </si>
  <si>
    <t>武侯区簇桥街道办事处龙井村五组</t>
  </si>
  <si>
    <t>2014-12-26</t>
  </si>
  <si>
    <t>四川蓝光和骏实业股份有限公司</t>
  </si>
  <si>
    <t>武侯区晋阳南路82号</t>
  </si>
  <si>
    <t>挂牌</t>
  </si>
  <si>
    <t>商服用地、城镇混合住宅用地</t>
  </si>
  <si>
    <t>2014-09-25</t>
  </si>
  <si>
    <t>四川森卓贸易有限公司</t>
  </si>
  <si>
    <t>武侯区顺江村六组、高碑村三组、铁佛村二组</t>
  </si>
  <si>
    <t>＞1、＜3.22</t>
  </si>
  <si>
    <t>商业用地、城镇混合住宅用地、文体用地</t>
  </si>
  <si>
    <t>2014-02-27</t>
  </si>
  <si>
    <t>成都金隅大成房地产开发有限公司</t>
  </si>
  <si>
    <t>武侯区晋阳街办晋阳村6组</t>
  </si>
  <si>
    <t>＞1、≤3.5</t>
  </si>
  <si>
    <t>商业用地、城镇混合住宅用地</t>
  </si>
  <si>
    <t>2014-02-25</t>
  </si>
  <si>
    <t>成都龙湖锦华置业有限公司</t>
  </si>
  <si>
    <t>武侯区长益路2号</t>
  </si>
  <si>
    <t>＞1、＜3</t>
  </si>
  <si>
    <t>2014-02-21</t>
  </si>
  <si>
    <t>武侯区晋阳街办晋阳村二组</t>
  </si>
  <si>
    <t>＞1、＜2.4</t>
  </si>
  <si>
    <t>商服用地,城镇混合住宅用地</t>
  </si>
  <si>
    <t>成都簇锦房地产开发有限公司</t>
  </si>
  <si>
    <t>武侯区金花桥街道办新苗村</t>
  </si>
  <si>
    <t>＞1、≤2.4</t>
  </si>
  <si>
    <t>2014-02-18</t>
  </si>
  <si>
    <t>四川腾飞房地产开发有限公司</t>
  </si>
  <si>
    <t>成都西源投资有限公司</t>
  </si>
  <si>
    <t>武侯区二环路南一段20号</t>
  </si>
  <si>
    <t>＜6.00</t>
  </si>
  <si>
    <t>2013-12-31</t>
  </si>
  <si>
    <t>绿地集团</t>
  </si>
  <si>
    <t>武侯区机投桥街道办事处果堰村1、2、7、8组</t>
  </si>
  <si>
    <t>＞1、≤2.6</t>
  </si>
  <si>
    <t>2013-10-22</t>
  </si>
  <si>
    <t>成都市正成投资开发有限公司</t>
  </si>
  <si>
    <t>武侯区永丰乡太平村7组</t>
  </si>
  <si>
    <t>≤2.2</t>
  </si>
  <si>
    <t>2013-07-31</t>
  </si>
  <si>
    <t>李旭</t>
  </si>
  <si>
    <t>2013-07-10</t>
  </si>
  <si>
    <t>远雄建设事业股份有限公司(FARGLORY*LAND*DEVELOPMENT*CO.,LTD.)</t>
  </si>
  <si>
    <t>成都市武侯区半边街、白佛村</t>
  </si>
  <si>
    <t>＞1、≤2.9</t>
  </si>
  <si>
    <t>2013-06-05</t>
  </si>
  <si>
    <t>成都中泓房地产开发有限公司</t>
  </si>
  <si>
    <t>成都市武侯区半边街村,白佛村</t>
  </si>
  <si>
    <t>成都市武侯区晋阳街道办事处吉福村三组</t>
  </si>
  <si>
    <t>＞1、≤3</t>
  </si>
  <si>
    <t>其他普通商品住房用地</t>
  </si>
  <si>
    <t>2013-05-31</t>
  </si>
  <si>
    <t>成都旭和房地产开发有限公司</t>
  </si>
  <si>
    <t>武侯区簇桥街道高碑村12组</t>
  </si>
  <si>
    <t>大于1并且小于或等于2.2</t>
  </si>
  <si>
    <t>2013-05-16</t>
  </si>
  <si>
    <t>成都鑫怡置地有限公司</t>
  </si>
  <si>
    <t>正常</t>
  </si>
  <si>
    <t>土地比较法-住宅、综合</t>
  </si>
  <si>
    <t>售价</t>
  </si>
  <si>
    <t>比较法-车位</t>
  </si>
  <si>
    <t>总价</t>
  </si>
  <si>
    <t>收益比率</t>
  </si>
  <si>
    <r>
      <rPr>
        <sz val="10"/>
        <color theme="9" tint="-0.249977111117893"/>
        <rFont val="宋体"/>
        <family val="3"/>
        <charset val="134"/>
      </rPr>
      <t>成都市武侯区晋阳路</t>
    </r>
    <r>
      <rPr>
        <sz val="10"/>
        <color theme="9" tint="-0.249977111117893"/>
        <rFont val="Arial"/>
        <family val="2"/>
      </rPr>
      <t>169</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栋</t>
    </r>
    <r>
      <rPr>
        <sz val="10"/>
        <color theme="9" tint="-0.249977111117893"/>
        <rFont val="Arial"/>
        <family val="2"/>
      </rPr>
      <t>-1</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层地下车库</t>
    </r>
    <phoneticPr fontId="6" type="noConversion"/>
  </si>
  <si>
    <t>四川峨嵋互盛实业有限公司</t>
    <phoneticPr fontId="6" type="noConversion"/>
  </si>
  <si>
    <t>信达资产</t>
    <phoneticPr fontId="6" type="noConversion"/>
  </si>
  <si>
    <t>利息：取LPR加浮动点数</t>
  </si>
  <si>
    <t>月租金</t>
    <phoneticPr fontId="140" type="noConversion"/>
  </si>
  <si>
    <t>较好</t>
  </si>
  <si>
    <t>一般</t>
  </si>
  <si>
    <t>六通</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</si>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</sst>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55" fillId="0" borderId="0" xfId="17"/>
    <xf numFmtId="0" fontId="55" fillId="0" borderId="0" xfId="17" applyAlignment="1">
      <alignment horizontal="left"/>
    </xf>
    <xf numFmtId="0" fontId="55" fillId="6" borderId="0" xfId="17" applyFill="1"/>
    <xf numFmtId="0" fontId="55" fillId="6" borderId="0" xfId="17" applyFill="1" applyAlignment="1">
      <alignment horizontal="left"/>
    </xf>
    <xf numFmtId="0" fontId="55" fillId="5" borderId="0" xfId="17" applyFill="1"/>
    <xf numFmtId="0" fontId="55" fillId="5" borderId="0" xfId="17" applyFill="1" applyAlignment="1">
      <alignment horizontal="left"/>
    </xf>
    <xf numFmtId="0" fontId="97" fillId="0" borderId="6" xfId="0" applyNumberFormat="1" applyFont="1" applyFill="1" applyBorder="1" applyAlignment="1" applyProtection="1">
      <alignment horizontal="center" vertical="center" wrapText="1"/>
      <protection locked="0"/>
    </xf>
    <xf numFmtId="0" fontId="79" fillId="7" borderId="54"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98" fillId="0" borderId="0" xfId="0" applyFont="1" applyAlignment="1">
      <alignment horizontal="left" vertical="center"/>
    </xf>
    <xf numFmtId="0" fontId="0" fillId="0" borderId="0" xfId="0"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103</xdr:row>
      <xdr:rowOff>0</xdr:rowOff>
    </xdr:from>
    <xdr:to>
      <xdr:col>14</xdr:col>
      <xdr:colOff>128727</xdr:colOff>
      <xdr:row>142</xdr:row>
      <xdr:rowOff>8750</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16351250"/>
          <a:ext cx="11590477" cy="6200000"/>
        </a:xfrm>
        <a:prstGeom prst="rect">
          <a:avLst/>
        </a:prstGeom>
      </xdr:spPr>
    </xdr:pic>
    <xdr:clientData/>
  </xdr:twoCellAnchor>
  <xdr:twoCellAnchor editAs="oneCell">
    <xdr:from>
      <xdr:col>11</xdr:col>
      <xdr:colOff>243417</xdr:colOff>
      <xdr:row>103</xdr:row>
      <xdr:rowOff>52917</xdr:rowOff>
    </xdr:from>
    <xdr:to>
      <xdr:col>14</xdr:col>
      <xdr:colOff>2282346</xdr:colOff>
      <xdr:row>121</xdr:row>
      <xdr:rowOff>138274</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9906000" y="16404167"/>
          <a:ext cx="3838096" cy="2942857"/>
        </a:xfrm>
        <a:prstGeom prst="rect">
          <a:avLst/>
        </a:prstGeom>
      </xdr:spPr>
    </xdr:pic>
    <xdr:clientData/>
  </xdr:twoCellAnchor>
  <xdr:twoCellAnchor editAs="oneCell">
    <xdr:from>
      <xdr:col>0</xdr:col>
      <xdr:colOff>0</xdr:colOff>
      <xdr:row>145</xdr:row>
      <xdr:rowOff>0</xdr:rowOff>
    </xdr:from>
    <xdr:to>
      <xdr:col>14</xdr:col>
      <xdr:colOff>243013</xdr:colOff>
      <xdr:row>184</xdr:row>
      <xdr:rowOff>151608</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23018750"/>
          <a:ext cx="11704763" cy="6342858"/>
        </a:xfrm>
        <a:prstGeom prst="rect">
          <a:avLst/>
        </a:prstGeom>
      </xdr:spPr>
    </xdr:pic>
    <xdr:clientData/>
  </xdr:twoCellAnchor>
  <xdr:twoCellAnchor editAs="oneCell">
    <xdr:from>
      <xdr:col>12</xdr:col>
      <xdr:colOff>518583</xdr:colOff>
      <xdr:row>145</xdr:row>
      <xdr:rowOff>42334</xdr:rowOff>
    </xdr:from>
    <xdr:to>
      <xdr:col>15</xdr:col>
      <xdr:colOff>181440</xdr:colOff>
      <xdr:row>166</xdr:row>
      <xdr:rowOff>156203</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0996083" y="23061084"/>
          <a:ext cx="4742857" cy="3447619"/>
        </a:xfrm>
        <a:prstGeom prst="rect">
          <a:avLst/>
        </a:prstGeom>
      </xdr:spPr>
    </xdr:pic>
    <xdr:clientData/>
  </xdr:twoCellAnchor>
  <xdr:twoCellAnchor editAs="oneCell">
    <xdr:from>
      <xdr:col>0</xdr:col>
      <xdr:colOff>0</xdr:colOff>
      <xdr:row>187</xdr:row>
      <xdr:rowOff>0</xdr:rowOff>
    </xdr:from>
    <xdr:to>
      <xdr:col>14</xdr:col>
      <xdr:colOff>262060</xdr:colOff>
      <xdr:row>226</xdr:row>
      <xdr:rowOff>123036</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0" y="29686250"/>
          <a:ext cx="11723810" cy="6314286"/>
        </a:xfrm>
        <a:prstGeom prst="rect">
          <a:avLst/>
        </a:prstGeom>
      </xdr:spPr>
    </xdr:pic>
    <xdr:clientData/>
  </xdr:twoCellAnchor>
  <xdr:twoCellAnchor editAs="oneCell">
    <xdr:from>
      <xdr:col>11</xdr:col>
      <xdr:colOff>42333</xdr:colOff>
      <xdr:row>187</xdr:row>
      <xdr:rowOff>84667</xdr:rowOff>
    </xdr:from>
    <xdr:to>
      <xdr:col>14</xdr:col>
      <xdr:colOff>2490785</xdr:colOff>
      <xdr:row>208</xdr:row>
      <xdr:rowOff>65203</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9704916" y="29770917"/>
          <a:ext cx="4247619" cy="3314286"/>
        </a:xfrm>
        <a:prstGeom prst="rect">
          <a:avLst/>
        </a:prstGeom>
      </xdr:spPr>
    </xdr:pic>
    <xdr:clientData/>
  </xdr:twoCellAnchor>
  <xdr:twoCellAnchor editAs="oneCell">
    <xdr:from>
      <xdr:col>0</xdr:col>
      <xdr:colOff>0</xdr:colOff>
      <xdr:row>52</xdr:row>
      <xdr:rowOff>0</xdr:rowOff>
    </xdr:from>
    <xdr:to>
      <xdr:col>6</xdr:col>
      <xdr:colOff>237358</xdr:colOff>
      <xdr:row>78</xdr:row>
      <xdr:rowOff>5834</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0" y="8255000"/>
          <a:ext cx="6142858" cy="4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6</xdr:row>
      <xdr:rowOff>152252</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914286" cy="1180952"/>
        </a:xfrm>
        <a:prstGeom prst="rect">
          <a:avLst/>
        </a:prstGeom>
      </xdr:spPr>
    </xdr:pic>
    <xdr:clientData/>
  </xdr:twoCellAnchor>
  <xdr:twoCellAnchor editAs="oneCell">
    <xdr:from>
      <xdr:col>0</xdr:col>
      <xdr:colOff>0</xdr:colOff>
      <xdr:row>7</xdr:row>
      <xdr:rowOff>0</xdr:rowOff>
    </xdr:from>
    <xdr:to>
      <xdr:col>12</xdr:col>
      <xdr:colOff>211667</xdr:colOff>
      <xdr:row>42</xdr:row>
      <xdr:rowOff>16191</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1185333"/>
          <a:ext cx="8466667" cy="5942858"/>
        </a:xfrm>
        <a:prstGeom prst="rect">
          <a:avLst/>
        </a:prstGeom>
      </xdr:spPr>
    </xdr:pic>
    <xdr:clientData/>
  </xdr:twoCellAnchor>
  <xdr:twoCellAnchor editAs="oneCell">
    <xdr:from>
      <xdr:col>0</xdr:col>
      <xdr:colOff>0</xdr:colOff>
      <xdr:row>44</xdr:row>
      <xdr:rowOff>0</xdr:rowOff>
    </xdr:from>
    <xdr:to>
      <xdr:col>9</xdr:col>
      <xdr:colOff>589703</xdr:colOff>
      <xdr:row>76</xdr:row>
      <xdr:rowOff>57525</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7450667"/>
          <a:ext cx="6780953" cy="5476191"/>
        </a:xfrm>
        <a:prstGeom prst="rect">
          <a:avLst/>
        </a:prstGeom>
      </xdr:spPr>
    </xdr:pic>
    <xdr:clientData/>
  </xdr:twoCellAnchor>
  <xdr:twoCellAnchor editAs="oneCell">
    <xdr:from>
      <xdr:col>10</xdr:col>
      <xdr:colOff>0</xdr:colOff>
      <xdr:row>44</xdr:row>
      <xdr:rowOff>0</xdr:rowOff>
    </xdr:from>
    <xdr:to>
      <xdr:col>19</xdr:col>
      <xdr:colOff>475417</xdr:colOff>
      <xdr:row>63</xdr:row>
      <xdr:rowOff>106477</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6879167" y="7450667"/>
          <a:ext cx="6666667" cy="3323810"/>
        </a:xfrm>
        <a:prstGeom prst="rect">
          <a:avLst/>
        </a:prstGeom>
      </xdr:spPr>
    </xdr:pic>
    <xdr:clientData/>
  </xdr:twoCellAnchor>
  <xdr:twoCellAnchor editAs="oneCell">
    <xdr:from>
      <xdr:col>10</xdr:col>
      <xdr:colOff>0</xdr:colOff>
      <xdr:row>64</xdr:row>
      <xdr:rowOff>0</xdr:rowOff>
    </xdr:from>
    <xdr:to>
      <xdr:col>19</xdr:col>
      <xdr:colOff>508000</xdr:colOff>
      <xdr:row>69</xdr:row>
      <xdr:rowOff>117511</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5"/>
        <a:stretch>
          <a:fillRect/>
        </a:stretch>
      </xdr:blipFill>
      <xdr:spPr>
        <a:xfrm>
          <a:off x="6879167" y="10837333"/>
          <a:ext cx="6699250" cy="964178"/>
        </a:xfrm>
        <a:prstGeom prst="rect">
          <a:avLst/>
        </a:prstGeom>
      </xdr:spPr>
    </xdr:pic>
    <xdr:clientData/>
  </xdr:twoCellAnchor>
  <xdr:twoCellAnchor editAs="oneCell">
    <xdr:from>
      <xdr:col>9</xdr:col>
      <xdr:colOff>677334</xdr:colOff>
      <xdr:row>70</xdr:row>
      <xdr:rowOff>63500</xdr:rowOff>
    </xdr:from>
    <xdr:to>
      <xdr:col>15</xdr:col>
      <xdr:colOff>64120</xdr:colOff>
      <xdr:row>84</xdr:row>
      <xdr:rowOff>159500</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6"/>
        <a:stretch>
          <a:fillRect/>
        </a:stretch>
      </xdr:blipFill>
      <xdr:spPr>
        <a:xfrm>
          <a:off x="6868584" y="11916833"/>
          <a:ext cx="3514286" cy="2466667"/>
        </a:xfrm>
        <a:prstGeom prst="rect">
          <a:avLst/>
        </a:prstGeom>
      </xdr:spPr>
    </xdr:pic>
    <xdr:clientData/>
  </xdr:twoCellAnchor>
  <xdr:twoCellAnchor editAs="oneCell">
    <xdr:from>
      <xdr:col>10</xdr:col>
      <xdr:colOff>21167</xdr:colOff>
      <xdr:row>85</xdr:row>
      <xdr:rowOff>10583</xdr:rowOff>
    </xdr:from>
    <xdr:to>
      <xdr:col>14</xdr:col>
      <xdr:colOff>631406</xdr:colOff>
      <xdr:row>99</xdr:row>
      <xdr:rowOff>135154</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7"/>
        <a:stretch>
          <a:fillRect/>
        </a:stretch>
      </xdr:blipFill>
      <xdr:spPr>
        <a:xfrm>
          <a:off x="6900334" y="14403916"/>
          <a:ext cx="3361905" cy="2495238"/>
        </a:xfrm>
        <a:prstGeom prst="rect">
          <a:avLst/>
        </a:prstGeom>
      </xdr:spPr>
    </xdr:pic>
    <xdr:clientData/>
  </xdr:twoCellAnchor>
  <xdr:twoCellAnchor editAs="oneCell">
    <xdr:from>
      <xdr:col>0</xdr:col>
      <xdr:colOff>0</xdr:colOff>
      <xdr:row>77</xdr:row>
      <xdr:rowOff>0</xdr:rowOff>
    </xdr:from>
    <xdr:to>
      <xdr:col>8</xdr:col>
      <xdr:colOff>163334</xdr:colOff>
      <xdr:row>104</xdr:row>
      <xdr:rowOff>56572</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8"/>
        <a:stretch>
          <a:fillRect/>
        </a:stretch>
      </xdr:blipFill>
      <xdr:spPr>
        <a:xfrm>
          <a:off x="0" y="13038667"/>
          <a:ext cx="5666667" cy="4628572"/>
        </a:xfrm>
        <a:prstGeom prst="rect">
          <a:avLst/>
        </a:prstGeom>
      </xdr:spPr>
    </xdr:pic>
    <xdr:clientData/>
  </xdr:twoCellAnchor>
  <xdr:twoCellAnchor editAs="oneCell">
    <xdr:from>
      <xdr:col>0</xdr:col>
      <xdr:colOff>0</xdr:colOff>
      <xdr:row>105</xdr:row>
      <xdr:rowOff>0</xdr:rowOff>
    </xdr:from>
    <xdr:to>
      <xdr:col>11</xdr:col>
      <xdr:colOff>61489</xdr:colOff>
      <xdr:row>120</xdr:row>
      <xdr:rowOff>79048</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9"/>
        <a:stretch>
          <a:fillRect/>
        </a:stretch>
      </xdr:blipFill>
      <xdr:spPr>
        <a:xfrm>
          <a:off x="0" y="17780000"/>
          <a:ext cx="7628572" cy="2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74648</xdr:colOff>
      <xdr:row>36</xdr:row>
      <xdr:rowOff>151610</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2419048" cy="6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成都市武侯区晋阳路169号2栋-1层、-2层地下车库预评估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受贵公司委托，我公司对成都市武侯区晋阳路169号2栋-1层、-2层地下车库进行了预评估。</v>
      </c>
    </row>
    <row r="7" spans="1:2" s="1365" customFormat="1">
      <c r="A7" s="1363" t="s">
        <v>1231</v>
      </c>
      <c r="B7" s="1364" t="str">
        <f>'预评函-1'!A7</f>
        <v>估价对象为成都市武侯区晋阳路169号2栋-1层、-2层地下车库房地产，为四川峨嵋互盛实业有限公司所有。根据《国有土地使用证》[]，估价对象（分摊）出让国有建设用地使用权面积为0平方米，建筑面积为8236.73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成都市武侯区晋阳路169号2栋-1层、-2层地下车库房地产,属四川峨嵋互盛实业有限公司开发建设的，该项目尚在开发建设中。根据《国有土地使用证》[]，估价对象（分摊）出让国有建设用地使用权面积为0平方米，规划建筑面积为8236.73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2021年4月27日（评估专业人员实地查勘之日）</v>
      </c>
    </row>
    <row r="13" spans="1:2" s="1365" customFormat="1">
      <c r="A13" s="1363" t="s">
        <v>1194</v>
      </c>
      <c r="B13" s="1364" t="str">
        <f>'预评函-1'!A18</f>
        <v>本次估价的“房地产价值”是指在正常市场情况下，在价值时点2021年4月27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1615</v>
      </c>
    </row>
    <row r="21" spans="1:2" s="1365" customFormat="1">
      <c r="A21" s="1363" t="s">
        <v>1202</v>
      </c>
      <c r="B21" s="1364">
        <f ca="1">'预评函-2'!D7</f>
        <v>1961</v>
      </c>
    </row>
    <row r="22" spans="1:2" s="1365" customFormat="1">
      <c r="A22" s="1363" t="s">
        <v>1203</v>
      </c>
      <c r="B22" s="1364" t="str">
        <f ca="1">'预评函-2'!D6</f>
        <v>壹仟陆佰壹拾伍万元整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1615</v>
      </c>
    </row>
    <row r="31" spans="1:2" s="1365" customFormat="1">
      <c r="A31" s="1363" t="s">
        <v>1241</v>
      </c>
      <c r="B31" s="1364">
        <f ca="1">'预评函-2'!D15</f>
        <v>1961</v>
      </c>
    </row>
    <row r="32" spans="1:2" s="1365" customFormat="1">
      <c r="A32" s="1363" t="s">
        <v>1208</v>
      </c>
      <c r="B32" s="1364" t="str">
        <f ca="1">'预评函-2'!D14</f>
        <v>壹仟陆佰壹拾伍万元整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成都市武侯区晋阳路169号2栋-1层、-2层地下车库房地产</v>
      </c>
    </row>
    <row r="42" spans="1:2" s="1365" customFormat="1">
      <c r="A42" s="1363" t="s">
        <v>1255</v>
      </c>
      <c r="B42" s="1364" t="str">
        <f>'预评函-3'!B2</f>
        <v>建筑面积</v>
      </c>
    </row>
    <row r="43" spans="1:2" s="1365" customFormat="1">
      <c r="A43" s="1363" t="s">
        <v>1256</v>
      </c>
      <c r="B43" s="1364">
        <f>'预评函-3'!B4</f>
        <v>8236.73</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-30506</v>
      </c>
    </row>
    <row r="48" spans="1:2" s="1365" customFormat="1">
      <c r="A48" s="1363" t="s">
        <v>1214</v>
      </c>
      <c r="B48" s="1364">
        <f ca="1">'预评函-3'!E4</f>
        <v>-37036</v>
      </c>
    </row>
    <row r="49" spans="1:2" s="1365" customFormat="1">
      <c r="A49" s="1363" t="s">
        <v>1215</v>
      </c>
      <c r="B49" s="1364" t="e">
        <f ca="1">'预评函-3'!D5</f>
        <v>#NUM!</v>
      </c>
    </row>
    <row r="50" spans="1:2" s="1365" customFormat="1">
      <c r="A50" s="1363" t="s">
        <v>1239</v>
      </c>
      <c r="B50" s="1364" t="str">
        <f>'预评函-3'!F2</f>
        <v>在建建筑物价值</v>
      </c>
    </row>
    <row r="51" spans="1:2" s="1365" customFormat="1">
      <c r="A51" s="1363" t="s">
        <v>1216</v>
      </c>
      <c r="B51" s="1364">
        <f ca="1">'预评函-3'!F4</f>
        <v>32121</v>
      </c>
    </row>
    <row r="52" spans="1:2" s="1365" customFormat="1">
      <c r="A52" s="1363" t="s">
        <v>1217</v>
      </c>
      <c r="B52" s="1364">
        <f ca="1">'预评函-3'!G4</f>
        <v>38997</v>
      </c>
    </row>
    <row r="53" spans="1:2" s="1365" customFormat="1">
      <c r="A53" s="1363" t="s">
        <v>1245</v>
      </c>
      <c r="B53" s="1364" t="str">
        <f ca="1">'预评函-3'!F5</f>
        <v>叁亿贰仟壹佰贰拾壹万元整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为估价委托人在向信达资产办理贷款手续过程中，确定房地产抵押贷款额度提供参考依据而评估房地产抵押价值。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成都市武侯区晋阳路169号2栋-1层、-2层地下车库房地产作为抵押担保物，向信达资产办理贷款手续。信达资产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9" t="s">
        <v>832</v>
      </c>
      <c r="C54" s="1736" t="s">
        <v>1248</v>
      </c>
    </row>
    <row r="55" spans="1:4">
      <c r="A55" s="3113"/>
      <c r="B55" s="1739" t="s">
        <v>833</v>
      </c>
      <c r="C55" s="1736" t="s">
        <v>1249</v>
      </c>
    </row>
    <row r="56" spans="1:4">
      <c r="A56" s="3113"/>
      <c r="B56" s="1739" t="s">
        <v>834</v>
      </c>
      <c r="C56" s="1736" t="s">
        <v>1253</v>
      </c>
    </row>
    <row r="57" spans="1:4">
      <c r="A57" s="311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22" t="str">
        <f>IF(B10="北京市","北京市",C10)&amp;F10&amp;IF(结果表!G1="在建","出让国有建设用地使用权及在建建筑物",IF(结果表!G1="土地","出让国有建设用地使用权",))&amp;B9&amp;"预评估"</f>
        <v>成都市武侯区晋阳路169号2栋-1层、-2层地下车库预评估</v>
      </c>
      <c r="C1" s="3123"/>
      <c r="D1" s="3123"/>
      <c r="E1" s="3123"/>
      <c r="F1" s="3123"/>
      <c r="G1" s="3123"/>
      <c r="H1" s="3123"/>
      <c r="I1" s="3124"/>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成都市武侯区晋阳路169号2栋-1层、-2层地下车库</v>
      </c>
      <c r="T1" s="1931"/>
      <c r="U1" s="1931"/>
      <c r="V1" s="1931"/>
      <c r="W1" s="1931"/>
      <c r="X1" s="1931"/>
      <c r="Y1" s="1931"/>
      <c r="Z1" s="1931"/>
      <c r="AA1" s="1931"/>
      <c r="AB1" s="1931"/>
    </row>
    <row r="2" spans="1:28">
      <c r="A2" s="2591" t="s">
        <v>2916</v>
      </c>
      <c r="B2" s="2595"/>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成都市武侯区晋阳路169号2栋-1层、-2层地下车库房地产</v>
      </c>
      <c r="T2" s="1931"/>
      <c r="U2" s="1931"/>
      <c r="V2" s="1931"/>
      <c r="W2" s="1931"/>
      <c r="X2" s="1931"/>
      <c r="Y2" s="1931"/>
      <c r="Z2" s="1931"/>
      <c r="AA2" s="1931"/>
      <c r="AB2" s="1931"/>
    </row>
    <row r="3" spans="1:28">
      <c r="A3" s="308" t="s">
        <v>2917</v>
      </c>
      <c r="B3" s="2597">
        <v>44313</v>
      </c>
      <c r="C3" s="2598" t="s">
        <v>2918</v>
      </c>
      <c r="D3" s="2597">
        <f>B3</f>
        <v>44313</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3"/>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3068" t="s">
        <v>3288</v>
      </c>
      <c r="C6" s="2608"/>
      <c r="D6" s="2609"/>
      <c r="E6" s="2887"/>
      <c r="F6" s="2889"/>
      <c r="G6" s="2889"/>
      <c r="H6" s="2889"/>
      <c r="I6" s="2889"/>
      <c r="J6" s="2663"/>
      <c r="K6" s="2839" t="str">
        <f>IF(COUNTIF(B6,"*上海银行*"),"上海银行","")</f>
        <v/>
      </c>
      <c r="L6" s="2837"/>
      <c r="M6" s="2837"/>
      <c r="N6" s="2663"/>
      <c r="O6" s="2674"/>
      <c r="P6" s="2663"/>
      <c r="Q6" s="2663"/>
      <c r="R6" s="2663"/>
    </row>
    <row r="7" spans="1:28">
      <c r="A7" s="2607" t="s">
        <v>2922</v>
      </c>
      <c r="B7" s="2610"/>
      <c r="C7" s="2608"/>
      <c r="D7" s="2609"/>
      <c r="E7" s="2887"/>
      <c r="F7" s="2889"/>
      <c r="G7" s="2889"/>
      <c r="H7" s="2889"/>
      <c r="I7" s="2889"/>
      <c r="J7" s="2663"/>
      <c r="K7" s="2840"/>
      <c r="L7" s="2837"/>
      <c r="M7" s="2837"/>
      <c r="N7" s="2663"/>
      <c r="O7" s="2674"/>
      <c r="P7" s="2663"/>
      <c r="Q7" s="2663"/>
      <c r="R7" s="2663"/>
    </row>
    <row r="8" spans="1:28">
      <c r="A8" s="2611" t="s">
        <v>2923</v>
      </c>
      <c r="B8" s="2612"/>
      <c r="C8" s="2613"/>
      <c r="D8" s="3125" t="s">
        <v>2924</v>
      </c>
      <c r="E8" s="2614"/>
      <c r="F8" s="2615"/>
      <c r="G8" s="2888"/>
      <c r="H8" s="2888"/>
      <c r="I8" s="2888"/>
      <c r="J8" s="2663"/>
      <c r="K8" s="2838"/>
      <c r="L8" s="2837"/>
      <c r="M8" s="2837"/>
      <c r="N8" s="2663"/>
      <c r="O8" s="2674"/>
      <c r="P8" s="2663"/>
      <c r="Q8" s="2663"/>
      <c r="R8" s="2663"/>
    </row>
    <row r="9" spans="1:28" ht="13.5" thickBot="1">
      <c r="A9" s="2616" t="s">
        <v>2925</v>
      </c>
      <c r="B9" s="2617"/>
      <c r="C9" s="2618"/>
      <c r="D9" s="3126"/>
      <c r="E9" s="2617"/>
      <c r="F9" s="2619"/>
      <c r="G9" s="2890"/>
      <c r="H9" s="2890"/>
      <c r="I9" s="2890"/>
      <c r="J9" s="2663"/>
      <c r="K9" s="2840"/>
      <c r="L9" s="2837"/>
      <c r="M9" s="2837"/>
      <c r="N9" s="2663"/>
      <c r="O9" s="2674"/>
      <c r="P9" s="2663"/>
      <c r="Q9" s="2663"/>
      <c r="R9" s="2663"/>
    </row>
    <row r="10" spans="1:28" ht="13.5" thickTop="1">
      <c r="A10" s="2620" t="s">
        <v>2926</v>
      </c>
      <c r="B10" s="2621"/>
      <c r="C10" s="2622"/>
      <c r="D10" s="2606"/>
      <c r="E10" s="2623" t="s">
        <v>2927</v>
      </c>
      <c r="F10" s="2891" t="s">
        <v>3286</v>
      </c>
      <c r="G10" s="2892"/>
      <c r="H10" s="2893"/>
      <c r="I10" s="2894"/>
      <c r="J10" s="2663"/>
      <c r="K10" s="2840"/>
      <c r="L10" s="2837"/>
      <c r="M10" s="2837"/>
      <c r="N10" s="2663"/>
      <c r="O10" s="2674"/>
      <c r="P10" s="2663"/>
      <c r="Q10" s="2663"/>
      <c r="R10" s="2663"/>
    </row>
    <row r="11" spans="1:28">
      <c r="A11" s="2624" t="s">
        <v>2928</v>
      </c>
      <c r="B11" s="2625" t="s">
        <v>3068</v>
      </c>
      <c r="C11" s="3067" t="s">
        <v>3287</v>
      </c>
      <c r="D11" s="2626"/>
      <c r="E11" s="2594"/>
      <c r="F11" s="2594"/>
      <c r="G11" s="2594"/>
      <c r="H11" s="2594"/>
      <c r="I11" s="2594"/>
      <c r="J11" s="2663"/>
      <c r="K11" s="2840"/>
      <c r="L11" s="2837"/>
      <c r="M11" s="2837"/>
      <c r="N11" s="2663"/>
      <c r="O11" s="2674"/>
      <c r="P11" s="2663"/>
      <c r="Q11" s="2663"/>
      <c r="R11" s="2663"/>
    </row>
    <row r="12" spans="1:28">
      <c r="A12" s="2627" t="s">
        <v>2929</v>
      </c>
      <c r="B12" s="2625" t="s">
        <v>3069</v>
      </c>
      <c r="C12" s="329"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1"/>
      <c r="B13" s="2629"/>
      <c r="C13" s="2630" t="s">
        <v>2937</v>
      </c>
      <c r="D13" s="965"/>
      <c r="E13" s="965"/>
      <c r="F13" s="965"/>
      <c r="G13" s="965">
        <v>57456</v>
      </c>
      <c r="H13" s="965"/>
      <c r="I13" s="965"/>
      <c r="J13" s="2663"/>
      <c r="K13" s="2840"/>
      <c r="L13" s="2837"/>
      <c r="M13" s="2837"/>
      <c r="N13" s="2663"/>
      <c r="O13" s="2674"/>
      <c r="P13" s="2663"/>
      <c r="Q13" s="2663"/>
      <c r="R13" s="2663"/>
    </row>
    <row r="14" spans="1:28">
      <c r="A14" s="1241"/>
      <c r="B14" s="2629"/>
      <c r="C14" s="2630" t="s">
        <v>2938</v>
      </c>
      <c r="D14" s="2631"/>
      <c r="E14" s="2631"/>
      <c r="F14" s="2631"/>
      <c r="G14" s="2631">
        <v>40</v>
      </c>
      <c r="H14" s="2631"/>
      <c r="I14" s="2631"/>
      <c r="J14" s="2663"/>
      <c r="K14" s="2841"/>
      <c r="L14" s="2837"/>
      <c r="M14" s="2837"/>
      <c r="N14" s="2663"/>
      <c r="O14" s="2674"/>
      <c r="P14" s="2663"/>
      <c r="Q14" s="2663"/>
      <c r="R14" s="2663"/>
    </row>
    <row r="15" spans="1:28">
      <c r="A15" s="326"/>
      <c r="B15" s="2632"/>
      <c r="C15" s="2633" t="s">
        <v>2939</v>
      </c>
      <c r="D15" s="2634" t="str">
        <f>IF(B12="出让",IF(D13="","",ROUNDDOWN(MIN((D13-$D$3)/365,D14),2)),D14)</f>
        <v/>
      </c>
      <c r="E15" s="2634" t="str">
        <f>IF(B12="出让",IF(E13="","",ROUNDDOWN(MIN((E13-$D$3)/365,E14),2)),E14)</f>
        <v/>
      </c>
      <c r="F15" s="2634" t="str">
        <f>IF(B12="出让",IF(F13="","",ROUNDDOWN(MIN((F13-$D$3)/365,F14),2)),F14)</f>
        <v/>
      </c>
      <c r="G15" s="2634">
        <f>IF(B12="出让",IF(G13="","",ROUNDDOWN(MIN((G13-$D$3)/365,G14),2)),G14)</f>
        <v>36</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3" t="s">
        <v>2940</v>
      </c>
      <c r="B16" s="3132"/>
      <c r="C16" s="3133"/>
      <c r="D16" s="3134"/>
      <c r="E16" s="2637" t="s">
        <v>2941</v>
      </c>
      <c r="F16" s="3135"/>
      <c r="G16" s="3136"/>
      <c r="H16" s="3136"/>
      <c r="I16" s="3137"/>
      <c r="J16" s="2663"/>
      <c r="K16" s="2842"/>
      <c r="L16" s="2675"/>
      <c r="M16" s="2675"/>
      <c r="N16" s="2733"/>
      <c r="O16" s="2675"/>
      <c r="P16" s="2733"/>
      <c r="Q16" s="2663"/>
      <c r="R16" s="2663"/>
    </row>
    <row r="17" spans="1:28">
      <c r="A17" s="319" t="s">
        <v>2942</v>
      </c>
      <c r="B17" s="308" t="s">
        <v>2943</v>
      </c>
      <c r="C17" s="11">
        <f>'数据-汇总表'!E3</f>
        <v>8236.73</v>
      </c>
      <c r="D17" s="2545" t="s">
        <v>2944</v>
      </c>
      <c r="E17" s="3138" t="s">
        <v>2945</v>
      </c>
      <c r="F17" s="3139"/>
      <c r="G17" s="3139"/>
      <c r="H17" s="3139"/>
      <c r="I17" s="3140"/>
      <c r="J17" s="2663"/>
      <c r="K17" s="2843"/>
      <c r="L17" s="2675"/>
      <c r="M17" s="2675"/>
      <c r="N17" s="2733"/>
      <c r="O17" s="2675"/>
      <c r="P17" s="2733"/>
      <c r="Q17" s="2663"/>
      <c r="R17" s="2663"/>
      <c r="S17" s="2663"/>
      <c r="T17" s="2663"/>
      <c r="U17" s="2663"/>
      <c r="V17" s="2663"/>
    </row>
    <row r="18" spans="1:28" ht="24.75" thickBot="1">
      <c r="A18" s="2638" t="s">
        <v>2946</v>
      </c>
      <c r="B18" s="1250" t="s">
        <v>2947</v>
      </c>
      <c r="C18" s="2639">
        <f>'数据-汇总表'!D3</f>
        <v>0</v>
      </c>
      <c r="D18" s="1252" t="s">
        <v>2948</v>
      </c>
      <c r="E18" s="3141" t="s">
        <v>2949</v>
      </c>
      <c r="F18" s="3142"/>
      <c r="G18" s="3142"/>
      <c r="H18" s="3142"/>
      <c r="I18" s="3143"/>
      <c r="J18" s="2663"/>
      <c r="K18" s="2843"/>
      <c r="L18" s="2675"/>
      <c r="M18" s="2675"/>
      <c r="N18" s="2733"/>
      <c r="O18" s="2675"/>
      <c r="P18" s="2733"/>
      <c r="Q18" s="2663"/>
      <c r="R18" s="2663"/>
      <c r="S18" s="2663"/>
      <c r="T18" s="2663"/>
      <c r="U18" s="2663"/>
      <c r="V18" s="2663"/>
    </row>
    <row r="19" spans="1:28" ht="37.5" thickTop="1" thickBot="1">
      <c r="A19" s="333" t="s">
        <v>1741</v>
      </c>
      <c r="B19" s="313" t="s">
        <v>2950</v>
      </c>
      <c r="C19" s="1748"/>
      <c r="D19" s="1749" t="s">
        <v>2951</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2952</v>
      </c>
      <c r="B20" s="3128" t="s">
        <v>2953</v>
      </c>
      <c r="C20" s="3129"/>
      <c r="D20" s="3130" t="s">
        <v>2954</v>
      </c>
      <c r="E20" s="3131"/>
      <c r="F20" s="2872" t="s">
        <v>1742</v>
      </c>
      <c r="G20" s="2889"/>
      <c r="H20" s="2889"/>
      <c r="I20" s="2889"/>
      <c r="J20" s="2663"/>
      <c r="K20" s="3127"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3"/>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3"/>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15" t="s">
        <v>2961</v>
      </c>
      <c r="B27" s="326" t="s">
        <v>2962</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15"/>
      <c r="B28" s="308"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15"/>
      <c r="B29" s="308"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16"/>
      <c r="B30" s="308" t="s">
        <v>2965</v>
      </c>
      <c r="C30" s="3117"/>
      <c r="D30" s="3118"/>
      <c r="E30" s="2889"/>
      <c r="F30" s="2889"/>
      <c r="G30" s="2889"/>
      <c r="H30" s="2889"/>
      <c r="I30" s="2889"/>
      <c r="J30" s="2663"/>
      <c r="K30" s="2840"/>
      <c r="L30" s="2837"/>
      <c r="M30" s="2837"/>
      <c r="N30" s="2663"/>
      <c r="O30" s="2674"/>
      <c r="P30" s="2663"/>
      <c r="Q30" s="2663"/>
      <c r="R30" s="2663"/>
      <c r="S30" s="2663"/>
      <c r="T30" s="2663"/>
      <c r="U30" s="2663"/>
      <c r="V30" s="2663"/>
    </row>
    <row r="31" spans="1:28">
      <c r="A31" s="3119" t="s">
        <v>2966</v>
      </c>
      <c r="B31" s="2646"/>
      <c r="C31" s="2546"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20"/>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20"/>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2967</v>
      </c>
      <c r="B34" s="2214"/>
      <c r="C34" s="2214"/>
      <c r="D34" s="2214"/>
      <c r="E34" s="2214"/>
      <c r="F34" s="2214"/>
      <c r="G34" s="2214"/>
      <c r="H34" s="2214"/>
      <c r="I34" s="2889"/>
      <c r="J34" s="2663"/>
      <c r="K34" s="2651">
        <f>COUNTIF(B34:H34,"——")</f>
        <v>0</v>
      </c>
      <c r="L34" s="329" t="s">
        <v>2968</v>
      </c>
      <c r="M34" s="329" t="s">
        <v>2969</v>
      </c>
      <c r="N34" s="329" t="s">
        <v>2970</v>
      </c>
      <c r="O34" s="329" t="s">
        <v>2971</v>
      </c>
      <c r="P34" s="329" t="s">
        <v>2972</v>
      </c>
      <c r="Q34" s="329" t="s">
        <v>2973</v>
      </c>
      <c r="R34" s="329" t="s">
        <v>2974</v>
      </c>
      <c r="S34" s="3114" t="s">
        <v>2975</v>
      </c>
      <c r="T34" s="2652" t="str">
        <f>NUMBERSTRING(7-K34,1)&amp;"通"</f>
        <v>七通</v>
      </c>
      <c r="U34" s="2663"/>
      <c r="V34" s="2663"/>
    </row>
    <row r="35" spans="1:30">
      <c r="A35" s="2653"/>
      <c r="B35" s="3121" t="s">
        <v>2976</v>
      </c>
      <c r="C35" s="3121"/>
      <c r="D35" s="3121"/>
      <c r="E35" s="3121"/>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4"/>
      <c r="T35" s="335" t="str">
        <f>IF(T34="一通",L35,IF(T34="二通",M35,IF(T34="三通",N35,IF(T34="四通",O35,IF(T34="五通",P35,IF(T34="六通",Q35,R35))))))</f>
        <v>、、、、、、</v>
      </c>
      <c r="U35" s="2663"/>
      <c r="V35" s="2663"/>
    </row>
    <row r="36" spans="1:30">
      <c r="A36" s="2654"/>
      <c r="B36" s="673" t="s">
        <v>2932</v>
      </c>
      <c r="C36" s="673" t="s">
        <v>2933</v>
      </c>
      <c r="D36" s="673" t="s">
        <v>2931</v>
      </c>
      <c r="E36" s="673"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2980</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8236.73</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8236.73</v>
      </c>
      <c r="H5" s="16">
        <f t="shared" ref="H5:AT5" si="0">SUM(H13:H656)</f>
        <v>8236.73</v>
      </c>
      <c r="I5" s="16">
        <f t="shared" si="0"/>
        <v>8236.73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8236.73</v>
      </c>
      <c r="BA5" s="18">
        <f t="shared" si="1"/>
        <v>8236.73</v>
      </c>
      <c r="BB5" s="18">
        <f t="shared" si="1"/>
        <v>8236.73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3071</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3072</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地下</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3072</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车库</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车库</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f>I13/203</f>
        <v>40.575024630541868</v>
      </c>
      <c r="B13" s="1182"/>
      <c r="C13" s="1182"/>
      <c r="D13" s="1810" t="s">
        <v>3073</v>
      </c>
      <c r="E13" s="16">
        <f>IF($C$3="是",ROUND($A$3*G13/$B$3,2),ROUND($A$3*(G13-AT13)/$B$3,2))</f>
        <v>0</v>
      </c>
      <c r="F13" s="32"/>
      <c r="G13" s="33">
        <f>H13+AC13+AT13</f>
        <v>8236.73</v>
      </c>
      <c r="H13" s="20">
        <f>SUMIF(I$12:AB$12,"总值",I13:AB13)</f>
        <v>8236.73</v>
      </c>
      <c r="I13" s="1811">
        <v>8236.73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40.575024630541868</v>
      </c>
      <c r="AW13" s="11">
        <f t="shared" si="6"/>
        <v>0</v>
      </c>
      <c r="AX13" s="11">
        <f t="shared" si="6"/>
        <v>0</v>
      </c>
      <c r="AY13" s="1533">
        <f>ROUND($AY$6*AZ13/$AZ$5,2)</f>
        <v>0</v>
      </c>
      <c r="AZ13" s="16">
        <f>BA13+BL13</f>
        <v>8236.73</v>
      </c>
      <c r="BA13" s="16">
        <f>SUM(BB13:BK13)</f>
        <v>8236.73</v>
      </c>
      <c r="BB13" s="16">
        <f>IF($D13="是",I13-J13,0)</f>
        <v>8236.73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80" zoomScaleNormal="100" zoomScaleSheetLayoutView="80" workbookViewId="0">
      <selection activeCell="G20" sqref="G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4"/>
      <c r="G2" s="2875"/>
      <c r="H2" s="2876"/>
      <c r="I2" s="2548" t="s">
        <v>1818</v>
      </c>
      <c r="J2" s="2884"/>
      <c r="K2" s="2884"/>
      <c r="L2" s="2884"/>
      <c r="M2" s="2884"/>
      <c r="N2" s="2886"/>
      <c r="O2" s="2884"/>
      <c r="P2" s="2884"/>
    </row>
    <row r="3" spans="1:16" ht="15.75" thickBot="1">
      <c r="A3" s="3156" t="s">
        <v>1791</v>
      </c>
      <c r="B3" s="3156"/>
      <c r="C3" s="3156"/>
      <c r="D3" s="46">
        <f>'数据-基础表'!AY6</f>
        <v>0</v>
      </c>
      <c r="E3" s="46">
        <f>'数据-基础表'!AZ5</f>
        <v>8236.73</v>
      </c>
      <c r="F3" s="2884"/>
      <c r="G3" s="1307"/>
      <c r="H3" s="1157" t="s">
        <v>1792</v>
      </c>
      <c r="I3" s="964" t="e">
        <f>ROUND('数据-基础表'!B3/'数据-基础表'!A3,2)</f>
        <v>#DIV/0!</v>
      </c>
      <c r="J3" s="2884"/>
      <c r="K3" s="2884"/>
      <c r="L3" s="2884"/>
      <c r="M3" s="2884"/>
      <c r="N3" s="2886"/>
      <c r="O3" s="2884"/>
      <c r="P3" s="2884"/>
    </row>
    <row r="4" spans="1:16" ht="15">
      <c r="A4" s="3157"/>
      <c r="B4" s="3158"/>
      <c r="C4" s="3159"/>
      <c r="D4" s="1826" t="s">
        <v>1793</v>
      </c>
      <c r="E4" s="1827" t="s">
        <v>1794</v>
      </c>
      <c r="F4" s="2884"/>
      <c r="G4" s="2877" t="s">
        <v>1819</v>
      </c>
      <c r="H4" s="1157" t="s">
        <v>1799</v>
      </c>
      <c r="I4" s="964" t="e">
        <f>ROUND(SUMIF('数据-基础表'!I9:AS9,"地上",'数据-基础表'!I5:AS5)/'数据-基础表'!A3,2)</f>
        <v>#DIV/0!</v>
      </c>
      <c r="J4" s="2884"/>
      <c r="K4" s="2884"/>
      <c r="L4" s="2884"/>
      <c r="M4" s="2884"/>
      <c r="N4" s="2886"/>
      <c r="O4" s="2884"/>
      <c r="P4" s="2884"/>
    </row>
    <row r="5" spans="1:16">
      <c r="A5" s="47" t="s">
        <v>1795</v>
      </c>
      <c r="B5" s="3160" t="s">
        <v>1796</v>
      </c>
      <c r="C5" s="3160"/>
      <c r="D5" s="48">
        <f>ROUND($D$3*E5/$E$3,2)</f>
        <v>0</v>
      </c>
      <c r="E5" s="49">
        <f>SUMIF('数据-基础表'!$11:$11,"住宅",'数据-基础表'!$5:$5)</f>
        <v>0</v>
      </c>
      <c r="F5" s="2884"/>
      <c r="G5" s="1307"/>
      <c r="H5" s="1157" t="s">
        <v>1792</v>
      </c>
      <c r="I5" s="964" t="e">
        <f>ROUND(E31/D31,2)</f>
        <v>#DIV/0!</v>
      </c>
      <c r="J5" s="2884"/>
      <c r="K5" s="2884"/>
      <c r="L5" s="2884"/>
      <c r="M5" s="2884"/>
      <c r="N5" s="2884"/>
      <c r="O5" s="2884"/>
      <c r="P5" s="2884"/>
    </row>
    <row r="6" spans="1:16" ht="15" thickBot="1">
      <c r="A6" s="1829"/>
      <c r="B6" s="3160" t="s">
        <v>1797</v>
      </c>
      <c r="C6" s="3160"/>
      <c r="D6" s="48">
        <f>ROUND($D$3*E6/$E$3,2)</f>
        <v>0</v>
      </c>
      <c r="E6" s="49">
        <f>E3-E5</f>
        <v>8236.73</v>
      </c>
      <c r="F6" s="2884"/>
      <c r="G6" s="2878" t="s">
        <v>1798</v>
      </c>
      <c r="H6" s="1308" t="s">
        <v>1799</v>
      </c>
      <c r="I6" s="2879" t="e">
        <f>ROUND(F31/D31,2)</f>
        <v>#DIV/0!</v>
      </c>
      <c r="J6" s="2884"/>
      <c r="K6" s="2884"/>
      <c r="L6" s="2884"/>
      <c r="M6" s="2884"/>
      <c r="N6" s="2884"/>
      <c r="O6" s="2884"/>
      <c r="P6" s="2884"/>
    </row>
    <row r="7" spans="1:16" ht="15.75" thickBot="1">
      <c r="A7" s="3152"/>
      <c r="B7" s="3153"/>
      <c r="C7" s="3154"/>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0</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8236.73</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0</v>
      </c>
      <c r="E16" s="53">
        <f>SUM(E8:E15)</f>
        <v>8236.73</v>
      </c>
      <c r="F16" s="2884"/>
      <c r="G16" s="2885"/>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59" t="s">
        <v>3074</v>
      </c>
      <c r="D19" s="48">
        <f>ROUND($D$3*E19/$E$3,2)</f>
        <v>0</v>
      </c>
      <c r="E19" s="56">
        <f t="shared" ref="E19:E26" si="1">SUM(F19:G19)</f>
        <v>8236.73</v>
      </c>
      <c r="F19" s="3024"/>
      <c r="G19" s="3025">
        <f>'数据-基础表'!I13</f>
        <v>8236.73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8236.73</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8236.73</v>
      </c>
      <c r="F27" s="1302">
        <f>IF(SUM(F19:F26)=E8,SUM(F19:F26),"地上面积有误")</f>
        <v>0</v>
      </c>
      <c r="G27" s="1304">
        <f>SUM(G19:G26)</f>
        <v>8236.73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8236.73</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0</v>
      </c>
      <c r="E31" s="685">
        <f>E27+E30</f>
        <v>8236.73</v>
      </c>
      <c r="F31" s="686">
        <f>F27+F30</f>
        <v>0</v>
      </c>
      <c r="G31" s="687">
        <f>G27+G30</f>
        <v>8236.73</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44313</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3075</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车库</v>
      </c>
      <c r="B6" s="1899" t="str">
        <f>IF(A6=0,"","经营性")</f>
        <v>经营性</v>
      </c>
      <c r="C6" s="1900" t="s">
        <v>3072</v>
      </c>
      <c r="D6" s="967">
        <f>SUMIF(项目基本情况!D$12:I$12,C6,项目基本情况!D$14:I$14)</f>
        <v>40</v>
      </c>
      <c r="E6" s="966">
        <f>IF(B6="","",SUMIF(项目基本情况!D$12:I$12,C6,项目基本情况!D$13:I$13))</f>
        <v>57456</v>
      </c>
      <c r="F6" s="68">
        <f>SUMIF(项目基本情况!D$12:I$12,C6,项目基本情况!D$15:I$15)</f>
        <v>36</v>
      </c>
      <c r="G6" s="69">
        <f>IF(ISERROR(ROUND(POWER(1+H6,D6-F6)*(POWER(1+H6,F6)-1)/(POWER(1+H6,D6)-1),3)),0,ROUND(POWER(1+H6,D6-F6)*(POWER(1+H6,F6)-1)/(POWER(1+H6,D6)-1),3))</f>
        <v>0.95</v>
      </c>
      <c r="H6" s="741">
        <v>3.5000000000000003E-2</v>
      </c>
      <c r="I6" s="741">
        <v>0.04</v>
      </c>
      <c r="J6" s="70">
        <v>0.08</v>
      </c>
      <c r="K6" s="1161">
        <f>SUMIF('数据-汇总表'!C$19:C$33,A6,'数据-汇总表'!E$19:E$33)</f>
        <v>8236.73</v>
      </c>
      <c r="L6" s="742">
        <v>2500</v>
      </c>
      <c r="M6" s="71">
        <f t="shared" ref="M6:M14" si="0">ROUND(K6*L6/10000,0)</f>
        <v>2059</v>
      </c>
      <c r="N6" s="740">
        <f>ROUND(1-(2021-N18)/60,2)</f>
        <v>0.8</v>
      </c>
      <c r="O6" s="71" t="str">
        <f>IF($N$5="成新度","——",ROUND(M6*N6,0))</f>
        <v>——</v>
      </c>
      <c r="P6" s="72" t="str">
        <f>IF($N$5="成新度","——",M6-O6)</f>
        <v>——</v>
      </c>
      <c r="Q6" s="743">
        <v>0.05</v>
      </c>
      <c r="R6" s="73">
        <f ca="1">SUMIF('数据-汇总表'!C$19:C$33,A6,'数据-汇总表'!R$19:R$27)</f>
        <v>0</v>
      </c>
      <c r="S6" s="54">
        <f>IF('数据-汇总表'!$I$17="按面积比例",SUMIF('数据-汇总表'!C$19:C$33,A6,'数据-汇总表'!K$19:K$33),SUMIF('数据-汇总表'!C$19:C$33,A6,'数据-汇总表'!N$19:N$33))</f>
        <v>0</v>
      </c>
      <c r="T6" s="1334">
        <f>ROUND($L$14*S6/10000,0)</f>
        <v>0</v>
      </c>
      <c r="U6" s="74">
        <v>300</v>
      </c>
      <c r="V6" s="75">
        <v>0.02</v>
      </c>
      <c r="W6" s="75">
        <v>0.1</v>
      </c>
      <c r="X6" s="1171"/>
      <c r="Y6" s="76">
        <f>N6</f>
        <v>0.8</v>
      </c>
      <c r="Z6" s="77"/>
      <c r="AA6" s="70"/>
      <c r="AB6" s="70"/>
      <c r="AC6" s="1171"/>
      <c r="AD6" s="78"/>
      <c r="AE6" s="1172">
        <f ca="1">IF(AN6="",0,SUMIF(INDIRECT("'"&amp;AN6&amp;"'"&amp;"!E:E"),$AE$5,INDIRECT("'"&amp;AN6&amp;"'"&amp;"!F:F")))</f>
        <v>36</v>
      </c>
      <c r="AF6" s="1532"/>
      <c r="AG6" s="143">
        <f>IF(AF6="",0,AE6-AF6)</f>
        <v>0</v>
      </c>
      <c r="AH6" s="79">
        <v>203</v>
      </c>
      <c r="AI6" s="81">
        <v>12</v>
      </c>
      <c r="AJ6" s="82"/>
      <c r="AK6" s="83">
        <v>1.4999999999999999E-2</v>
      </c>
      <c r="AL6" s="84">
        <v>1.5E-3</v>
      </c>
      <c r="AM6" s="85">
        <v>0.01</v>
      </c>
      <c r="AN6" s="1901" t="s">
        <v>3076</v>
      </c>
      <c r="AO6" s="55">
        <f ca="1">SUMIF(INDIRECT("'"&amp;AN6&amp;"'"&amp;"!A:A"),"总价",INDIRECT("'"&amp;AN6&amp;"'"&amp;"!B:B"))</f>
        <v>226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0.95</v>
      </c>
      <c r="H16" s="95">
        <f>ROUND(SUMPRODUCT(H6:H13,K6:K13)/SUMPRODUCT((H6:H13&gt;0)*(K6:K13)),3)</f>
        <v>3.5000000000000003E-2</v>
      </c>
      <c r="I16" s="96"/>
      <c r="J16" s="96"/>
      <c r="K16" s="97">
        <f>SUM(K6:K15)</f>
        <v>8236.73</v>
      </c>
      <c r="L16" s="98">
        <f>ROUND(M16*10000/SUM(K6:K14),0)</f>
        <v>2500</v>
      </c>
      <c r="M16" s="98">
        <f>SUM(M6:M14)</f>
        <v>2059</v>
      </c>
      <c r="N16" s="99">
        <f>ROUND(SUMPRODUCT(M6:M14,N6:N14)/M16,3)</f>
        <v>0.8</v>
      </c>
      <c r="O16" s="98">
        <f>SUM(O6:O14)</f>
        <v>0</v>
      </c>
      <c r="P16" s="98">
        <f>SUM(P6:P14)</f>
        <v>0</v>
      </c>
      <c r="Q16" s="100">
        <f>ROUND(SUMPRODUCT(Q6:Q13,K6:K13)/SUMPRODUCT((Q6:Q13&gt;0)*(K6:K13)),2)</f>
        <v>0.05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v>2009</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3052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3050</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140</v>
      </c>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140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115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3289</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7</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269</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v>7</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61" t="s">
        <v>3033</v>
      </c>
      <c r="B1" s="3162"/>
      <c r="C1" s="3162"/>
      <c r="D1" s="3162"/>
      <c r="E1" s="3162"/>
      <c r="F1" s="3162"/>
      <c r="G1" s="3162"/>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7"/>
      <c r="I2" s="907"/>
      <c r="J2" s="907"/>
      <c r="K2" s="907"/>
      <c r="L2" s="907"/>
      <c r="M2" s="907"/>
      <c r="N2" s="907"/>
      <c r="O2" s="907"/>
      <c r="P2" s="907"/>
      <c r="Q2" s="907"/>
      <c r="R2" s="907"/>
    </row>
    <row r="3" spans="1:29" ht="48">
      <c r="A3" s="2665" t="s">
        <v>3030</v>
      </c>
      <c r="B3" s="2687" t="s">
        <v>2999</v>
      </c>
      <c r="C3" s="2688" t="s">
        <v>3031</v>
      </c>
      <c r="D3" s="2689"/>
      <c r="E3" s="2666" t="s">
        <v>3030</v>
      </c>
      <c r="F3" s="2690" t="s">
        <v>3000</v>
      </c>
      <c r="G3" s="2691" t="s">
        <v>3032</v>
      </c>
      <c r="H3" s="907"/>
      <c r="I3" s="907"/>
      <c r="J3" s="907"/>
      <c r="K3" s="907"/>
      <c r="L3" s="907"/>
      <c r="M3" s="907"/>
      <c r="N3" s="907"/>
      <c r="O3" s="907"/>
      <c r="P3" s="907"/>
      <c r="Q3" s="907"/>
      <c r="R3" s="907"/>
    </row>
    <row r="4" spans="1:29" ht="36.75">
      <c r="A4" s="2666"/>
      <c r="B4" s="329" t="s">
        <v>3001</v>
      </c>
      <c r="C4" s="2692" t="s">
        <v>3002</v>
      </c>
      <c r="D4" s="2689"/>
      <c r="E4" s="2693"/>
      <c r="F4" s="1557" t="s">
        <v>3003</v>
      </c>
      <c r="G4" s="2694" t="s">
        <v>3004</v>
      </c>
      <c r="H4" s="907"/>
      <c r="I4" s="907"/>
      <c r="J4" s="907"/>
      <c r="K4" s="907"/>
      <c r="L4" s="907"/>
      <c r="M4" s="907"/>
      <c r="N4" s="907"/>
      <c r="O4" s="907"/>
      <c r="P4" s="907"/>
      <c r="Q4" s="907"/>
      <c r="R4" s="907"/>
    </row>
    <row r="5" spans="1:29" ht="36.75">
      <c r="A5" s="2666"/>
      <c r="B5" s="329" t="s">
        <v>3005</v>
      </c>
      <c r="C5" s="2692" t="s">
        <v>3006</v>
      </c>
      <c r="D5" s="2689"/>
      <c r="E5" s="2693"/>
      <c r="F5" s="329" t="s">
        <v>3007</v>
      </c>
      <c r="G5" s="2694" t="s">
        <v>3008</v>
      </c>
      <c r="H5" s="907"/>
      <c r="I5" s="907"/>
      <c r="J5" s="907"/>
      <c r="K5" s="907"/>
      <c r="L5" s="907"/>
      <c r="M5" s="907"/>
      <c r="N5" s="907"/>
      <c r="O5" s="907"/>
      <c r="P5" s="907"/>
      <c r="Q5" s="907"/>
      <c r="R5" s="907"/>
    </row>
    <row r="6" spans="1:29" ht="36">
      <c r="A6" s="2666"/>
      <c r="B6" s="329" t="s">
        <v>3009</v>
      </c>
      <c r="C6" s="2694" t="s">
        <v>3004</v>
      </c>
      <c r="D6" s="2689"/>
      <c r="E6" s="2693"/>
      <c r="F6" s="329" t="s">
        <v>3010</v>
      </c>
      <c r="G6" s="2694" t="s">
        <v>3011</v>
      </c>
      <c r="H6" s="907"/>
      <c r="I6" s="907"/>
      <c r="J6" s="907"/>
      <c r="K6" s="907"/>
      <c r="L6" s="907"/>
      <c r="M6" s="907"/>
      <c r="N6" s="907"/>
      <c r="O6" s="907"/>
      <c r="P6" s="907"/>
      <c r="Q6" s="907"/>
      <c r="R6" s="907"/>
    </row>
    <row r="7" spans="1:29" ht="24.75" thickBot="1">
      <c r="A7" s="2666"/>
      <c r="B7" s="329" t="s">
        <v>3007</v>
      </c>
      <c r="C7" s="2694" t="s">
        <v>3008</v>
      </c>
      <c r="D7" s="2695"/>
      <c r="E7" s="2696"/>
      <c r="F7" s="2697" t="s">
        <v>3012</v>
      </c>
      <c r="G7" s="2698" t="s">
        <v>3013</v>
      </c>
      <c r="H7" s="907"/>
      <c r="I7" s="907"/>
      <c r="J7" s="907"/>
      <c r="K7" s="907"/>
      <c r="L7" s="907"/>
      <c r="M7" s="907"/>
      <c r="N7" s="907"/>
      <c r="O7" s="907"/>
      <c r="P7" s="907"/>
      <c r="Q7" s="907"/>
      <c r="R7" s="907"/>
    </row>
    <row r="8" spans="1:29">
      <c r="A8" s="2666"/>
      <c r="B8" s="329" t="s">
        <v>3010</v>
      </c>
      <c r="C8" s="2694" t="s">
        <v>3011</v>
      </c>
      <c r="D8" s="2695"/>
      <c r="E8" s="2695"/>
      <c r="F8" s="2699"/>
      <c r="G8" s="2699"/>
      <c r="H8" s="907"/>
      <c r="I8" s="907"/>
      <c r="J8" s="907"/>
      <c r="K8" s="907"/>
      <c r="L8" s="907"/>
      <c r="M8" s="907"/>
      <c r="N8" s="907"/>
      <c r="O8" s="907"/>
      <c r="P8" s="907"/>
      <c r="Q8" s="907"/>
      <c r="R8" s="907"/>
    </row>
    <row r="9" spans="1:29" ht="24">
      <c r="A9" s="2666"/>
      <c r="B9" s="329" t="s">
        <v>3014</v>
      </c>
      <c r="C9" s="2692" t="s">
        <v>3015</v>
      </c>
      <c r="D9" s="2689"/>
      <c r="E9" s="2695"/>
      <c r="F9" s="2699"/>
      <c r="G9" s="2699"/>
      <c r="H9" s="907"/>
      <c r="I9" s="907"/>
      <c r="J9" s="907"/>
      <c r="K9" s="907"/>
      <c r="L9" s="907"/>
      <c r="M9" s="907"/>
      <c r="N9" s="907"/>
      <c r="O9" s="907"/>
      <c r="P9" s="907"/>
      <c r="Q9" s="907"/>
      <c r="R9" s="907"/>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9"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9" t="s">
        <v>3010</v>
      </c>
      <c r="G20" s="2727" t="str">
        <f>G6</f>
        <v>估价对象所在区域基础设施水平</v>
      </c>
    </row>
    <row r="21" spans="1:18" ht="25.5">
      <c r="A21" s="2670"/>
      <c r="B21" s="329" t="s">
        <v>3007</v>
      </c>
      <c r="C21" s="2727" t="str">
        <f>C7</f>
        <v>估价对象所在区域公共配套设施齐备情况</v>
      </c>
      <c r="D21" s="2689"/>
      <c r="E21" s="2671"/>
      <c r="F21" s="2726" t="s">
        <v>3025</v>
      </c>
      <c r="G21" s="2729"/>
    </row>
    <row r="22" spans="1:18" ht="13.5" customHeight="1">
      <c r="A22" s="2670"/>
      <c r="B22" s="329" t="s">
        <v>3010</v>
      </c>
      <c r="C22" s="2727" t="str">
        <f>C8</f>
        <v>估价对象所在区域基础设施水平</v>
      </c>
      <c r="D22" s="2689"/>
      <c r="E22" s="2671"/>
      <c r="F22" s="2726" t="s">
        <v>3016</v>
      </c>
      <c r="G22" s="2728"/>
    </row>
    <row r="23" spans="1:18" s="907" customFormat="1" ht="15" thickBot="1">
      <c r="A23" s="2670"/>
      <c r="B23" s="2726" t="s">
        <v>3025</v>
      </c>
      <c r="C23" s="2729"/>
      <c r="D23" s="1927"/>
      <c r="E23" s="2672"/>
      <c r="F23" s="2730" t="s">
        <v>3026</v>
      </c>
      <c r="G23" s="2731"/>
      <c r="H23" s="2715"/>
      <c r="I23" s="2716"/>
      <c r="J23" s="2715"/>
      <c r="K23" s="2715"/>
      <c r="L23" s="2716"/>
      <c r="M23" s="2715"/>
      <c r="N23" s="2715"/>
      <c r="O23" s="2716"/>
      <c r="P23" s="2715"/>
      <c r="Q23" s="2715"/>
      <c r="R23" s="2717"/>
    </row>
    <row r="24" spans="1:18" s="907" customFormat="1" ht="15" thickBot="1">
      <c r="A24" s="2673"/>
      <c r="B24" s="2730" t="s">
        <v>3027</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8236.73</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44313</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1615</v>
      </c>
      <c r="C5" s="2736">
        <f ca="1">ROUND(B5*10000/$B$1,0)</f>
        <v>1961</v>
      </c>
      <c r="D5" s="2736" t="e">
        <f ca="1">ROUND(B5*10000/$B$2,0)</f>
        <v>#DIV/0!</v>
      </c>
      <c r="E5" s="2913"/>
      <c r="F5" s="2914"/>
      <c r="G5" s="2914"/>
      <c r="H5" s="2915"/>
      <c r="I5" s="2915"/>
      <c r="J5" s="2915"/>
      <c r="K5" s="2915"/>
    </row>
    <row r="6" spans="1:11" ht="16.5">
      <c r="A6" s="2736" t="s">
        <v>1322</v>
      </c>
      <c r="B6" s="2736">
        <f ca="1">SUM(G14:G23)</f>
        <v>1615</v>
      </c>
      <c r="C6" s="2736">
        <f ca="1">ROUND(B6*10000/$B$1,0)</f>
        <v>1961</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8236.73</v>
      </c>
      <c r="C14" s="2742">
        <f>结果表!C118</f>
        <v>0</v>
      </c>
      <c r="D14" s="2742">
        <f ca="1">结果表!H118</f>
        <v>1615</v>
      </c>
      <c r="E14" s="2742">
        <f ca="1">ROUND(D14*10000/B14,0)</f>
        <v>1961</v>
      </c>
      <c r="F14" s="2742" t="e">
        <f ca="1">ROUND(D14*10000/C14,0)</f>
        <v>#DIV/0!</v>
      </c>
      <c r="G14" s="2742">
        <f ca="1">结果表!D122</f>
        <v>1615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E31" sqref="E3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7" t="str">
        <f>项目基本情况!S2</f>
        <v>成都市武侯区晋阳路169号2栋-1层、-2层地下车库房地产</v>
      </c>
      <c r="B2" s="3198"/>
      <c r="C2" s="3198"/>
      <c r="D2" s="3198"/>
      <c r="E2" s="3198"/>
      <c r="F2" s="3198"/>
      <c r="G2" s="3198"/>
      <c r="H2" s="3198"/>
      <c r="I2" s="3199"/>
    </row>
    <row r="3" spans="1:12" ht="12.75">
      <c r="A3" s="3201" t="s">
        <v>1950</v>
      </c>
      <c r="B3" s="3202"/>
      <c r="C3" s="3202"/>
      <c r="D3" s="3202"/>
      <c r="E3" s="3202"/>
      <c r="F3" s="3202"/>
      <c r="G3" s="3202"/>
      <c r="H3" s="3202"/>
      <c r="I3" s="3202"/>
    </row>
    <row r="4" spans="1:12" ht="14.25">
      <c r="A4" s="1940" t="s">
        <v>1951</v>
      </c>
      <c r="B4" s="1941" t="s">
        <v>1952</v>
      </c>
      <c r="C4" s="1942" t="s">
        <v>3283</v>
      </c>
      <c r="D4" s="1942" t="s">
        <v>3076</v>
      </c>
      <c r="E4" s="3203" t="s">
        <v>1953</v>
      </c>
      <c r="F4" s="3204"/>
      <c r="G4" s="3204"/>
      <c r="H4" s="3204"/>
      <c r="I4" s="320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1954</v>
      </c>
      <c r="B5" s="3164">
        <v>25</v>
      </c>
      <c r="C5" s="3180"/>
      <c r="D5" s="3200"/>
      <c r="E5" s="136" t="s">
        <v>1955</v>
      </c>
      <c r="F5" s="1943"/>
      <c r="G5" s="1943"/>
      <c r="H5" s="1943"/>
      <c r="I5" s="1557"/>
    </row>
    <row r="6" spans="1:12" ht="12.75">
      <c r="A6" s="3177"/>
      <c r="B6" s="3164"/>
      <c r="C6" s="3181"/>
      <c r="D6" s="3200"/>
      <c r="E6" s="136" t="s">
        <v>1956</v>
      </c>
      <c r="F6" s="1943"/>
      <c r="G6" s="1943"/>
      <c r="H6" s="1943"/>
      <c r="I6" s="1557"/>
    </row>
    <row r="7" spans="1:12" ht="12.75">
      <c r="A7" s="3177"/>
      <c r="B7" s="3164"/>
      <c r="C7" s="3182"/>
      <c r="D7" s="3200"/>
      <c r="E7" s="136" t="s">
        <v>1957</v>
      </c>
      <c r="F7" s="1943"/>
      <c r="G7" s="1943"/>
      <c r="H7" s="1943"/>
      <c r="I7" s="1557"/>
    </row>
    <row r="8" spans="1:12" ht="12.75">
      <c r="A8" s="3177" t="s">
        <v>1958</v>
      </c>
      <c r="B8" s="3164">
        <v>15</v>
      </c>
      <c r="C8" s="3180"/>
      <c r="D8" s="3200"/>
      <c r="E8" s="136" t="s">
        <v>1959</v>
      </c>
      <c r="F8" s="1943"/>
      <c r="G8" s="1943"/>
      <c r="H8" s="1943"/>
      <c r="I8" s="1557"/>
    </row>
    <row r="9" spans="1:12" ht="12.75">
      <c r="A9" s="3177"/>
      <c r="B9" s="3164"/>
      <c r="C9" s="3182"/>
      <c r="D9" s="3200"/>
      <c r="E9" s="136" t="s">
        <v>1960</v>
      </c>
      <c r="F9" s="1943"/>
      <c r="G9" s="1943"/>
      <c r="H9" s="1943"/>
      <c r="I9" s="1557"/>
    </row>
    <row r="10" spans="1:12" ht="12.75">
      <c r="A10" s="3177" t="s">
        <v>1961</v>
      </c>
      <c r="B10" s="3164">
        <v>15</v>
      </c>
      <c r="C10" s="3180"/>
      <c r="D10" s="3200"/>
      <c r="E10" s="136" t="s">
        <v>1962</v>
      </c>
      <c r="F10" s="1943"/>
      <c r="G10" s="1943"/>
      <c r="H10" s="1943"/>
      <c r="I10" s="1557"/>
    </row>
    <row r="11" spans="1:12" ht="12.75">
      <c r="A11" s="3177"/>
      <c r="B11" s="3164"/>
      <c r="C11" s="3182"/>
      <c r="D11" s="3200"/>
      <c r="E11" s="136" t="s">
        <v>1963</v>
      </c>
      <c r="F11" s="1943"/>
      <c r="G11" s="1943"/>
      <c r="H11" s="1943"/>
      <c r="I11" s="1557"/>
    </row>
    <row r="12" spans="1:12" ht="12.75">
      <c r="A12" s="3177" t="s">
        <v>1964</v>
      </c>
      <c r="B12" s="3164">
        <v>15</v>
      </c>
      <c r="C12" s="3180"/>
      <c r="D12" s="3200"/>
      <c r="E12" s="136" t="s">
        <v>1965</v>
      </c>
      <c r="F12" s="1943"/>
      <c r="G12" s="1943"/>
      <c r="H12" s="1943"/>
      <c r="I12" s="1557"/>
    </row>
    <row r="13" spans="1:12" ht="12.75">
      <c r="A13" s="3177"/>
      <c r="B13" s="3164"/>
      <c r="C13" s="3182"/>
      <c r="D13" s="3200"/>
      <c r="E13" s="136" t="s">
        <v>1966</v>
      </c>
      <c r="F13" s="1943"/>
      <c r="G13" s="1943"/>
      <c r="H13" s="1943"/>
      <c r="I13" s="1557"/>
    </row>
    <row r="14" spans="1:12" ht="12.75">
      <c r="A14" s="3177" t="s">
        <v>1967</v>
      </c>
      <c r="B14" s="3164">
        <v>30</v>
      </c>
      <c r="C14" s="3180">
        <v>8</v>
      </c>
      <c r="D14" s="3200">
        <v>2</v>
      </c>
      <c r="E14" s="136" t="s">
        <v>1968</v>
      </c>
      <c r="F14" s="1943"/>
      <c r="G14" s="1943"/>
      <c r="H14" s="1943"/>
      <c r="I14" s="1557"/>
    </row>
    <row r="15" spans="1:12" ht="12.75">
      <c r="A15" s="3177"/>
      <c r="B15" s="3164"/>
      <c r="C15" s="3181"/>
      <c r="D15" s="3200"/>
      <c r="E15" s="136" t="s">
        <v>1969</v>
      </c>
      <c r="F15" s="1943"/>
      <c r="G15" s="1943"/>
      <c r="H15" s="1943"/>
      <c r="I15" s="1557"/>
    </row>
    <row r="16" spans="1:12" ht="12.75">
      <c r="A16" s="3177"/>
      <c r="B16" s="3164"/>
      <c r="C16" s="3182"/>
      <c r="D16" s="3200"/>
      <c r="E16" s="136" t="s">
        <v>1970</v>
      </c>
      <c r="F16" s="1943"/>
      <c r="G16" s="1943"/>
      <c r="H16" s="1943"/>
      <c r="I16" s="1557"/>
    </row>
    <row r="17" spans="1:36" ht="15">
      <c r="A17" s="1944" t="s">
        <v>1971</v>
      </c>
      <c r="B17" s="60"/>
      <c r="C17" s="137">
        <f>SUM(C5:C16)</f>
        <v>8</v>
      </c>
      <c r="D17" s="137">
        <f>SUM(D5:D16)</f>
        <v>2</v>
      </c>
      <c r="E17" s="134"/>
      <c r="F17" s="134"/>
      <c r="G17" s="134"/>
      <c r="H17" s="134"/>
      <c r="I17" s="134"/>
      <c r="K17" s="308"/>
      <c r="L17" s="308" t="s">
        <v>1972</v>
      </c>
      <c r="M17" s="308" t="s">
        <v>1973</v>
      </c>
    </row>
    <row r="18" spans="1:36" ht="31.9" customHeight="1" thickBot="1">
      <c r="A18" s="1945" t="s">
        <v>1974</v>
      </c>
      <c r="B18" s="1946"/>
      <c r="C18" s="138">
        <f>ROUND(C17/SUM(C17:D17),2)</f>
        <v>0.8</v>
      </c>
      <c r="D18" s="138">
        <f>1-C18</f>
        <v>0.19999999999999996</v>
      </c>
      <c r="E18" s="3187" t="s">
        <v>2874</v>
      </c>
      <c r="F18" s="3188"/>
      <c r="G18" s="3188"/>
      <c r="H18" s="3188"/>
      <c r="I18" s="3188"/>
      <c r="K18" s="308" t="s">
        <v>1975</v>
      </c>
      <c r="L18" s="308">
        <f>IF(C1="",'数据-汇总表'!E3,SUMIF(项目类型,C1,'数据-汇总表'!E17:E26)+SUMIF(项目类型,C1,'数据-汇总表'!I17:I26))</f>
        <v>8236.73</v>
      </c>
      <c r="M18" s="308">
        <f>IF(C1="",'数据-汇总表'!E3,SUMIF(项目类型,C1,'数据-汇总表'!E17:E26))</f>
        <v>8236.73</v>
      </c>
    </row>
    <row r="19" spans="1:36" ht="15">
      <c r="A19" s="1947" t="s">
        <v>1976</v>
      </c>
      <c r="B19" s="1948" t="s">
        <v>1977</v>
      </c>
      <c r="C19" s="139">
        <f ca="1">SUMIF(INDIRECT("'"&amp;C4&amp;"'"&amp;"!A:A"),结果表!B19,INDIRECT("'"&amp;C4&amp;"'"&amp;"!B:B"))</f>
        <v>1962</v>
      </c>
      <c r="D19" s="140">
        <f ca="1">SUMIF(INDIRECT("'"&amp;D4&amp;"'"&amp;"!A:A"),结果表!B19,INDIRECT("'"&amp;D4&amp;"'"&amp;"!B:B"))</f>
        <v>226</v>
      </c>
      <c r="E19" s="1947" t="s">
        <v>1978</v>
      </c>
      <c r="F19" s="1948" t="s">
        <v>1977</v>
      </c>
      <c r="G19" s="141">
        <f ca="1">ROUND(C19*$C$18+D19*$D$18,0)</f>
        <v>1615</v>
      </c>
      <c r="H19" s="1949" t="s">
        <v>1979</v>
      </c>
      <c r="I19" s="134"/>
      <c r="J19" s="734">
        <f ca="1">G19/'数据-取费表'!AH6</f>
        <v>7.9556650246305418</v>
      </c>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2382</v>
      </c>
      <c r="D20" s="143">
        <f ca="1">SUMIF(INDIRECT("'"&amp;D4&amp;"'"&amp;"!A:A"),结果表!B20,INDIRECT("'"&amp;D4&amp;"'"&amp;"!B:B"))</f>
        <v>274</v>
      </c>
      <c r="E20" s="1950"/>
      <c r="F20" s="1157" t="s">
        <v>1981</v>
      </c>
      <c r="G20" s="144">
        <f ca="1">ROUND(C20*$C$18+D20*$D$18,0)</f>
        <v>1960</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7.6814159292035402</v>
      </c>
      <c r="E22" s="134"/>
      <c r="F22" s="134"/>
      <c r="G22" s="134"/>
      <c r="H22" s="134"/>
      <c r="I22" s="134"/>
    </row>
    <row r="23" spans="1:36" ht="13.5" thickBot="1">
      <c r="A23" s="1933"/>
      <c r="B23" s="1933"/>
      <c r="C23" s="1933"/>
      <c r="D23" s="1933"/>
      <c r="E23" s="134"/>
      <c r="F23" s="134"/>
      <c r="G23" s="134"/>
      <c r="H23" s="134"/>
      <c r="I23" s="134"/>
    </row>
    <row r="24" spans="1:36" ht="14.25">
      <c r="A24" s="3171" t="s">
        <v>1985</v>
      </c>
      <c r="B24" s="1948" t="s">
        <v>1977</v>
      </c>
      <c r="C24" s="141">
        <f>IF(B30=0,0,D30)</f>
        <v>0</v>
      </c>
      <c r="D24" s="1955"/>
      <c r="E24" s="134"/>
      <c r="F24" s="134"/>
      <c r="G24" s="134"/>
      <c r="H24" s="134"/>
      <c r="I24" s="134"/>
    </row>
    <row r="25" spans="1:36" ht="14.25">
      <c r="A25" s="317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1615</v>
      </c>
      <c r="D32" s="1961" t="s">
        <v>3284</v>
      </c>
      <c r="E32" s="134"/>
      <c r="F32" s="134"/>
      <c r="G32" s="134"/>
      <c r="H32" s="134"/>
      <c r="I32" s="134"/>
    </row>
    <row r="33" spans="1:15" ht="15">
      <c r="A33" s="894" t="s">
        <v>1992</v>
      </c>
      <c r="B33" s="1962"/>
      <c r="C33" s="1963" t="s">
        <v>3285</v>
      </c>
      <c r="D33" s="1964" t="s">
        <v>3076</v>
      </c>
      <c r="E33" s="1965" t="s">
        <v>1993</v>
      </c>
      <c r="F33" s="1966" t="str">
        <f>IF(D32="楼面单价","取值（单价）","取值（总价）")</f>
        <v>取值（总价）</v>
      </c>
      <c r="G33" s="134"/>
      <c r="H33" s="134"/>
      <c r="I33" s="134"/>
    </row>
    <row r="34" spans="1:15" ht="15">
      <c r="A34" s="1967"/>
      <c r="B34" s="1968" t="s">
        <v>1994</v>
      </c>
      <c r="C34" s="153">
        <f ca="1">IF(C33="自定义",F34,C32-C35)</f>
        <v>-30506</v>
      </c>
      <c r="D34" s="970">
        <f ca="1">IF(C33="自定义",ROUND(C34/C32,3),IF(C33="收益比率",SUMIF(INDIRECT("'"&amp;D33&amp;"'"&amp;"!b:b"),"土地收益比率",INDIRECT("'"&amp;D33&amp;"'"&amp;"!c:c")),SUMIF(INDIRECT("'"&amp;D33&amp;"'"&amp;"!b:b"),"土地成本比率",INDIRECT("'"&amp;D33&amp;"'"&amp;"!c:c"))))</f>
        <v>-18.888999999999999</v>
      </c>
      <c r="E34" s="1969" t="s">
        <v>1995</v>
      </c>
      <c r="F34" s="1498"/>
      <c r="G34" s="134"/>
      <c r="H34" s="134"/>
      <c r="I34" s="134"/>
    </row>
    <row r="35" spans="1:15" ht="15.75" thickBot="1">
      <c r="A35" s="1970"/>
      <c r="B35" s="1971" t="s">
        <v>1996</v>
      </c>
      <c r="C35" s="1332">
        <f ca="1">IF(C33="自定义",F35,ROUND(C32*D35,0))</f>
        <v>32121</v>
      </c>
      <c r="D35" s="1333">
        <f ca="1">IF(C33="自定义",ROUND(C35/C32,3),IF(C33="收益比率",SUMIF(INDIRECT("'"&amp;D33&amp;"'"&amp;"!b:b"),"建筑物收益比率",INDIRECT("'"&amp;D33&amp;"'"&amp;"!c:c")),SUMIF(INDIRECT("'"&amp;D33&amp;"'"&amp;"!b:b"),"建筑物成本比率",INDIRECT("'"&amp;D33&amp;"'"&amp;"!c:c"))))</f>
        <v>19.888999999999999</v>
      </c>
      <c r="E35" s="1972" t="s">
        <v>1997</v>
      </c>
      <c r="F35" s="159"/>
      <c r="G35" s="134"/>
      <c r="H35" s="134"/>
      <c r="I35" s="134"/>
    </row>
    <row r="36" spans="1:15" ht="15.75" thickBot="1">
      <c r="A36" s="3191" t="s">
        <v>1998</v>
      </c>
      <c r="B36" s="1973" t="s">
        <v>1999</v>
      </c>
      <c r="C36" s="150"/>
      <c r="D36" s="1974"/>
      <c r="E36" s="1975"/>
      <c r="F36" s="1976"/>
      <c r="G36" s="134"/>
      <c r="H36" s="134"/>
      <c r="I36" s="134"/>
    </row>
    <row r="37" spans="1:15" ht="15.75" thickBot="1">
      <c r="A37" s="3192"/>
      <c r="B37" s="1860" t="s">
        <v>2000</v>
      </c>
      <c r="C37" s="152"/>
      <c r="D37" s="1301"/>
      <c r="E37" s="1301"/>
      <c r="F37" s="1976"/>
      <c r="G37" s="134"/>
      <c r="H37" s="134"/>
      <c r="I37" s="134"/>
    </row>
    <row r="38" spans="1:15" ht="15.75" thickBot="1">
      <c r="A38" s="319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8" t="s">
        <v>2012</v>
      </c>
      <c r="B45" s="3169"/>
      <c r="C45" s="3170"/>
      <c r="D45" s="160">
        <f ca="1">ROUND(H101*F45,0)</f>
        <v>1615</v>
      </c>
      <c r="E45" s="161" t="s">
        <v>2013</v>
      </c>
      <c r="F45" s="162">
        <v>1</v>
      </c>
      <c r="G45" s="163" t="s">
        <v>2014</v>
      </c>
      <c r="H45" s="134"/>
      <c r="I45" s="134"/>
      <c r="J45" s="3249" t="s">
        <v>2015</v>
      </c>
      <c r="K45" s="3249"/>
      <c r="L45" s="3249"/>
      <c r="M45" s="3249"/>
      <c r="N45" s="3249"/>
      <c r="O45" s="3249"/>
    </row>
    <row r="46" spans="1:15" ht="14.25" customHeight="1">
      <c r="A46" s="3165" t="s">
        <v>2016</v>
      </c>
      <c r="B46" s="3166"/>
      <c r="C46" s="3166"/>
      <c r="D46" s="3166"/>
      <c r="E46" s="3166"/>
      <c r="F46" s="3166"/>
      <c r="G46" s="3167"/>
      <c r="H46" s="1992"/>
      <c r="I46" s="164"/>
      <c r="J46" s="2747">
        <v>1</v>
      </c>
      <c r="K46" s="3230" t="s">
        <v>2017</v>
      </c>
      <c r="L46" s="3230"/>
      <c r="M46" s="3250"/>
      <c r="N46" s="3250"/>
      <c r="O46" s="3250"/>
    </row>
    <row r="47" spans="1:15" ht="12" customHeight="1">
      <c r="A47" s="165" t="s">
        <v>2018</v>
      </c>
      <c r="B47" s="166"/>
      <c r="C47" s="167"/>
      <c r="D47" s="1247" t="s">
        <v>2019</v>
      </c>
      <c r="E47" s="308" t="s">
        <v>2020</v>
      </c>
      <c r="F47" s="168" t="s">
        <v>2021</v>
      </c>
      <c r="G47" s="2770" t="s">
        <v>2022</v>
      </c>
      <c r="H47" s="2771"/>
      <c r="I47" s="164"/>
      <c r="J47" s="2747">
        <v>2</v>
      </c>
      <c r="K47" s="3230" t="s">
        <v>2023</v>
      </c>
      <c r="L47" s="3230"/>
      <c r="M47" s="3251">
        <f>'数据-取费表'!B2</f>
        <v>44313</v>
      </c>
      <c r="N47" s="3251"/>
      <c r="O47" s="3251"/>
    </row>
    <row r="48" spans="1:15" ht="25.5">
      <c r="A48" s="3196" t="s">
        <v>2024</v>
      </c>
      <c r="B48" s="3179"/>
      <c r="C48" s="3179"/>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30" t="s">
        <v>2026</v>
      </c>
      <c r="L48" s="3230"/>
      <c r="M48" s="3252">
        <f ca="1">H101</f>
        <v>1615</v>
      </c>
      <c r="N48" s="3252"/>
      <c r="O48" s="3252"/>
    </row>
    <row r="49" spans="1:35" ht="25.5" customHeight="1">
      <c r="A49" s="2556" t="s">
        <v>2027</v>
      </c>
      <c r="B49" s="3163" t="s">
        <v>2028</v>
      </c>
      <c r="C49" s="3163"/>
      <c r="D49" s="1775">
        <v>0</v>
      </c>
      <c r="E49" s="330" t="s">
        <v>2029</v>
      </c>
      <c r="F49" s="2648" t="s">
        <v>34</v>
      </c>
      <c r="G49" s="3236"/>
      <c r="H49" s="2528" t="s">
        <v>2877</v>
      </c>
      <c r="I49" s="2529"/>
      <c r="J49" s="2747">
        <v>4</v>
      </c>
      <c r="K49" s="3230" t="str">
        <f>IF(项目基本情况!E8="房地产抵押价值","房地产抵押价值","抵押担保权已注销时的房地产抵押价值")</f>
        <v>抵押担保权已注销时的房地产抵押价值</v>
      </c>
      <c r="L49" s="3230"/>
      <c r="M49" s="3252" t="str">
        <f>IF(项目基本情况!E8="房地产抵押价值",H107,H109)</f>
        <v>——</v>
      </c>
      <c r="N49" s="3252"/>
      <c r="O49" s="3252"/>
    </row>
    <row r="50" spans="1:35" ht="25.5" customHeight="1">
      <c r="A50" s="2775"/>
      <c r="B50" s="3163" t="s">
        <v>2030</v>
      </c>
      <c r="C50" s="3163"/>
      <c r="D50" s="2776"/>
      <c r="E50" s="338"/>
      <c r="F50" s="2648"/>
      <c r="G50" s="3237"/>
      <c r="H50" s="2530" t="s">
        <v>2878</v>
      </c>
      <c r="I50" s="2529"/>
      <c r="J50" s="3249" t="s">
        <v>2031</v>
      </c>
      <c r="K50" s="3249"/>
      <c r="L50" s="3249"/>
      <c r="M50" s="3249"/>
      <c r="N50" s="3249"/>
      <c r="O50" s="3249"/>
    </row>
    <row r="51" spans="1:35" ht="20.45" customHeight="1">
      <c r="A51" s="2777"/>
      <c r="B51" s="3163" t="s">
        <v>2032</v>
      </c>
      <c r="C51" s="3163"/>
      <c r="D51" s="1247"/>
      <c r="E51" s="333"/>
      <c r="F51" s="2648"/>
      <c r="G51" s="3238"/>
      <c r="H51" s="2530" t="s">
        <v>2879</v>
      </c>
      <c r="I51" s="2529"/>
      <c r="J51" s="2748" t="s">
        <v>2033</v>
      </c>
      <c r="K51" s="3230" t="s">
        <v>2034</v>
      </c>
      <c r="L51" s="3230"/>
      <c r="M51" s="2748" t="s">
        <v>2035</v>
      </c>
      <c r="N51" s="2748" t="s">
        <v>2036</v>
      </c>
      <c r="O51" s="2748" t="s">
        <v>2037</v>
      </c>
    </row>
    <row r="52" spans="1:35" ht="24" customHeight="1">
      <c r="A52" s="2558" t="s">
        <v>2038</v>
      </c>
      <c r="B52" s="3163" t="s">
        <v>2039</v>
      </c>
      <c r="C52" s="3163"/>
      <c r="D52" s="1247">
        <f ca="1">ROUND(D45*'数据-取费表'!B41/(1+'数据-取费表'!C42),0)</f>
        <v>86</v>
      </c>
      <c r="E52" s="2557" t="s">
        <v>2040</v>
      </c>
      <c r="F52" s="2778">
        <f>'数据-取费表'!B41</f>
        <v>5.6000000000000001E-2</v>
      </c>
      <c r="G52" s="2779"/>
      <c r="H52" s="2768"/>
      <c r="I52" s="1993"/>
      <c r="J52" s="2747">
        <v>1</v>
      </c>
      <c r="K52" s="3231" t="s">
        <v>2041</v>
      </c>
      <c r="L52" s="3231"/>
      <c r="M52" s="2749" t="b">
        <f>D48</f>
        <v>0</v>
      </c>
      <c r="N52" s="2747" t="str">
        <f>E48</f>
        <v>销售额×税（费）率</v>
      </c>
      <c r="O52" s="2750">
        <f>F48</f>
        <v>5.6000000000000001E-2</v>
      </c>
    </row>
    <row r="53" spans="1:35" ht="12" customHeight="1">
      <c r="A53" s="2558" t="s">
        <v>2042</v>
      </c>
      <c r="B53" s="3189" t="s">
        <v>3038</v>
      </c>
      <c r="C53" s="3190"/>
      <c r="D53" s="1247">
        <f ca="1">ROUND(D45*'数据-取费表'!B41/(1+'数据-取费表'!C42),0)</f>
        <v>86</v>
      </c>
      <c r="E53" s="2557" t="s">
        <v>2040</v>
      </c>
      <c r="F53" s="2778">
        <f>'数据-取费表'!B41</f>
        <v>5.6000000000000001E-2</v>
      </c>
      <c r="G53" s="2779"/>
      <c r="H53" s="2768"/>
      <c r="I53" s="1993"/>
      <c r="J53" s="2747">
        <v>2</v>
      </c>
      <c r="K53" s="3231" t="s">
        <v>2043</v>
      </c>
      <c r="L53" s="3231"/>
      <c r="M53" s="2749">
        <f t="shared" ref="M53:O54" ca="1" si="0">D55</f>
        <v>1</v>
      </c>
      <c r="N53" s="2747" t="str">
        <f t="shared" si="0"/>
        <v>销售额×税（费）率</v>
      </c>
      <c r="O53" s="2750" t="str">
        <f t="shared" si="0"/>
        <v>免征</v>
      </c>
    </row>
    <row r="54" spans="1:35" ht="12" customHeight="1">
      <c r="A54" s="2558" t="s">
        <v>2044</v>
      </c>
      <c r="B54" s="3189" t="s">
        <v>3039</v>
      </c>
      <c r="C54" s="3190"/>
      <c r="D54" s="1247">
        <f ca="1">C68</f>
        <v>86</v>
      </c>
      <c r="E54" s="333" t="s">
        <v>2045</v>
      </c>
      <c r="F54" s="2778">
        <f>'数据-取费表'!B41</f>
        <v>5.6000000000000001E-2</v>
      </c>
      <c r="G54" s="2779"/>
      <c r="H54" s="2780"/>
      <c r="I54" s="1993"/>
      <c r="J54" s="2747">
        <v>3</v>
      </c>
      <c r="K54" s="3231" t="s">
        <v>2046</v>
      </c>
      <c r="L54" s="3231"/>
      <c r="M54" s="2749">
        <f t="shared" ca="1" si="0"/>
        <v>914</v>
      </c>
      <c r="N54" s="2747" t="str">
        <f t="shared" si="0"/>
        <v>增值额×税（费）率</v>
      </c>
      <c r="O54" s="2751" t="str">
        <f t="shared" si="0"/>
        <v>免征</v>
      </c>
    </row>
    <row r="55" spans="1:35" ht="24" customHeight="1">
      <c r="A55" s="3178" t="s">
        <v>2047</v>
      </c>
      <c r="B55" s="3179"/>
      <c r="C55" s="3179"/>
      <c r="D55" s="2547">
        <f ca="1">IF(H55="个人住宅",0,ROUND(D45*I55,0))</f>
        <v>1</v>
      </c>
      <c r="E55" s="2557" t="s">
        <v>2048</v>
      </c>
      <c r="F55" s="2778" t="str">
        <f>IF(H55="正常",I55,"免征")</f>
        <v>免征</v>
      </c>
      <c r="G55" s="2779"/>
      <c r="H55" s="2774"/>
      <c r="I55" s="170">
        <f>'数据-取费表'!B49</f>
        <v>5.0000000000000001E-4</v>
      </c>
      <c r="J55" s="2747">
        <f>IF(H59="非个人房产","",4)</f>
        <v>4</v>
      </c>
      <c r="K55" s="3231" t="str">
        <f>IF(H59="非个人房产","——","个人所得税")</f>
        <v>个人所得税</v>
      </c>
      <c r="L55" s="3231"/>
      <c r="M55" s="2752">
        <f ca="1">D59</f>
        <v>15</v>
      </c>
      <c r="N55" s="2228" t="str">
        <f>E59</f>
        <v>差额计税</v>
      </c>
      <c r="O55" s="2753">
        <f>F59</f>
        <v>0.01</v>
      </c>
    </row>
    <row r="56" spans="1:35" ht="24.75">
      <c r="A56" s="3178" t="s">
        <v>2049</v>
      </c>
      <c r="B56" s="3179"/>
      <c r="C56" s="3179"/>
      <c r="D56" s="2547">
        <f ca="1">IF(H56="个人住宅",D57,D58)</f>
        <v>914</v>
      </c>
      <c r="E56" s="2557" t="s">
        <v>2050</v>
      </c>
      <c r="F56" s="2778" t="str">
        <f>IF(H56="正常",F58,"免征")</f>
        <v>免征</v>
      </c>
      <c r="G56" s="2781" t="s">
        <v>2051</v>
      </c>
      <c r="H56" s="2782"/>
      <c r="I56" s="1994"/>
      <c r="J56" s="2747" t="str">
        <f>IF(项目基本情况!K6="上海银行",IF(J55="",4,J55+1),"")</f>
        <v/>
      </c>
      <c r="K56" s="3254" t="str">
        <f>IF(项目基本情况!K6="上海银行","其他处置费用","")</f>
        <v/>
      </c>
      <c r="L56" s="3255"/>
      <c r="M56" s="2749" t="str">
        <f>IF(项目基本情况!K6="上海银行",M69,"")</f>
        <v/>
      </c>
      <c r="N56" s="3254" t="str">
        <f>IF(项目基本情况!K6="上海银行","包含处置中涉及的律师、诉讼、拍卖、评估等费用","")</f>
        <v/>
      </c>
      <c r="O56" s="3257"/>
    </row>
    <row r="57" spans="1:35" ht="12.75">
      <c r="A57" s="2558" t="s">
        <v>2027</v>
      </c>
      <c r="B57" s="3189" t="s">
        <v>2052</v>
      </c>
      <c r="C57" s="3190"/>
      <c r="D57" s="1775">
        <v>0</v>
      </c>
      <c r="E57" s="330" t="s">
        <v>2029</v>
      </c>
      <c r="F57" s="308"/>
      <c r="G57" s="2779"/>
      <c r="H57" s="2783"/>
      <c r="I57" s="1994"/>
      <c r="J57" s="3231">
        <f>IF(AND(J55="",J56=""),4,IF(项目基本情况!K6="上海银行",结果表!J56+1,结果表!J55+1))</f>
        <v>5</v>
      </c>
      <c r="K57" s="3231" t="s">
        <v>2053</v>
      </c>
      <c r="L57" s="2754" t="s">
        <v>2054</v>
      </c>
      <c r="M57" s="2755"/>
      <c r="N57" s="2756">
        <f ca="1">SUMIF(M52:M56,"&lt;9e307")</f>
        <v>930</v>
      </c>
      <c r="O57" s="2757"/>
      <c r="P57" s="2917" t="e">
        <f ca="1">N57/M49</f>
        <v>#VALUE!</v>
      </c>
    </row>
    <row r="58" spans="1:35" ht="24.75">
      <c r="A58" s="2558" t="s">
        <v>2038</v>
      </c>
      <c r="B58" s="3189" t="s">
        <v>2055</v>
      </c>
      <c r="C58" s="3163"/>
      <c r="D58" s="2547">
        <f ca="1">IF(H58="转让取得",C81,C97)</f>
        <v>914</v>
      </c>
      <c r="E58" s="2557" t="s">
        <v>2050</v>
      </c>
      <c r="F58" s="308" t="s">
        <v>34</v>
      </c>
      <c r="G58" s="2779"/>
      <c r="H58" s="2782"/>
      <c r="I58" s="1994"/>
      <c r="J58" s="3231"/>
      <c r="K58" s="3231"/>
      <c r="L58" s="2754" t="s">
        <v>2056</v>
      </c>
      <c r="M58" s="2758"/>
      <c r="N58" s="2759" t="str">
        <f ca="1">NUMBERSTRING(INT(N57*10000),2)&amp;"元整"</f>
        <v>玖佰叁拾万元整</v>
      </c>
      <c r="O58" s="2760"/>
    </row>
    <row r="59" spans="1:35" ht="24.75" thickBot="1">
      <c r="A59" s="3234" t="s">
        <v>2057</v>
      </c>
      <c r="B59" s="3235"/>
      <c r="C59" s="3235"/>
      <c r="D59" s="2784">
        <f ca="1">IF(H59="非个人房产","——",IF(H59="个人住宅（满五唯一有凭证）",0,IF(H59="个人其他（无凭证）",ROUND(D45*F59,0),ROUND(C67*F59,0))))</f>
        <v>15</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32">
        <f>J57+1</f>
        <v>6</v>
      </c>
      <c r="K59" s="3231" t="s">
        <v>2058</v>
      </c>
      <c r="L59" s="2747" t="s">
        <v>2054</v>
      </c>
      <c r="M59" s="2761"/>
      <c r="N59" s="2762" t="e">
        <f ca="1">M49-N57</f>
        <v>#VALUE!</v>
      </c>
      <c r="O59" s="2763"/>
    </row>
    <row r="60" spans="1:35" ht="12" customHeight="1">
      <c r="A60" s="1995"/>
      <c r="B60" s="1933"/>
      <c r="C60" s="1933"/>
      <c r="D60" s="1933"/>
      <c r="E60" s="1763"/>
      <c r="F60" s="1994"/>
      <c r="G60" s="1994"/>
      <c r="H60" s="1996"/>
      <c r="I60" s="134"/>
      <c r="J60" s="3233"/>
      <c r="K60" s="3231"/>
      <c r="L60" s="2754" t="s">
        <v>2056</v>
      </c>
      <c r="M60" s="2758"/>
      <c r="N60" s="2759" t="e">
        <f ca="1">NUMBERSTRING(INT(N59*10000),2)&amp;"元整"</f>
        <v>#VALUE!</v>
      </c>
      <c r="O60" s="2760"/>
    </row>
    <row r="61" spans="1:35" ht="13.5" thickBot="1">
      <c r="A61" s="3176" t="s">
        <v>2059</v>
      </c>
      <c r="B61" s="3176"/>
      <c r="C61" s="3176"/>
      <c r="D61" s="3176"/>
      <c r="E61" s="3176"/>
      <c r="F61" s="1994"/>
      <c r="G61" s="1994"/>
      <c r="H61" s="1996"/>
      <c r="I61" s="134"/>
      <c r="J61" s="2747">
        <f>J59+1</f>
        <v>7</v>
      </c>
      <c r="K61" s="3231" t="s">
        <v>2060</v>
      </c>
      <c r="L61" s="3231"/>
      <c r="M61" s="2764"/>
      <c r="N61" s="2765" t="e">
        <f ca="1">ROUND(N59*10000/'数据-汇总表'!E3,0)</f>
        <v>#VALUE!</v>
      </c>
      <c r="O61" s="2766"/>
    </row>
    <row r="62" spans="1:35" ht="12.75">
      <c r="A62" s="3194" t="s">
        <v>2061</v>
      </c>
      <c r="B62" s="3195"/>
      <c r="C62" s="2209"/>
      <c r="D62" s="2209" t="s">
        <v>2062</v>
      </c>
      <c r="E62" s="171" t="s">
        <v>2063</v>
      </c>
      <c r="F62" s="1994"/>
      <c r="G62" s="1994"/>
      <c r="H62" s="1996"/>
      <c r="I62" s="134"/>
    </row>
    <row r="63" spans="1:35" ht="12.75">
      <c r="A63" s="178" t="s">
        <v>775</v>
      </c>
      <c r="B63" s="172" t="s">
        <v>2064</v>
      </c>
      <c r="C63" s="2788">
        <f ca="1">ROUND((C64+C65)/(1+'数据-取费表'!C42),0)</f>
        <v>1538</v>
      </c>
      <c r="D63" s="172"/>
      <c r="E63" s="173"/>
      <c r="F63" s="1994"/>
      <c r="G63" s="1994"/>
      <c r="H63" s="1996"/>
      <c r="I63" s="134"/>
      <c r="J63" s="3256"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f ca="1">D45</f>
        <v>1615</v>
      </c>
      <c r="D64" s="175" t="s">
        <v>32</v>
      </c>
      <c r="E64" s="177"/>
      <c r="F64" s="1994"/>
      <c r="G64" s="1994"/>
      <c r="H64" s="1996"/>
      <c r="I64" s="134"/>
      <c r="J64" s="3256"/>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38"/>
      <c r="AI64" s="1939"/>
    </row>
    <row r="65" spans="1:35" ht="14.25" customHeight="1">
      <c r="A65" s="174" t="s">
        <v>771</v>
      </c>
      <c r="B65" s="175" t="s">
        <v>2070</v>
      </c>
      <c r="C65" s="2790"/>
      <c r="D65" s="175"/>
      <c r="E65" s="177"/>
      <c r="F65" s="1994"/>
      <c r="G65" s="1994"/>
      <c r="H65" s="1996"/>
      <c r="I65" s="134"/>
      <c r="J65" s="3256"/>
      <c r="K65" s="1501" t="s">
        <v>2071</v>
      </c>
      <c r="L65" s="1501" t="e">
        <f>IF(M49&gt;1000,M49*0.1%,IF(AND(M49&gt;500,M49&lt;=1000),M49*0.5%,IF(AND(M49&gt;50,M49&lt;=500),M49*1%,IF(AND(M49&gt;1,M49&lt;=50),M49*1.5%))))</f>
        <v>#VALUE!</v>
      </c>
      <c r="M65" s="308" t="e">
        <f t="shared" si="1"/>
        <v>#VALUE!</v>
      </c>
      <c r="N65" s="2768" t="s">
        <v>2069</v>
      </c>
      <c r="Z65" s="1938"/>
      <c r="AI65" s="1939"/>
    </row>
    <row r="66" spans="1:35" ht="14.25" customHeight="1">
      <c r="A66" s="178" t="s">
        <v>772</v>
      </c>
      <c r="B66" s="179" t="s">
        <v>2072</v>
      </c>
      <c r="C66" s="2791"/>
      <c r="D66" s="179" t="s">
        <v>32</v>
      </c>
      <c r="E66" s="1509" t="s">
        <v>1337</v>
      </c>
      <c r="F66" s="1994"/>
      <c r="G66" s="1994"/>
      <c r="H66" s="1996"/>
      <c r="I66" s="134"/>
      <c r="J66" s="3256"/>
      <c r="K66" s="1501" t="s">
        <v>2073</v>
      </c>
      <c r="L66" s="1501" t="e">
        <f>M49*0.5%</f>
        <v>#VALUE!</v>
      </c>
      <c r="M66" s="308" t="e">
        <f>IF(L66&gt;0.5,0.5,ROUND(L66,0))</f>
        <v>#VALUE!</v>
      </c>
      <c r="N66" s="2768" t="s">
        <v>2074</v>
      </c>
      <c r="Z66" s="1938"/>
      <c r="AI66" s="1939"/>
    </row>
    <row r="67" spans="1:35" ht="14.25" customHeight="1">
      <c r="A67" s="178" t="s">
        <v>773</v>
      </c>
      <c r="B67" s="179" t="s">
        <v>2075</v>
      </c>
      <c r="C67" s="2792">
        <f ca="1">C63-C66</f>
        <v>1538</v>
      </c>
      <c r="D67" s="175" t="s">
        <v>32</v>
      </c>
      <c r="E67" s="177"/>
      <c r="F67" s="1994"/>
      <c r="G67" s="1994"/>
      <c r="H67" s="1996"/>
      <c r="I67" s="134"/>
      <c r="J67" s="3256"/>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f ca="1">IF(C67&lt;=0,0,ROUND(C67*D68,0))</f>
        <v>86</v>
      </c>
      <c r="D68" s="2794">
        <f>'数据-取费表'!B41</f>
        <v>5.6000000000000001E-2</v>
      </c>
      <c r="E68" s="184"/>
      <c r="F68" s="1994"/>
      <c r="G68" s="1994"/>
      <c r="H68" s="1996"/>
      <c r="I68" s="134"/>
      <c r="J68" s="3256"/>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56"/>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5" t="s">
        <v>2080</v>
      </c>
      <c r="B70" s="3216"/>
      <c r="C70" s="3216"/>
      <c r="D70" s="3216"/>
      <c r="E70" s="3216"/>
      <c r="F70" s="3216"/>
      <c r="G70" s="3216"/>
      <c r="H70" s="3216"/>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4" t="s">
        <v>2061</v>
      </c>
      <c r="B71" s="3195"/>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1538</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189" t="s">
        <v>2088</v>
      </c>
      <c r="F76" s="3163"/>
      <c r="G76" s="3163"/>
      <c r="H76" s="32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9</v>
      </c>
      <c r="D78" s="2801">
        <f>'数据-取费表'!B43</f>
        <v>6.000000000000001E-3</v>
      </c>
      <c r="E78" s="3173" t="s">
        <v>2092</v>
      </c>
      <c r="F78" s="3174"/>
      <c r="G78" s="3174"/>
      <c r="H78" s="318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1529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169.88888888888889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914</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5" t="s">
        <v>2096</v>
      </c>
      <c r="B83" s="3216"/>
      <c r="C83" s="3216"/>
      <c r="D83" s="3216"/>
      <c r="E83" s="3216"/>
      <c r="F83" s="3216"/>
      <c r="G83" s="3216"/>
      <c r="H83" s="32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4" t="s">
        <v>2061</v>
      </c>
      <c r="B84" s="319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1538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9</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258" t="s">
        <v>2872</v>
      </c>
      <c r="H90" s="3259"/>
      <c r="I90" s="2007"/>
      <c r="J90" s="2745"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173" t="s">
        <v>2105</v>
      </c>
      <c r="F91" s="3174"/>
      <c r="G91" s="317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173" t="s">
        <v>2108</v>
      </c>
      <c r="F92" s="3174"/>
      <c r="G92" s="3174"/>
      <c r="H92" s="3183"/>
      <c r="I92" s="2007"/>
      <c r="J92" s="2746"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9</v>
      </c>
      <c r="D93" s="2801">
        <f>'数据-取费表'!B43</f>
        <v>6.000000000000001E-3</v>
      </c>
      <c r="E93" s="3173" t="s">
        <v>2092</v>
      </c>
      <c r="F93" s="3174"/>
      <c r="G93" s="3174"/>
      <c r="H93" s="318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184" t="s">
        <v>2112</v>
      </c>
      <c r="F94" s="3185"/>
      <c r="G94" s="3185"/>
      <c r="H94" s="318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1529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169.88888888888889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914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75"/>
      <c r="E100" s="3158" t="s">
        <v>2115</v>
      </c>
      <c r="F100" s="3158"/>
      <c r="G100" s="3158"/>
      <c r="H100" s="3175"/>
      <c r="I100" s="134"/>
    </row>
    <row r="101" spans="1:35" ht="18.75" customHeight="1">
      <c r="A101" s="3239" t="s">
        <v>2116</v>
      </c>
      <c r="B101" s="3240"/>
      <c r="C101" s="2809" t="str">
        <f>C4</f>
        <v>比较法-车位</v>
      </c>
      <c r="D101" s="2810" t="str">
        <f>D4</f>
        <v>收益法</v>
      </c>
      <c r="E101" s="3253" t="s">
        <v>2117</v>
      </c>
      <c r="F101" s="3207"/>
      <c r="G101" s="2013" t="s">
        <v>2118</v>
      </c>
      <c r="H101" s="2819">
        <f ca="1">H118</f>
        <v>1615</v>
      </c>
      <c r="I101" s="134"/>
    </row>
    <row r="102" spans="1:35" ht="18.75" customHeight="1">
      <c r="A102" s="3209" t="s">
        <v>2119</v>
      </c>
      <c r="B102" s="2808" t="s">
        <v>2118</v>
      </c>
      <c r="C102" s="2809">
        <f ca="1">C19</f>
        <v>1962</v>
      </c>
      <c r="D102" s="2810">
        <f ca="1">D19</f>
        <v>226</v>
      </c>
      <c r="E102" s="3253"/>
      <c r="F102" s="3207"/>
      <c r="G102" s="2013" t="s">
        <v>2120</v>
      </c>
      <c r="H102" s="2779">
        <f ca="1">I118</f>
        <v>1961</v>
      </c>
      <c r="I102" s="134"/>
    </row>
    <row r="103" spans="1:35" ht="42.75" customHeight="1">
      <c r="A103" s="3209"/>
      <c r="B103" s="2808" t="s">
        <v>2120</v>
      </c>
      <c r="C103" s="2811">
        <f ca="1">C20</f>
        <v>2382</v>
      </c>
      <c r="D103" s="2812">
        <f ca="1">D20</f>
        <v>274</v>
      </c>
      <c r="E103" s="3247" t="s">
        <v>2121</v>
      </c>
      <c r="F103" s="3248"/>
      <c r="G103" s="2014" t="s">
        <v>2122</v>
      </c>
      <c r="H103" s="2819">
        <f>IF(D36="正常操作",H104+H105+H106,H105+H106)</f>
        <v>0</v>
      </c>
      <c r="I103" s="134"/>
    </row>
    <row r="104" spans="1:35" ht="18.75" customHeight="1">
      <c r="A104" s="3209" t="s">
        <v>2123</v>
      </c>
      <c r="B104" s="2813" t="s">
        <v>2118</v>
      </c>
      <c r="C104" s="2814">
        <f ca="1">H118</f>
        <v>1615</v>
      </c>
      <c r="D104" s="2815"/>
      <c r="E104" s="1860" t="s">
        <v>2124</v>
      </c>
      <c r="F104" s="1851"/>
      <c r="G104" s="2014" t="s">
        <v>2122</v>
      </c>
      <c r="H104" s="2820">
        <f>IF(D36="同一抵押权人同一抵押物续贷",C36&amp;"（续贷，未扣减，详见特别提示）",C36)</f>
        <v>0</v>
      </c>
      <c r="I104" s="134"/>
    </row>
    <row r="105" spans="1:35" ht="18.75" customHeight="1" thickBot="1">
      <c r="A105" s="3210"/>
      <c r="B105" s="2816" t="s">
        <v>2120</v>
      </c>
      <c r="C105" s="2817">
        <f ca="1">I118</f>
        <v>1961</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206" t="str">
        <f>IF(项目基本情况!E8="已注销","——","3.房地产抵押价值")</f>
        <v>3.房地产抵押价值</v>
      </c>
      <c r="F107" s="3207"/>
      <c r="G107" s="2013" t="s">
        <v>2118</v>
      </c>
      <c r="H107" s="2819">
        <f ca="1">IF(E107="——","——",H101-H103)</f>
        <v>1615</v>
      </c>
      <c r="I107" s="134"/>
    </row>
    <row r="108" spans="1:35" ht="18.75" customHeight="1">
      <c r="A108" s="134"/>
      <c r="B108" s="134"/>
      <c r="C108" s="134"/>
      <c r="D108" s="134"/>
      <c r="E108" s="3206"/>
      <c r="F108" s="3207"/>
      <c r="G108" s="2013" t="s">
        <v>2120</v>
      </c>
      <c r="H108" s="2779">
        <f ca="1">ROUND(H107*10000/'数据-汇总表'!E3,0)</f>
        <v>1961</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207"/>
      <c r="G109" s="2013" t="s">
        <v>2118</v>
      </c>
      <c r="H109" s="2822" t="str">
        <f>IF(E109="——","——",H101-H105-H106)</f>
        <v>——</v>
      </c>
      <c r="I109" s="134"/>
    </row>
    <row r="110" spans="1:35" ht="18.75" customHeight="1">
      <c r="A110" s="134"/>
      <c r="B110" s="134"/>
      <c r="C110" s="134"/>
      <c r="D110" s="134"/>
      <c r="E110" s="3206"/>
      <c r="F110" s="3207"/>
      <c r="G110" s="2013" t="s">
        <v>2120</v>
      </c>
      <c r="H110" s="2779"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v>
      </c>
      <c r="F111" s="3208"/>
      <c r="G111" s="2013" t="s">
        <v>2118</v>
      </c>
      <c r="H111" s="2819" t="str">
        <f>IF(E111="——","——",N59)</f>
        <v>——</v>
      </c>
      <c r="I111" s="134"/>
    </row>
    <row r="112" spans="1:35" ht="18.75" customHeight="1" thickBot="1">
      <c r="A112" s="134"/>
      <c r="B112" s="134"/>
      <c r="C112" s="134"/>
      <c r="D112" s="134"/>
      <c r="E112" s="3242"/>
      <c r="F112" s="3243"/>
      <c r="G112" s="2016" t="s">
        <v>2120</v>
      </c>
      <c r="H112" s="2823" t="str">
        <f>IF(E111="——","——",N61)</f>
        <v>——</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4" t="s">
        <v>2128</v>
      </c>
      <c r="B115" s="3225"/>
      <c r="C115" s="3225"/>
      <c r="D115" s="3225"/>
      <c r="E115" s="3225"/>
      <c r="F115" s="3225"/>
      <c r="G115" s="3225"/>
      <c r="H115" s="3225"/>
      <c r="I115" s="3226"/>
    </row>
    <row r="116" spans="1:27" ht="27" customHeight="1">
      <c r="A116" s="3177" t="s">
        <v>2129</v>
      </c>
      <c r="B116" s="3212" t="s">
        <v>2130</v>
      </c>
      <c r="C116" s="3212" t="s">
        <v>2131</v>
      </c>
      <c r="D116" s="3228" t="s">
        <v>2132</v>
      </c>
      <c r="E116" s="3229"/>
      <c r="F116" s="3220" t="s">
        <v>2133</v>
      </c>
      <c r="G116" s="3220"/>
      <c r="H116" s="3177" t="s">
        <v>2134</v>
      </c>
      <c r="I116" s="3177"/>
    </row>
    <row r="117" spans="1:27" ht="18.75" customHeight="1">
      <c r="A117" s="3177"/>
      <c r="B117" s="3213"/>
      <c r="C117" s="3213"/>
      <c r="D117" s="2552" t="s">
        <v>2135</v>
      </c>
      <c r="E117" s="2552" t="s">
        <v>2136</v>
      </c>
      <c r="F117" s="2552" t="s">
        <v>2135</v>
      </c>
      <c r="G117" s="2552" t="s">
        <v>2137</v>
      </c>
      <c r="H117" s="2552" t="s">
        <v>2135</v>
      </c>
      <c r="I117" s="2552" t="s">
        <v>2137</v>
      </c>
    </row>
    <row r="118" spans="1:27" ht="24.75" customHeight="1">
      <c r="A118" s="2824" t="str">
        <f>项目基本情况!S2</f>
        <v>成都市武侯区晋阳路169号2栋-1层、-2层地下车库房地产</v>
      </c>
      <c r="B118" s="2552">
        <f>M18</f>
        <v>8236.73</v>
      </c>
      <c r="C118" s="2552">
        <f>M19</f>
        <v>0</v>
      </c>
      <c r="D118" s="2552">
        <f ca="1">ROUND(IF(D32="总价",C34,E118*B118/10000),0)</f>
        <v>-30506</v>
      </c>
      <c r="E118" s="2552">
        <f ca="1">ROUND(IF(C33="自定义",IF(D32="楼面单价",C34,D118*10000/B118),I118-G118),0)</f>
        <v>-37036</v>
      </c>
      <c r="F118" s="2552">
        <f ca="1">ROUND(IF(D32="总价",C35,G118*B118/10000),0)</f>
        <v>32121</v>
      </c>
      <c r="G118" s="2552">
        <f ca="1">ROUND(IF(D32="楼面单价",C35,F118*10000/B118),0)</f>
        <v>38997</v>
      </c>
      <c r="H118" s="2552">
        <f ca="1">ROUND(IF(D32="总价",C32,I118*B118/10000),0)</f>
        <v>1615</v>
      </c>
      <c r="I118" s="2552">
        <f ca="1">ROUND(IF(D32="楼面单价",C32,H118*10000/B118),0)</f>
        <v>1961</v>
      </c>
    </row>
    <row r="119" spans="1:27" ht="18.75" customHeight="1">
      <c r="A119" s="3177" t="s">
        <v>2138</v>
      </c>
      <c r="B119" s="3177"/>
      <c r="C119" s="3177"/>
      <c r="D119" s="3217" t="e">
        <f ca="1">NUMBERSTRING(INT(D118*10000),2)&amp;"元整"</f>
        <v>#NUM!</v>
      </c>
      <c r="E119" s="3219"/>
      <c r="F119" s="3217" t="str">
        <f ca="1">NUMBERSTRING(INT(F118*10000),2)&amp;"元整"</f>
        <v>叁亿贰仟壹佰贰拾壹万元整</v>
      </c>
      <c r="G119" s="3219"/>
      <c r="H119" s="3217" t="str">
        <f ca="1">NUMBERSTRING(INT(H118*10000),2)&amp;"元整"</f>
        <v>壹仟陆佰壹拾伍万元整</v>
      </c>
      <c r="I119" s="3219"/>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1" t="s">
        <v>2138</v>
      </c>
      <c r="B121" s="3222"/>
      <c r="C121" s="3223"/>
      <c r="D121" s="3217" t="str">
        <f>IF(D120=0,"零元整",NUMBERSTRING(INT(D120*10000),2)&amp;"元整")</f>
        <v>零元整</v>
      </c>
      <c r="E121" s="3218"/>
      <c r="F121" s="3218"/>
      <c r="G121" s="3218"/>
      <c r="H121" s="3218"/>
      <c r="I121" s="3219"/>
      <c r="AA121" s="734"/>
    </row>
    <row r="122" spans="1:27" ht="18.75" customHeight="1">
      <c r="A122" s="3208" t="str">
        <f>IF(项目基本情况!B9="房地产市场价值","",MID(E107,3,LEN(E107)-2))</f>
        <v>房地产抵押价值</v>
      </c>
      <c r="B122" s="3208"/>
      <c r="C122" s="3208"/>
      <c r="D122" s="3244">
        <f ca="1">H107</f>
        <v>1615</v>
      </c>
      <c r="E122" s="3245"/>
      <c r="F122" s="3245"/>
      <c r="G122" s="3245"/>
      <c r="H122" s="3245"/>
      <c r="I122" s="3246"/>
      <c r="AA122" s="734"/>
    </row>
    <row r="123" spans="1:27" ht="18.75" customHeight="1">
      <c r="A123" s="3177" t="s">
        <v>2138</v>
      </c>
      <c r="B123" s="3177"/>
      <c r="C123" s="3177"/>
      <c r="D123" s="3217" t="str">
        <f ca="1">NUMBERSTRING(INT(D122*10000),2)&amp;"元整"</f>
        <v>壹仟陆佰壹拾伍万元整</v>
      </c>
      <c r="E123" s="3218"/>
      <c r="F123" s="3218"/>
      <c r="G123" s="3218"/>
      <c r="H123" s="3218"/>
      <c r="I123" s="3219"/>
      <c r="AA123" s="734"/>
    </row>
    <row r="124" spans="1:27" ht="18.75" customHeight="1">
      <c r="A124" s="3208" t="str">
        <f>IF(项目基本情况!B9="房地产市场价值","",MID(E109,3,LEN(E109)-2))</f>
        <v/>
      </c>
      <c r="B124" s="3208"/>
      <c r="C124" s="3208"/>
      <c r="D124" s="3244" t="str">
        <f>H109</f>
        <v>——</v>
      </c>
      <c r="E124" s="3245"/>
      <c r="F124" s="3245"/>
      <c r="G124" s="3245"/>
      <c r="H124" s="3245"/>
      <c r="I124" s="3246"/>
      <c r="AA124" s="734"/>
    </row>
    <row r="125" spans="1:27" ht="18.75" customHeight="1">
      <c r="A125" s="3177" t="s">
        <v>2138</v>
      </c>
      <c r="B125" s="3177"/>
      <c r="C125" s="3177"/>
      <c r="D125" s="3217" t="e">
        <f>NUMBERSTRING(INT(D124*10000),2)&amp;"元整"</f>
        <v>#VALUE!</v>
      </c>
      <c r="E125" s="3218"/>
      <c r="F125" s="3218"/>
      <c r="G125" s="3218"/>
      <c r="H125" s="3218"/>
      <c r="I125" s="3219"/>
      <c r="AA125" s="734"/>
    </row>
    <row r="126" spans="1:27" ht="18.75" customHeight="1">
      <c r="A126" s="3208" t="str">
        <f>IF(项目基本情况!B9="房地产市场价值","",MID(E111,3,LEN(E111)-2))</f>
        <v/>
      </c>
      <c r="B126" s="3208"/>
      <c r="C126" s="3208"/>
      <c r="D126" s="3244" t="str">
        <f>H111</f>
        <v>——</v>
      </c>
      <c r="E126" s="3245"/>
      <c r="F126" s="3245"/>
      <c r="G126" s="3245"/>
      <c r="H126" s="3245"/>
      <c r="I126" s="3246"/>
      <c r="AA126" s="734"/>
    </row>
    <row r="127" spans="1:27" ht="18.75" customHeight="1">
      <c r="A127" s="3177" t="s">
        <v>2138</v>
      </c>
      <c r="B127" s="3177"/>
      <c r="C127" s="3177"/>
      <c r="D127" s="3217" t="e">
        <f>NUMBERSTRING(INT(D126*10000),2)&amp;"元整"</f>
        <v>#VALUE!</v>
      </c>
      <c r="E127" s="3218"/>
      <c r="F127" s="3218"/>
      <c r="G127" s="3218"/>
      <c r="H127" s="3218"/>
      <c r="I127" s="3219"/>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zoomScaleSheetLayoutView="80" workbookViewId="0">
      <selection activeCell="I42" sqref="I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3072</v>
      </c>
      <c r="C1" s="204"/>
      <c r="D1" s="204"/>
      <c r="E1" s="204"/>
      <c r="F1" s="204"/>
      <c r="G1" s="1288">
        <f>MATCH(B1,'数据-取费表'!A6:A16,0)+5</f>
        <v>6</v>
      </c>
    </row>
    <row r="2" spans="1:9" s="206" customFormat="1" ht="18" customHeight="1">
      <c r="A2" s="207" t="s">
        <v>2148</v>
      </c>
      <c r="B2" s="208">
        <f ca="1">IF(D2="——",C52,C52-E2)</f>
        <v>21100</v>
      </c>
      <c r="C2" s="205" t="s">
        <v>2149</v>
      </c>
      <c r="D2" s="2039" t="s">
        <v>70</v>
      </c>
      <c r="E2" s="1331">
        <f ca="1">SUMIF(INDIRECT("'"&amp;G2&amp;"'"&amp;"!A:A"),"承租人权益价值",INDIRECT("'"&amp;G2&amp;"'"&amp;"!c:c"))</f>
        <v>0</v>
      </c>
      <c r="F2" s="2040" t="s">
        <v>2149</v>
      </c>
      <c r="G2" s="2041" t="s">
        <v>3281</v>
      </c>
    </row>
    <row r="3" spans="1:9" s="206" customFormat="1" ht="18" customHeight="1" thickBot="1">
      <c r="A3" s="209" t="s">
        <v>2150</v>
      </c>
      <c r="B3" s="210">
        <f ca="1">ROUND(B2*10000/(IF(B1="",'数据-汇总表'!E3,INDIRECT("'数据-取费表'!k"&amp;$G$1))),0)</f>
        <v>25617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15029</v>
      </c>
      <c r="D5" s="217" t="s">
        <v>2155</v>
      </c>
      <c r="E5" s="218" t="s">
        <v>2156</v>
      </c>
      <c r="F5" s="218" t="s">
        <v>2157</v>
      </c>
      <c r="G5" s="219"/>
    </row>
    <row r="6" spans="1:9" s="220" customFormat="1" ht="13.5" customHeight="1">
      <c r="A6" s="886" t="s">
        <v>2158</v>
      </c>
      <c r="B6" s="221" t="s">
        <v>2159</v>
      </c>
      <c r="C6" s="222">
        <f>'土地比较法-住宅、综合'!C48</f>
        <v>14473</v>
      </c>
      <c r="D6" s="223"/>
      <c r="E6" s="224"/>
      <c r="F6" s="224"/>
      <c r="G6" s="225"/>
    </row>
    <row r="7" spans="1:9" s="220" customFormat="1" ht="13.5" customHeight="1">
      <c r="A7" s="886" t="s">
        <v>2160</v>
      </c>
      <c r="B7" s="221" t="s">
        <v>2161</v>
      </c>
      <c r="C7" s="226">
        <f>ROUND(C6*F7,0)</f>
        <v>441</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115</v>
      </c>
      <c r="D8" s="228"/>
      <c r="E8" s="226"/>
      <c r="F8" s="227"/>
      <c r="G8" s="2042" t="s">
        <v>3294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140</v>
      </c>
      <c r="F9" s="227"/>
      <c r="G9" s="2043" t="s">
        <v>3295</v>
      </c>
      <c r="H9" s="1299"/>
      <c r="I9" s="2044" t="s">
        <v>2165</v>
      </c>
    </row>
    <row r="10" spans="1:9" s="220" customFormat="1" ht="13.5" customHeight="1">
      <c r="A10" s="887" t="s">
        <v>801</v>
      </c>
      <c r="B10" s="230" t="s">
        <v>2166</v>
      </c>
      <c r="C10" s="231">
        <f ca="1">ROUND(D10*E10/10000,0)</f>
        <v>115</v>
      </c>
      <c r="D10" s="954">
        <f ca="1">IF(B1="",'数据-汇总表'!E6,IF(INDIRECT("'数据-取费表'!c"&amp;$G$1)="住宅",INDIRECT("'数据-取费表'!s"&amp;$G$1),INDIRECT("'数据-取费表'!k"&amp;$G$1)+INDIRECT("'数据-取费表'!s"&amp;$G$1)))</f>
        <v>8236.73</v>
      </c>
      <c r="E10" s="231">
        <f>'数据-取费表'!B28</f>
        <v>140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8236.73</v>
      </c>
      <c r="E19" s="217">
        <f>'数据-取费表'!B31</f>
        <v>200</v>
      </c>
      <c r="F19" s="237"/>
      <c r="G19" s="2042" t="s">
        <v>3296</v>
      </c>
    </row>
    <row r="20" spans="1:7" s="220" customFormat="1" ht="13.5" customHeight="1">
      <c r="A20" s="261" t="s">
        <v>2179</v>
      </c>
      <c r="B20" s="216" t="s">
        <v>2180</v>
      </c>
      <c r="C20" s="238">
        <f ca="1">ROUND((C5+C19)*F20,0)</f>
        <v>301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1349</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1336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767</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767</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18865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2317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2059</v>
      </c>
      <c r="D34" s="223"/>
      <c r="E34" s="226"/>
      <c r="F34" s="263">
        <f ca="1">IF('数据-取费表'!B24=0,1,IF(B1="",'数据-取费表'!N16,INDIRECT("'数据-取费表'!n"&amp;$G$1)))</f>
        <v>1</v>
      </c>
      <c r="G34" s="225" t="s">
        <v>2212</v>
      </c>
    </row>
    <row r="35" spans="1:7" ht="13.5" customHeight="1">
      <c r="A35" s="888" t="s">
        <v>796</v>
      </c>
      <c r="B35" s="221" t="s">
        <v>2213</v>
      </c>
      <c r="C35" s="226">
        <f ca="1">ROUND(C34*F35,0)</f>
        <v>62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165</v>
      </c>
      <c r="D37" s="223">
        <f ca="1">D19</f>
        <v>8236.73</v>
      </c>
      <c r="E37" s="255">
        <f>'数据-取费表'!B35</f>
        <v>200</v>
      </c>
      <c r="F37" s="265"/>
      <c r="G37" s="267" t="s">
        <v>2218</v>
      </c>
    </row>
    <row r="38" spans="1:7" ht="13.5" customHeight="1">
      <c r="A38" s="888" t="s">
        <v>799</v>
      </c>
      <c r="B38" s="221" t="s">
        <v>2219</v>
      </c>
      <c r="C38" s="226">
        <f ca="1">ROUND(C34*F38,0)</f>
        <v>31</v>
      </c>
      <c r="D38" s="226"/>
      <c r="E38" s="226"/>
      <c r="F38" s="265">
        <f>'数据-取费表'!B36</f>
        <v>1.4999999999999999E-2</v>
      </c>
      <c r="G38" s="225" t="s">
        <v>2214</v>
      </c>
    </row>
    <row r="39" spans="1:7" s="220" customFormat="1" ht="13.5" customHeight="1">
      <c r="A39" s="261" t="s">
        <v>2220</v>
      </c>
      <c r="B39" s="216" t="s">
        <v>2221</v>
      </c>
      <c r="C39" s="238">
        <f ca="1">ROUND(C33*F20,0)</f>
        <v>46</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103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101</v>
      </c>
      <c r="D42" s="244"/>
      <c r="E42" s="244"/>
      <c r="F42" s="245"/>
      <c r="G42" s="3260" t="s">
        <v>2230</v>
      </c>
    </row>
    <row r="43" spans="1:7" ht="13.5" customHeight="1">
      <c r="A43" s="888" t="s">
        <v>792</v>
      </c>
      <c r="B43" s="221" t="s">
        <v>2231</v>
      </c>
      <c r="C43" s="244">
        <f ca="1">ROUND(IF('数据-取费表'!B22&lt;=1,C39*F22*'数据-取费表'!B21/2,C39*(POWER((1+F22),'数据-取费表'!B21/2)-1)),0)</f>
        <v>2</v>
      </c>
      <c r="D43" s="244"/>
      <c r="E43" s="244"/>
      <c r="F43" s="245"/>
      <c r="G43" s="3261"/>
    </row>
    <row r="44" spans="1:7" ht="13.5" customHeight="1">
      <c r="A44" s="888" t="s">
        <v>793</v>
      </c>
      <c r="B44" s="221" t="s">
        <v>2232</v>
      </c>
      <c r="C44" s="244">
        <f ca="1">ROUND(IF('数据-取费表'!B22&lt;=1,C40*F22*'数据-取费表'!B21/2,C40*(POWER((1+F22),'数据-取费表'!B21/2)-1)),4)</f>
        <v>8.9999999999999998E-4</v>
      </c>
      <c r="D44" s="244"/>
      <c r="E44" s="244"/>
      <c r="F44" s="245"/>
      <c r="G44" s="3262"/>
    </row>
    <row r="45" spans="1:7" s="220" customFormat="1" ht="13.5" customHeight="1">
      <c r="A45" s="261" t="s">
        <v>2233</v>
      </c>
      <c r="B45" s="250" t="s">
        <v>2199</v>
      </c>
      <c r="C45" s="251">
        <f ca="1">C46</f>
        <v>118</v>
      </c>
      <c r="D45" s="241">
        <f ca="1">C47</f>
        <v>1E-3</v>
      </c>
      <c r="E45" s="242" t="s">
        <v>2225</v>
      </c>
      <c r="F45" s="2537">
        <f ca="1">F27</f>
        <v>0.05</v>
      </c>
      <c r="G45" s="253" t="s">
        <v>2234</v>
      </c>
    </row>
    <row r="46" spans="1:7" s="220" customFormat="1" ht="13.5" customHeight="1">
      <c r="A46" s="888" t="s">
        <v>791</v>
      </c>
      <c r="B46" s="254" t="s">
        <v>2235</v>
      </c>
      <c r="C46" s="255">
        <f ca="1">ROUND((C33+C39)*F27,0)</f>
        <v>118</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2794</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2235</v>
      </c>
      <c r="D51" s="238"/>
      <c r="E51" s="238"/>
      <c r="F51" s="270"/>
      <c r="G51" s="240" t="s">
        <v>2246</v>
      </c>
    </row>
    <row r="52" spans="1:7" s="214" customFormat="1" ht="16.5" thickBot="1">
      <c r="A52" s="271" t="s">
        <v>2247</v>
      </c>
      <c r="B52" s="272"/>
      <c r="C52" s="273">
        <f ca="1">C31+C51</f>
        <v>21100</v>
      </c>
      <c r="D52" s="272"/>
      <c r="E52" s="272"/>
      <c r="F52" s="272"/>
      <c r="G52" s="274"/>
    </row>
    <row r="55" spans="1:7" ht="15">
      <c r="B55" s="276" t="s">
        <v>2248</v>
      </c>
      <c r="C55" s="277"/>
    </row>
    <row r="56" spans="1:7">
      <c r="B56" s="279" t="s">
        <v>1478</v>
      </c>
      <c r="C56" s="281">
        <f ca="1">1-C57</f>
        <v>0.89400000000000002</v>
      </c>
    </row>
    <row r="57" spans="1:7">
      <c r="B57" s="279" t="s">
        <v>1479</v>
      </c>
      <c r="C57" s="280">
        <f ca="1">ROUND(C51/C52,3)</f>
        <v>0.106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成都市武侯区晋阳路169号2栋-1层、-2层地下车库预评估</v>
      </c>
      <c r="C37" s="3071"/>
      <c r="D37" s="3071"/>
      <c r="E37" s="3071"/>
      <c r="F37" s="3071"/>
      <c r="G37" s="3071"/>
      <c r="H37" s="3071"/>
      <c r="I37" s="307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M24" sqref="M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2587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3141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1153142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1153142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140</v>
      </c>
      <c r="F9" s="227"/>
      <c r="G9" s="232"/>
    </row>
    <row r="10" spans="1:8" s="220" customFormat="1" ht="13.5" customHeight="1">
      <c r="A10" s="887" t="s">
        <v>801</v>
      </c>
      <c r="B10" s="230" t="s">
        <v>2166</v>
      </c>
      <c r="C10" s="231">
        <f ca="1">ROUND(D10*E10,0)</f>
        <v>1153142</v>
      </c>
      <c r="D10" s="954">
        <f ca="1">IF(B1="",'数据-汇总表'!E6,IF(INDIRECT("'数据-取费表'!c"&amp;$G$1)="住宅",INDIRECT("'数据-取费表'!s"&amp;$G$1),INDIRECT("'数据-取费表'!k"&amp;$G$1)+INDIRECT("'数据-取费表'!s"&amp;$G$1)))</f>
        <v>8236.73</v>
      </c>
      <c r="E10" s="231">
        <f>'数据-取费表'!B28</f>
        <v>140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1647346</v>
      </c>
      <c r="D19" s="958">
        <f ca="1">D9+D10</f>
        <v>8236.73</v>
      </c>
      <c r="E19" s="217">
        <f>'数据-取费表'!B31</f>
        <v>200</v>
      </c>
      <c r="F19" s="237"/>
      <c r="G19" s="2042"/>
    </row>
    <row r="20" spans="1:7" s="220" customFormat="1" ht="13.5" customHeight="1">
      <c r="A20" s="261" t="s">
        <v>2260</v>
      </c>
      <c r="B20" s="216" t="s">
        <v>2261</v>
      </c>
      <c r="C20" s="238">
        <f ca="1">ROUND((C5+C19)*F20,0)</f>
        <v>56010</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251377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102505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146436</v>
      </c>
      <c r="D24" s="244"/>
      <c r="E24" s="244"/>
      <c r="F24" s="245"/>
      <c r="G24" s="246" t="s">
        <v>2272</v>
      </c>
    </row>
    <row r="25" spans="1:7" s="220" customFormat="1" ht="24">
      <c r="A25" s="888" t="s">
        <v>2162</v>
      </c>
      <c r="B25" s="221" t="s">
        <v>2273</v>
      </c>
      <c r="C25" s="1290">
        <f ca="1">ROUND(IF('数据-取费表'!B22&lt;=1,C20*F22*'数据-取费表'!B22/2,C20*(POWER((1+F22),'数据-取费表'!B22/2)-1)),0)</f>
        <v>2436</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142825</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142825</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3515030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23165803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20591825</v>
      </c>
      <c r="D34" s="223"/>
      <c r="E34" s="226"/>
      <c r="F34" s="263"/>
      <c r="G34" s="225"/>
    </row>
    <row r="35" spans="1:7" ht="13.5" customHeight="1">
      <c r="A35" s="888" t="s">
        <v>796</v>
      </c>
      <c r="B35" s="221" t="s">
        <v>2213</v>
      </c>
      <c r="C35" s="226">
        <f ca="1">ROUND(C34*F35,0)</f>
        <v>617755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1647346</v>
      </c>
      <c r="D37" s="223">
        <f ca="1">D19</f>
        <v>8236.73</v>
      </c>
      <c r="E37" s="255">
        <f>'数据-取费表'!B35</f>
        <v>200</v>
      </c>
      <c r="F37" s="265"/>
      <c r="G37" s="267"/>
    </row>
    <row r="38" spans="1:7" ht="13.5" customHeight="1">
      <c r="A38" s="888" t="s">
        <v>799</v>
      </c>
      <c r="B38" s="221" t="s">
        <v>2219</v>
      </c>
      <c r="C38" s="226">
        <f ca="1">ROUND(C34*F38,0)</f>
        <v>308877</v>
      </c>
      <c r="D38" s="226"/>
      <c r="E38" s="226"/>
      <c r="F38" s="265">
        <f>'数据-取费表'!B36</f>
        <v>1.4999999999999999E-2</v>
      </c>
      <c r="G38" s="225" t="s">
        <v>2214</v>
      </c>
    </row>
    <row r="39" spans="1:7" s="220" customFormat="1" ht="13.5" customHeight="1">
      <c r="A39" s="261" t="s">
        <v>2220</v>
      </c>
      <c r="B39" s="216" t="s">
        <v>2221</v>
      </c>
      <c r="C39" s="238">
        <f ca="1">ROUND(C33*F20,0)</f>
        <v>463316</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1027866</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1007712</v>
      </c>
      <c r="D42" s="244"/>
      <c r="E42" s="244"/>
      <c r="F42" s="245"/>
      <c r="G42" s="3260" t="s">
        <v>2277</v>
      </c>
    </row>
    <row r="43" spans="1:7" ht="13.5" customHeight="1">
      <c r="A43" s="888" t="s">
        <v>792</v>
      </c>
      <c r="B43" s="221" t="s">
        <v>2231</v>
      </c>
      <c r="C43" s="244">
        <f ca="1">ROUND(IF('数据-取费表'!B22&lt;=1,C39*F22*'数据-取费表'!B20/2,C39*(POWER((1+F22),'数据-取费表'!B20/2)-1)),0)</f>
        <v>20154</v>
      </c>
      <c r="D43" s="244"/>
      <c r="E43" s="244"/>
      <c r="F43" s="245"/>
      <c r="G43" s="3261"/>
    </row>
    <row r="44" spans="1:7" ht="13.5" customHeight="1">
      <c r="A44" s="888" t="s">
        <v>793</v>
      </c>
      <c r="B44" s="221" t="s">
        <v>2232</v>
      </c>
      <c r="C44" s="244">
        <f ca="1">ROUND(IF('数据-取费表'!B22&lt;=1,C40*F22*'数据-取费表'!B20/2,C40*(POWER((1+F22),'数据-取费表'!B20/2)-1)),4)</f>
        <v>8.9999999999999998E-4</v>
      </c>
      <c r="D44" s="244"/>
      <c r="E44" s="244"/>
      <c r="F44" s="245"/>
      <c r="G44" s="3262"/>
    </row>
    <row r="45" spans="1:7" s="220" customFormat="1" ht="13.5" customHeight="1">
      <c r="A45" s="261" t="s">
        <v>2233</v>
      </c>
      <c r="B45" s="250" t="s">
        <v>2199</v>
      </c>
      <c r="C45" s="251">
        <f ca="1">C46</f>
        <v>1181456</v>
      </c>
      <c r="D45" s="241">
        <f ca="1">C47</f>
        <v>1E-3</v>
      </c>
      <c r="E45" s="242" t="s">
        <v>2225</v>
      </c>
      <c r="F45" s="2537">
        <f ca="1">F27</f>
        <v>0.05</v>
      </c>
      <c r="G45" s="253" t="s">
        <v>2234</v>
      </c>
    </row>
    <row r="46" spans="1:7" s="220" customFormat="1" ht="13.5" customHeight="1">
      <c r="A46" s="888" t="s">
        <v>791</v>
      </c>
      <c r="B46" s="254" t="s">
        <v>2235</v>
      </c>
      <c r="C46" s="255">
        <f ca="1">ROUND((C33+C39)*F27,0)</f>
        <v>1181456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27939491</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22351593</v>
      </c>
      <c r="D51" s="238"/>
      <c r="E51" s="238"/>
      <c r="F51" s="270"/>
      <c r="G51" s="240" t="s">
        <v>2246</v>
      </c>
    </row>
    <row r="52" spans="1:7" s="214" customFormat="1" ht="16.5" thickBot="1">
      <c r="A52" s="271" t="s">
        <v>2247</v>
      </c>
      <c r="B52" s="272"/>
      <c r="C52" s="273">
        <f ca="1">C31+C51</f>
        <v>25866623</v>
      </c>
      <c r="D52" s="272"/>
      <c r="E52" s="272"/>
      <c r="F52" s="272"/>
      <c r="G52" s="274"/>
    </row>
    <row r="55" spans="1:7" ht="15">
      <c r="B55" s="276" t="s">
        <v>2248</v>
      </c>
      <c r="C55" s="277"/>
    </row>
    <row r="56" spans="1:7">
      <c r="B56" s="279" t="s">
        <v>1478</v>
      </c>
      <c r="C56" s="281">
        <f ca="1">1-C57</f>
        <v>0.13600000000000001</v>
      </c>
    </row>
    <row r="57" spans="1:7">
      <c r="B57" s="279" t="s">
        <v>1479</v>
      </c>
      <c r="C57" s="280">
        <f ca="1">ROUND(C51/C52,3)</f>
        <v>0.86399999999999999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8236.73</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8236.73</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140</v>
      </c>
      <c r="F19" s="913"/>
      <c r="G19" s="15"/>
      <c r="H19" s="1351"/>
      <c r="I19" s="918"/>
      <c r="J19" s="918"/>
      <c r="K19" s="919"/>
    </row>
    <row r="20" spans="1:33" s="912" customFormat="1" ht="13.5" customHeight="1">
      <c r="A20" s="908" t="s">
        <v>806</v>
      </c>
      <c r="B20" s="909" t="s">
        <v>2316</v>
      </c>
      <c r="C20" s="24">
        <f ca="1">ROUND(D20*E20/10000,0)</f>
        <v>115</v>
      </c>
      <c r="D20" s="955">
        <f ca="1">IF(C1="",'数据-汇总表'!E6,IF(INDIRECT("'数据-取费表'!c"&amp;$K$1)="住宅",INDIRECT("'数据-取费表'!s"&amp;$K$1),INDIRECT("'数据-取费表'!k"&amp;$K$1)+INDIRECT("'数据-取费表'!s"&amp;$K$1)))</f>
        <v>8236.73</v>
      </c>
      <c r="E20" s="24">
        <f>'数据-取费表'!B28</f>
        <v>140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13" zoomScale="80" zoomScaleNormal="60" zoomScaleSheetLayoutView="80" workbookViewId="0">
      <selection activeCell="M15" sqref="M1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267" t="s">
        <v>2467</v>
      </c>
      <c r="D4" s="3280"/>
      <c r="E4" s="3281" t="s">
        <v>2468</v>
      </c>
      <c r="F4" s="3282"/>
      <c r="G4" s="3267" t="s">
        <v>2469</v>
      </c>
      <c r="H4" s="3280"/>
      <c r="I4" s="3267" t="s">
        <v>2470</v>
      </c>
      <c r="J4" s="3280"/>
      <c r="K4" s="567" t="s">
        <v>2471</v>
      </c>
      <c r="L4" s="2942"/>
      <c r="M4" s="2943"/>
      <c r="N4" s="2943"/>
      <c r="O4" s="2943"/>
      <c r="P4" s="3283" t="s">
        <v>2472</v>
      </c>
      <c r="Q4" s="3284"/>
      <c r="R4" s="3289" t="s">
        <v>2468</v>
      </c>
      <c r="S4" s="3290"/>
      <c r="T4" s="3289" t="s">
        <v>2469</v>
      </c>
      <c r="U4" s="3290"/>
      <c r="V4" s="3276" t="s">
        <v>2470</v>
      </c>
      <c r="W4" s="3276"/>
      <c r="X4" s="1539"/>
      <c r="Y4" s="3289" t="s">
        <v>2472</v>
      </c>
      <c r="Z4" s="3290"/>
      <c r="AA4" s="3277" t="s">
        <v>2468</v>
      </c>
      <c r="AB4" s="3278" t="s">
        <v>2469</v>
      </c>
      <c r="AC4" s="3277" t="s">
        <v>2470</v>
      </c>
    </row>
    <row r="5" spans="1:30" ht="30" customHeight="1">
      <c r="A5" s="364"/>
      <c r="B5" s="365"/>
      <c r="C5" s="3297" t="s">
        <v>2363</v>
      </c>
      <c r="D5" s="3298"/>
      <c r="E5" s="3304" t="str">
        <f>Sheet0!A2</f>
        <v>武侯区金花桥街道花龙门村3、4组</v>
      </c>
      <c r="F5" s="3305"/>
      <c r="G5" s="3297" t="str">
        <f>Sheet0!A3</f>
        <v>武侯区金花桥街道川西营社区1、2组和九龙社区4组</v>
      </c>
      <c r="H5" s="3298"/>
      <c r="I5" s="3297" t="str">
        <f>Sheet0!A4</f>
        <v>武侯区机投桥街道半边街社区5、6、7组</v>
      </c>
      <c r="J5" s="3298"/>
      <c r="K5" s="567"/>
      <c r="L5" s="2942"/>
      <c r="M5" s="2943"/>
      <c r="N5" s="2943"/>
      <c r="O5" s="2943"/>
      <c r="P5" s="3285"/>
      <c r="Q5" s="3286"/>
      <c r="R5" s="3291"/>
      <c r="S5" s="3292"/>
      <c r="T5" s="3291"/>
      <c r="U5" s="3292"/>
      <c r="V5" s="3276"/>
      <c r="W5" s="3276"/>
      <c r="X5" s="1539"/>
      <c r="Y5" s="3291"/>
      <c r="Z5" s="3292"/>
      <c r="AA5" s="3278"/>
      <c r="AB5" s="3278"/>
      <c r="AC5" s="3278"/>
    </row>
    <row r="6" spans="1:30" ht="15.75" thickBot="1">
      <c r="A6" s="366"/>
      <c r="B6" s="367"/>
      <c r="C6" s="3295" t="s">
        <v>2367</v>
      </c>
      <c r="D6" s="3296"/>
      <c r="E6" s="3302" t="s">
        <v>2367</v>
      </c>
      <c r="F6" s="3303"/>
      <c r="G6" s="3295" t="s">
        <v>2367</v>
      </c>
      <c r="H6" s="3296"/>
      <c r="I6" s="3295" t="s">
        <v>2367</v>
      </c>
      <c r="J6" s="3296"/>
      <c r="K6" s="567" t="s">
        <v>2368</v>
      </c>
      <c r="L6" s="2942"/>
      <c r="M6" s="2943"/>
      <c r="N6" s="2943"/>
      <c r="O6" s="2943"/>
      <c r="P6" s="3287"/>
      <c r="Q6" s="3288"/>
      <c r="R6" s="3291"/>
      <c r="S6" s="3292"/>
      <c r="T6" s="3293"/>
      <c r="U6" s="3294"/>
      <c r="V6" s="3276"/>
      <c r="W6" s="3276"/>
      <c r="X6" s="1539"/>
      <c r="Y6" s="3293"/>
      <c r="Z6" s="3294"/>
      <c r="AA6" s="3279"/>
      <c r="AB6" s="3279"/>
      <c r="AC6" s="3279"/>
    </row>
    <row r="7" spans="1:30" s="113" customFormat="1" ht="15.75" thickBot="1">
      <c r="A7" s="368" t="s">
        <v>2369</v>
      </c>
      <c r="B7" s="369"/>
      <c r="C7" s="370">
        <f>'数据-取费表'!B2</f>
        <v>44313</v>
      </c>
      <c r="D7" s="371">
        <v>100</v>
      </c>
      <c r="E7" s="372" t="str">
        <f>Sheet0!J2</f>
        <v>2021-01-19</v>
      </c>
      <c r="F7" s="373">
        <f>SUMIF(70:70,YEAR(E7)&amp;"-"&amp;INT((MONTH(E7)+2)/3),71:71)</f>
        <v>100</v>
      </c>
      <c r="G7" s="2160" t="str">
        <f>Sheet0!J3</f>
        <v>2021-01-07</v>
      </c>
      <c r="H7" s="371">
        <f>SUMIF(70:70,YEAR(G7)&amp;"-"&amp;INT((MONTH(G7)+2)/3),71:71)</f>
        <v>100</v>
      </c>
      <c r="I7" s="2160" t="str">
        <f>Sheet0!J4</f>
        <v>2021-01-06</v>
      </c>
      <c r="J7" s="371">
        <f>SUMIF(70:70,YEAR(I7)&amp;"-"&amp;INT((MONTH(I7)+2)/3),71:71)</f>
        <v>100</v>
      </c>
      <c r="K7" s="568"/>
      <c r="L7" s="2944"/>
      <c r="M7" s="2945"/>
      <c r="N7" s="2945"/>
      <c r="O7" s="2945"/>
      <c r="P7" s="3299" t="s">
        <v>2370</v>
      </c>
      <c r="Q7" s="3301"/>
      <c r="R7" s="710" t="s">
        <v>17</v>
      </c>
      <c r="S7" s="711">
        <f t="shared" ref="S7:S15" si="0">F7</f>
        <v>100</v>
      </c>
      <c r="T7" s="710" t="s">
        <v>17</v>
      </c>
      <c r="U7" s="711">
        <f t="shared" ref="U7:U15" si="1">H7</f>
        <v>100</v>
      </c>
      <c r="V7" s="710" t="s">
        <v>17</v>
      </c>
      <c r="W7" s="711">
        <f t="shared" ref="W7:W15" si="2">J7</f>
        <v>100</v>
      </c>
      <c r="X7" s="712"/>
      <c r="Y7" s="3299" t="s">
        <v>2370</v>
      </c>
      <c r="Z7" s="3300"/>
      <c r="AA7" s="713">
        <f>D7/F7</f>
        <v>1</v>
      </c>
      <c r="AB7" s="713">
        <f>D7/H7</f>
        <v>1</v>
      </c>
      <c r="AC7" s="713">
        <f>D7/J7</f>
        <v>1</v>
      </c>
    </row>
    <row r="8" spans="1:30" s="113" customFormat="1" ht="15.75" thickBot="1">
      <c r="A8" s="368" t="s">
        <v>2371</v>
      </c>
      <c r="B8" s="369"/>
      <c r="C8" s="374" t="s">
        <v>2372</v>
      </c>
      <c r="D8" s="371">
        <v>100</v>
      </c>
      <c r="E8" s="374" t="s">
        <v>3280</v>
      </c>
      <c r="F8" s="373">
        <f>SUMIF(73:73,E8,74:74)-SUMIF(73:73,C8,74:74)+100</f>
        <v>100</v>
      </c>
      <c r="G8" s="374" t="s">
        <v>3280</v>
      </c>
      <c r="H8" s="371">
        <f>SUMIF(73:73,G8,74:74)-SUMIF(73:73,C8,74:74)+100</f>
        <v>100</v>
      </c>
      <c r="I8" s="374" t="s">
        <v>3280</v>
      </c>
      <c r="J8" s="371">
        <f>SUMIF(73:73,I8,74:74)-SUMIF(73:73,C8,74:74)+100</f>
        <v>100</v>
      </c>
      <c r="K8" s="568"/>
      <c r="L8" s="2944"/>
      <c r="M8" s="2945"/>
      <c r="N8" s="2945"/>
      <c r="O8" s="2945"/>
      <c r="P8" s="3299" t="s">
        <v>2373</v>
      </c>
      <c r="Q8" s="3300"/>
      <c r="R8" s="710" t="s">
        <v>17</v>
      </c>
      <c r="S8" s="711">
        <f t="shared" si="0"/>
        <v>100</v>
      </c>
      <c r="T8" s="710" t="s">
        <v>17</v>
      </c>
      <c r="U8" s="711">
        <f t="shared" si="1"/>
        <v>100</v>
      </c>
      <c r="V8" s="710" t="s">
        <v>17</v>
      </c>
      <c r="W8" s="711">
        <f t="shared" si="2"/>
        <v>100</v>
      </c>
      <c r="X8" s="712"/>
      <c r="Y8" s="3299" t="s">
        <v>2373</v>
      </c>
      <c r="Z8" s="3300"/>
      <c r="AA8" s="713">
        <f t="shared" ref="AA8:AA45" si="3">D8/F8</f>
        <v>1</v>
      </c>
      <c r="AB8" s="713">
        <f t="shared" ref="AB8:AB45" si="4">D8/H8</f>
        <v>1</v>
      </c>
      <c r="AC8" s="713">
        <f t="shared" ref="AC8:AC45" si="5">D8/J8</f>
        <v>1</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27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6"/>
      <c r="M10" s="2947"/>
      <c r="N10" s="2947"/>
      <c r="O10" s="3000"/>
      <c r="P10" s="3270"/>
      <c r="Q10" s="1527" t="str">
        <f t="shared" si="6"/>
        <v>土地使用年限（年）</v>
      </c>
      <c r="R10" s="710" t="s">
        <v>17</v>
      </c>
      <c r="S10" s="711">
        <f t="shared" si="0"/>
        <v>105</v>
      </c>
      <c r="T10" s="710" t="s">
        <v>17</v>
      </c>
      <c r="U10" s="711">
        <f t="shared" si="1"/>
        <v>105</v>
      </c>
      <c r="V10" s="710" t="s">
        <v>17</v>
      </c>
      <c r="W10" s="711">
        <f t="shared" si="2"/>
        <v>105</v>
      </c>
      <c r="X10" s="712"/>
      <c r="Y10" s="3164"/>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v>5.89</v>
      </c>
      <c r="D11" s="132">
        <v>100</v>
      </c>
      <c r="E11" s="388">
        <v>1.5</v>
      </c>
      <c r="F11" s="132">
        <f>LOOKUP(E11,80:80,81:81)-LOOKUP(C11,80:80,81:81)+100</f>
        <v>100</v>
      </c>
      <c r="G11" s="389">
        <v>1.5</v>
      </c>
      <c r="H11" s="132">
        <f>LOOKUP(G11,80:80,81:81)-LOOKUP(C11,80:80,81:81)+100</f>
        <v>100</v>
      </c>
      <c r="I11" s="388">
        <v>2</v>
      </c>
      <c r="J11" s="132">
        <f>LOOKUP(I11,80:80,81:81)-LOOKUP(C11,80:80,81:81)+100</f>
        <v>100</v>
      </c>
      <c r="K11" s="629"/>
      <c r="L11" s="2948"/>
      <c r="M11" s="2943"/>
      <c r="N11" s="2943"/>
      <c r="O11" s="3001"/>
      <c r="P11" s="3270"/>
      <c r="Q11" s="1527" t="str">
        <f t="shared" si="6"/>
        <v>容积率</v>
      </c>
      <c r="R11" s="710" t="s">
        <v>17</v>
      </c>
      <c r="S11" s="711">
        <f t="shared" si="0"/>
        <v>100</v>
      </c>
      <c r="T11" s="710" t="s">
        <v>17</v>
      </c>
      <c r="U11" s="711">
        <f t="shared" si="1"/>
        <v>100</v>
      </c>
      <c r="V11" s="710" t="s">
        <v>17</v>
      </c>
      <c r="W11" s="711">
        <f t="shared" si="2"/>
        <v>100</v>
      </c>
      <c r="X11" s="712"/>
      <c r="Y11" s="3164"/>
      <c r="Z11" s="55" t="str">
        <f t="shared" si="7"/>
        <v>容积率</v>
      </c>
      <c r="AA11" s="713">
        <f t="shared" si="3"/>
        <v>1</v>
      </c>
      <c r="AB11" s="713">
        <f t="shared" si="4"/>
        <v>1</v>
      </c>
      <c r="AC11" s="713">
        <f t="shared" si="5"/>
        <v>1</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0"/>
      <c r="Q12" s="1527" t="str">
        <f t="shared" si="6"/>
        <v>配建</v>
      </c>
      <c r="R12" s="710" t="s">
        <v>17</v>
      </c>
      <c r="S12" s="711">
        <f t="shared" si="0"/>
        <v>100</v>
      </c>
      <c r="T12" s="710" t="s">
        <v>17</v>
      </c>
      <c r="U12" s="711">
        <f t="shared" si="1"/>
        <v>100</v>
      </c>
      <c r="V12" s="710" t="s">
        <v>17</v>
      </c>
      <c r="W12" s="711">
        <f t="shared" si="2"/>
        <v>100</v>
      </c>
      <c r="X12" s="712"/>
      <c r="Y12" s="316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0"/>
      <c r="Q13" s="1527">
        <f t="shared" si="6"/>
        <v>111</v>
      </c>
      <c r="R13" s="710" t="s">
        <v>17</v>
      </c>
      <c r="S13" s="711">
        <f t="shared" si="0"/>
        <v>100</v>
      </c>
      <c r="T13" s="710" t="s">
        <v>17</v>
      </c>
      <c r="U13" s="711">
        <f t="shared" si="1"/>
        <v>100</v>
      </c>
      <c r="V13" s="710" t="s">
        <v>17</v>
      </c>
      <c r="W13" s="711">
        <f t="shared" si="2"/>
        <v>100</v>
      </c>
      <c r="X13" s="712"/>
      <c r="Y13" s="316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0"/>
      <c r="Q14" s="1527">
        <f t="shared" si="6"/>
        <v>111</v>
      </c>
      <c r="R14" s="710" t="s">
        <v>17</v>
      </c>
      <c r="S14" s="711">
        <f t="shared" si="0"/>
        <v>100</v>
      </c>
      <c r="T14" s="710" t="s">
        <v>17</v>
      </c>
      <c r="U14" s="711">
        <f t="shared" si="1"/>
        <v>100</v>
      </c>
      <c r="V14" s="710" t="s">
        <v>17</v>
      </c>
      <c r="W14" s="711">
        <f t="shared" si="2"/>
        <v>100</v>
      </c>
      <c r="X14" s="712"/>
      <c r="Y14" s="316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49"/>
      <c r="M15" s="2943"/>
      <c r="N15" s="2943"/>
      <c r="O15" s="3001"/>
      <c r="P15" s="3272" t="s">
        <v>2381</v>
      </c>
      <c r="Q15" s="1536" t="str">
        <f t="shared" si="6"/>
        <v>居住社区成熟度</v>
      </c>
      <c r="R15" s="714" t="s">
        <v>17</v>
      </c>
      <c r="S15" s="715">
        <f t="shared" si="0"/>
        <v>100</v>
      </c>
      <c r="T15" s="714" t="s">
        <v>17</v>
      </c>
      <c r="U15" s="715">
        <f t="shared" si="1"/>
        <v>100</v>
      </c>
      <c r="V15" s="714" t="s">
        <v>17</v>
      </c>
      <c r="W15" s="715">
        <f t="shared" si="2"/>
        <v>100</v>
      </c>
      <c r="X15" s="1539"/>
      <c r="Y15" s="3272" t="s">
        <v>2381</v>
      </c>
      <c r="Z15" s="1540" t="str">
        <f t="shared" si="7"/>
        <v>居住社区成熟度</v>
      </c>
      <c r="AA15" s="1537">
        <f t="shared" si="3"/>
        <v>1</v>
      </c>
      <c r="AB15" s="1537">
        <f t="shared" si="4"/>
        <v>1</v>
      </c>
      <c r="AC15" s="1537">
        <f t="shared" si="5"/>
        <v>1</v>
      </c>
    </row>
    <row r="16" spans="1:30" ht="15">
      <c r="A16" s="387"/>
      <c r="B16" s="405"/>
      <c r="C16" s="406" t="s">
        <v>3291</v>
      </c>
      <c r="D16" s="407"/>
      <c r="E16" s="406" t="s">
        <v>3291</v>
      </c>
      <c r="F16" s="407"/>
      <c r="G16" s="406" t="s">
        <v>3291</v>
      </c>
      <c r="H16" s="409"/>
      <c r="I16" s="406" t="s">
        <v>3291</v>
      </c>
      <c r="J16" s="407"/>
      <c r="K16" s="628"/>
      <c r="L16" s="2949"/>
      <c r="M16" s="2943"/>
      <c r="N16" s="2943"/>
      <c r="O16" s="3001"/>
      <c r="P16" s="3273"/>
      <c r="Q16" s="1536"/>
      <c r="R16" s="714"/>
      <c r="S16" s="715"/>
      <c r="T16" s="714"/>
      <c r="U16" s="715"/>
      <c r="V16" s="714"/>
      <c r="W16" s="715"/>
      <c r="X16" s="1539"/>
      <c r="Y16" s="3273"/>
      <c r="Z16" s="1540"/>
      <c r="AA16" s="1537">
        <v>1</v>
      </c>
      <c r="AB16" s="1537">
        <v>1</v>
      </c>
      <c r="AC16" s="1537">
        <v>1</v>
      </c>
    </row>
    <row r="17" spans="1:29" ht="71.25" hidden="1">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273"/>
      <c r="Q17" s="1536" t="str">
        <f>B17</f>
        <v>商业繁华度</v>
      </c>
      <c r="R17" s="714" t="s">
        <v>17</v>
      </c>
      <c r="S17" s="715">
        <f>F17</f>
        <v>100</v>
      </c>
      <c r="T17" s="714" t="s">
        <v>17</v>
      </c>
      <c r="U17" s="715">
        <f>H17</f>
        <v>100</v>
      </c>
      <c r="V17" s="714" t="s">
        <v>17</v>
      </c>
      <c r="W17" s="715">
        <f>J17</f>
        <v>100</v>
      </c>
      <c r="X17" s="1539"/>
      <c r="Y17" s="3273"/>
      <c r="Z17" s="1540" t="str">
        <f>Q17</f>
        <v>商业繁华度</v>
      </c>
      <c r="AA17" s="1537">
        <f t="shared" si="3"/>
        <v>1</v>
      </c>
      <c r="AB17" s="1537">
        <f t="shared" si="4"/>
        <v>1</v>
      </c>
      <c r="AC17" s="1537">
        <f t="shared" si="5"/>
        <v>1</v>
      </c>
    </row>
    <row r="18" spans="1:29" ht="15" hidden="1">
      <c r="A18" s="387"/>
      <c r="B18" s="415"/>
      <c r="C18" s="2087"/>
      <c r="D18" s="409"/>
      <c r="E18" s="2089"/>
      <c r="F18" s="409"/>
      <c r="G18" s="2089"/>
      <c r="H18" s="407"/>
      <c r="I18" s="2088"/>
      <c r="J18" s="407"/>
      <c r="K18" s="628"/>
      <c r="L18" s="2949"/>
      <c r="M18" s="2943"/>
      <c r="N18" s="2943"/>
      <c r="O18" s="3001"/>
      <c r="P18" s="3273"/>
      <c r="Q18" s="1536"/>
      <c r="R18" s="714"/>
      <c r="S18" s="715"/>
      <c r="T18" s="714"/>
      <c r="U18" s="715"/>
      <c r="V18" s="714"/>
      <c r="W18" s="715"/>
      <c r="X18" s="1539"/>
      <c r="Y18" s="3273"/>
      <c r="Z18" s="1540"/>
      <c r="AA18" s="1537">
        <v>1</v>
      </c>
      <c r="AB18" s="1537">
        <v>1</v>
      </c>
      <c r="AC18" s="1537">
        <v>1</v>
      </c>
    </row>
    <row r="19" spans="1:29" ht="71.25" hidden="1">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273"/>
      <c r="Q19" s="1536" t="str">
        <f>B19</f>
        <v>办公集聚程度</v>
      </c>
      <c r="R19" s="714" t="s">
        <v>17</v>
      </c>
      <c r="S19" s="715">
        <f>F19</f>
        <v>100</v>
      </c>
      <c r="T19" s="714" t="s">
        <v>17</v>
      </c>
      <c r="U19" s="715">
        <f>H19</f>
        <v>100</v>
      </c>
      <c r="V19" s="714" t="s">
        <v>17</v>
      </c>
      <c r="W19" s="715">
        <f>J19</f>
        <v>100</v>
      </c>
      <c r="X19" s="1539"/>
      <c r="Y19" s="3273"/>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8"/>
      <c r="L20" s="2949"/>
      <c r="M20" s="2943"/>
      <c r="N20" s="2943"/>
      <c r="O20" s="3001"/>
      <c r="P20" s="3273"/>
      <c r="Q20" s="1536"/>
      <c r="R20" s="714"/>
      <c r="S20" s="715"/>
      <c r="T20" s="714"/>
      <c r="U20" s="715"/>
      <c r="V20" s="714"/>
      <c r="W20" s="715"/>
      <c r="X20" s="1539"/>
      <c r="Y20" s="327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100</v>
      </c>
      <c r="K21" s="629">
        <v>2</v>
      </c>
      <c r="L21" s="2949"/>
      <c r="M21" s="2943"/>
      <c r="N21" s="2943"/>
      <c r="O21" s="3001"/>
      <c r="P21" s="3273"/>
      <c r="Q21" s="1536" t="str">
        <f>B21</f>
        <v>交通便捷度</v>
      </c>
      <c r="R21" s="714" t="s">
        <v>17</v>
      </c>
      <c r="S21" s="715">
        <f>F21</f>
        <v>100</v>
      </c>
      <c r="T21" s="714" t="s">
        <v>17</v>
      </c>
      <c r="U21" s="715">
        <f>H21</f>
        <v>98</v>
      </c>
      <c r="V21" s="714" t="s">
        <v>17</v>
      </c>
      <c r="W21" s="715">
        <f>J21</f>
        <v>100</v>
      </c>
      <c r="X21" s="1539"/>
      <c r="Y21" s="3273"/>
      <c r="Z21" s="1540" t="str">
        <f>Q21</f>
        <v>交通便捷度</v>
      </c>
      <c r="AA21" s="1537">
        <f t="shared" si="3"/>
        <v>1</v>
      </c>
      <c r="AB21" s="1537">
        <f t="shared" si="4"/>
        <v>1.0204081632653061</v>
      </c>
      <c r="AC21" s="1537">
        <f t="shared" si="5"/>
        <v>1</v>
      </c>
    </row>
    <row r="22" spans="1:29" ht="15">
      <c r="A22" s="387"/>
      <c r="B22" s="1293"/>
      <c r="C22" s="406" t="s">
        <v>3291</v>
      </c>
      <c r="D22" s="409"/>
      <c r="E22" s="2084" t="s">
        <v>3291</v>
      </c>
      <c r="F22" s="407"/>
      <c r="G22" s="2084" t="s">
        <v>3292</v>
      </c>
      <c r="H22" s="407"/>
      <c r="I22" s="2083" t="s">
        <v>3291</v>
      </c>
      <c r="J22" s="407"/>
      <c r="K22" s="628"/>
      <c r="L22" s="2949"/>
      <c r="M22" s="2943"/>
      <c r="N22" s="2943"/>
      <c r="O22" s="3001"/>
      <c r="P22" s="3273"/>
      <c r="Q22" s="1536"/>
      <c r="R22" s="714"/>
      <c r="S22" s="715"/>
      <c r="T22" s="714"/>
      <c r="U22" s="715"/>
      <c r="V22" s="714"/>
      <c r="W22" s="715"/>
      <c r="X22" s="1539"/>
      <c r="Y22" s="3273"/>
      <c r="Z22" s="1540"/>
      <c r="AA22" s="1537">
        <v>1</v>
      </c>
      <c r="AB22" s="1537">
        <v>1</v>
      </c>
      <c r="AC22" s="1537">
        <v>1</v>
      </c>
    </row>
    <row r="23" spans="1:29" ht="15" hidden="1">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73"/>
      <c r="Q23" s="1536" t="str">
        <f t="shared" ref="Q23:Q37" si="8">B23</f>
        <v>区域土地利用方向</v>
      </c>
      <c r="R23" s="714" t="s">
        <v>17</v>
      </c>
      <c r="S23" s="715">
        <f>F23</f>
        <v>100</v>
      </c>
      <c r="T23" s="714" t="s">
        <v>17</v>
      </c>
      <c r="U23" s="715">
        <f>H23</f>
        <v>100</v>
      </c>
      <c r="V23" s="714" t="s">
        <v>17</v>
      </c>
      <c r="W23" s="715">
        <f>J23</f>
        <v>100</v>
      </c>
      <c r="X23" s="1539"/>
      <c r="Y23" s="3273"/>
      <c r="Z23" s="1540" t="str">
        <f>Q23</f>
        <v>区域土地利用方向</v>
      </c>
      <c r="AA23" s="1537">
        <f t="shared" si="3"/>
        <v>1</v>
      </c>
      <c r="AB23" s="1537">
        <f t="shared" si="4"/>
        <v>1</v>
      </c>
      <c r="AC23" s="1537">
        <f t="shared" si="5"/>
        <v>1</v>
      </c>
    </row>
    <row r="24" spans="1:29" ht="15" hidden="1">
      <c r="A24" s="364"/>
      <c r="B24" s="415"/>
      <c r="C24" s="573"/>
      <c r="D24" s="407"/>
      <c r="E24" s="2084"/>
      <c r="F24" s="407"/>
      <c r="G24" s="2083"/>
      <c r="H24" s="407"/>
      <c r="I24" s="2083"/>
      <c r="J24" s="407"/>
      <c r="K24" s="751"/>
      <c r="L24" s="2949"/>
      <c r="M24" s="2943"/>
      <c r="N24" s="2943"/>
      <c r="O24" s="3001"/>
      <c r="P24" s="3273"/>
      <c r="Q24" s="1536"/>
      <c r="R24" s="714"/>
      <c r="S24" s="715"/>
      <c r="T24" s="714"/>
      <c r="U24" s="715"/>
      <c r="V24" s="714"/>
      <c r="W24" s="715"/>
      <c r="X24" s="1539"/>
      <c r="Y24" s="327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273"/>
      <c r="Q25" s="1536" t="str">
        <f t="shared" si="8"/>
        <v>自然及人文环境状况</v>
      </c>
      <c r="R25" s="714" t="s">
        <v>17</v>
      </c>
      <c r="S25" s="715">
        <f>F25</f>
        <v>100</v>
      </c>
      <c r="T25" s="714" t="s">
        <v>17</v>
      </c>
      <c r="U25" s="715">
        <f>H25</f>
        <v>100</v>
      </c>
      <c r="V25" s="714" t="s">
        <v>17</v>
      </c>
      <c r="W25" s="715">
        <f>J25</f>
        <v>100</v>
      </c>
      <c r="X25" s="1539"/>
      <c r="Y25" s="3273"/>
      <c r="Z25" s="1540" t="str">
        <f>Q25</f>
        <v>自然及人文环境状况</v>
      </c>
      <c r="AA25" s="1537">
        <f t="shared" si="3"/>
        <v>1</v>
      </c>
      <c r="AB25" s="1537">
        <f t="shared" si="4"/>
        <v>1</v>
      </c>
      <c r="AC25" s="1537">
        <f t="shared" si="5"/>
        <v>1</v>
      </c>
    </row>
    <row r="26" spans="1:29" ht="15">
      <c r="A26" s="364"/>
      <c r="B26" s="415"/>
      <c r="C26" s="406" t="s">
        <v>3291</v>
      </c>
      <c r="D26" s="407"/>
      <c r="E26" s="2090" t="s">
        <v>3291</v>
      </c>
      <c r="F26" s="407"/>
      <c r="G26" s="2090" t="s">
        <v>3291</v>
      </c>
      <c r="H26" s="407"/>
      <c r="I26" s="2090" t="s">
        <v>3291</v>
      </c>
      <c r="J26" s="407"/>
      <c r="K26" s="628"/>
      <c r="L26" s="2949"/>
      <c r="M26" s="2943"/>
      <c r="N26" s="2943"/>
      <c r="O26" s="3001"/>
      <c r="P26" s="3273"/>
      <c r="Q26" s="1536"/>
      <c r="R26" s="714"/>
      <c r="S26" s="715"/>
      <c r="T26" s="714"/>
      <c r="U26" s="715"/>
      <c r="V26" s="714"/>
      <c r="W26" s="715"/>
      <c r="X26" s="1539"/>
      <c r="Y26" s="327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4"/>
      <c r="M27" s="2945"/>
      <c r="N27" s="2945"/>
      <c r="O27" s="2999"/>
      <c r="P27" s="3273"/>
      <c r="Q27" s="1527" t="str">
        <f t="shared" si="8"/>
        <v>公共配套设施</v>
      </c>
      <c r="R27" s="710" t="s">
        <v>17</v>
      </c>
      <c r="S27" s="711">
        <f>F27</f>
        <v>100</v>
      </c>
      <c r="T27" s="710" t="s">
        <v>17</v>
      </c>
      <c r="U27" s="711">
        <f>H27</f>
        <v>100</v>
      </c>
      <c r="V27" s="710" t="s">
        <v>17</v>
      </c>
      <c r="W27" s="711">
        <f>J27</f>
        <v>100</v>
      </c>
      <c r="X27" s="712"/>
      <c r="Y27" s="3273"/>
      <c r="Z27" s="55" t="str">
        <f>Q27</f>
        <v>公共配套设施</v>
      </c>
      <c r="AA27" s="1537">
        <f>D27/F27</f>
        <v>1</v>
      </c>
      <c r="AB27" s="1537">
        <f>D27/H27</f>
        <v>1</v>
      </c>
      <c r="AC27" s="1537">
        <f>D27/J27</f>
        <v>1</v>
      </c>
    </row>
    <row r="28" spans="1:29" s="113" customFormat="1" ht="15">
      <c r="A28" s="605"/>
      <c r="B28" s="415"/>
      <c r="C28" s="2164" t="s">
        <v>3291</v>
      </c>
      <c r="D28" s="407"/>
      <c r="E28" s="2164" t="s">
        <v>3291</v>
      </c>
      <c r="F28" s="407"/>
      <c r="G28" s="2164" t="s">
        <v>3291</v>
      </c>
      <c r="H28" s="407"/>
      <c r="I28" s="2164" t="s">
        <v>3291</v>
      </c>
      <c r="J28" s="407"/>
      <c r="K28" s="628"/>
      <c r="L28" s="2944"/>
      <c r="M28" s="2945"/>
      <c r="N28" s="2945"/>
      <c r="O28" s="2999"/>
      <c r="P28" s="3273"/>
      <c r="Q28" s="1527"/>
      <c r="R28" s="710"/>
      <c r="S28" s="711"/>
      <c r="T28" s="710"/>
      <c r="U28" s="711"/>
      <c r="V28" s="710"/>
      <c r="W28" s="711"/>
      <c r="X28" s="712"/>
      <c r="Y28" s="327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273"/>
      <c r="Q29" s="1527" t="str">
        <f t="shared" ref="Q29" si="9">B29</f>
        <v>基础设施水平</v>
      </c>
      <c r="R29" s="710" t="s">
        <v>17</v>
      </c>
      <c r="S29" s="711">
        <f>F29</f>
        <v>100</v>
      </c>
      <c r="T29" s="710" t="s">
        <v>17</v>
      </c>
      <c r="U29" s="711">
        <f>H29</f>
        <v>100</v>
      </c>
      <c r="V29" s="710" t="s">
        <v>17</v>
      </c>
      <c r="W29" s="711">
        <f>J29</f>
        <v>100</v>
      </c>
      <c r="X29" s="712"/>
      <c r="Y29" s="3273"/>
      <c r="Z29" s="55" t="str">
        <f>Q29</f>
        <v>基础设施水平</v>
      </c>
      <c r="AA29" s="1537">
        <f>D29/F29</f>
        <v>1</v>
      </c>
      <c r="AB29" s="1537">
        <f>D29/H29</f>
        <v>1</v>
      </c>
      <c r="AC29" s="1537">
        <f>D29/J29</f>
        <v>1</v>
      </c>
    </row>
    <row r="30" spans="1:29" s="113" customFormat="1" ht="15.75" thickBot="1">
      <c r="A30" s="605"/>
      <c r="B30" s="415"/>
      <c r="C30" s="2164" t="s">
        <v>3293</v>
      </c>
      <c r="D30" s="407"/>
      <c r="E30" s="2164" t="s">
        <v>3293</v>
      </c>
      <c r="F30" s="407"/>
      <c r="G30" s="2164" t="s">
        <v>3293</v>
      </c>
      <c r="H30" s="407"/>
      <c r="I30" s="2164" t="s">
        <v>3293</v>
      </c>
      <c r="J30" s="407"/>
      <c r="K30" s="628"/>
      <c r="L30" s="2944"/>
      <c r="M30" s="2945"/>
      <c r="N30" s="2945"/>
      <c r="O30" s="2999"/>
      <c r="P30" s="3273"/>
      <c r="Q30" s="1527"/>
      <c r="R30" s="710"/>
      <c r="S30" s="711"/>
      <c r="T30" s="710"/>
      <c r="U30" s="711"/>
      <c r="V30" s="710"/>
      <c r="W30" s="711"/>
      <c r="X30" s="712"/>
      <c r="Y30" s="3273"/>
      <c r="Z30" s="55"/>
      <c r="AA30" s="1537">
        <v>1</v>
      </c>
      <c r="AB30" s="1537">
        <v>1</v>
      </c>
      <c r="AC30" s="1537">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49"/>
      <c r="M31" s="2943"/>
      <c r="N31" s="2943"/>
      <c r="O31" s="3001"/>
      <c r="P31" s="327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73"/>
      <c r="Z31" s="1540" t="str">
        <f t="shared" ref="Z31:Z45" si="13">Q31</f>
        <v>临街状况</v>
      </c>
      <c r="AA31" s="1537">
        <f t="shared" si="3"/>
        <v>1</v>
      </c>
      <c r="AB31" s="1537">
        <f t="shared" si="4"/>
        <v>1</v>
      </c>
      <c r="AC31" s="1537">
        <f t="shared" si="5"/>
        <v>1</v>
      </c>
    </row>
    <row r="32" spans="1:29" ht="27" hidden="1">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v>2</v>
      </c>
      <c r="L32" s="2949"/>
      <c r="M32" s="2943"/>
      <c r="N32" s="2943"/>
      <c r="O32" s="3001"/>
      <c r="P32" s="3273"/>
      <c r="Q32" s="1536" t="str">
        <f t="shared" si="8"/>
        <v>毗邻道路的类型与等级</v>
      </c>
      <c r="R32" s="714" t="s">
        <v>17</v>
      </c>
      <c r="S32" s="715">
        <f t="shared" si="10"/>
        <v>100</v>
      </c>
      <c r="T32" s="714" t="s">
        <v>17</v>
      </c>
      <c r="U32" s="715">
        <f t="shared" si="11"/>
        <v>100</v>
      </c>
      <c r="V32" s="714" t="s">
        <v>17</v>
      </c>
      <c r="W32" s="715">
        <f t="shared" si="12"/>
        <v>100</v>
      </c>
      <c r="X32" s="1539"/>
      <c r="Y32" s="3273"/>
      <c r="Z32" s="1540" t="str">
        <f t="shared" si="13"/>
        <v>毗邻道路的类型与等级</v>
      </c>
      <c r="AA32" s="1537">
        <f t="shared" si="3"/>
        <v>1</v>
      </c>
      <c r="AB32" s="1537">
        <f t="shared" si="4"/>
        <v>1</v>
      </c>
      <c r="AC32" s="1537">
        <f t="shared" si="5"/>
        <v>1</v>
      </c>
    </row>
    <row r="33" spans="1:29" ht="15" hidden="1">
      <c r="A33" s="387"/>
      <c r="B33" s="415"/>
      <c r="C33" s="406"/>
      <c r="D33" s="407"/>
      <c r="E33" s="2090"/>
      <c r="F33" s="407"/>
      <c r="G33" s="2090"/>
      <c r="H33" s="407"/>
      <c r="I33" s="406"/>
      <c r="J33" s="407"/>
      <c r="K33" s="570"/>
      <c r="L33" s="2949"/>
      <c r="M33" s="2943"/>
      <c r="N33" s="2943"/>
      <c r="O33" s="3001"/>
      <c r="P33" s="3273"/>
      <c r="Q33" s="1536"/>
      <c r="R33" s="714"/>
      <c r="S33" s="715"/>
      <c r="T33" s="714"/>
      <c r="U33" s="715"/>
      <c r="V33" s="714"/>
      <c r="W33" s="715"/>
      <c r="X33" s="1539"/>
      <c r="Y33" s="3273"/>
      <c r="Z33" s="1540"/>
      <c r="AA33" s="1537">
        <v>1</v>
      </c>
      <c r="AB33" s="1537">
        <v>1</v>
      </c>
      <c r="AC33" s="1537">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v>2</v>
      </c>
      <c r="L34" s="2949"/>
      <c r="M34" s="2943"/>
      <c r="N34" s="2943"/>
      <c r="O34" s="3001"/>
      <c r="P34" s="3273"/>
      <c r="Q34" s="1536" t="str">
        <f t="shared" si="8"/>
        <v>土地级别</v>
      </c>
      <c r="R34" s="714" t="s">
        <v>17</v>
      </c>
      <c r="S34" s="715">
        <f t="shared" si="10"/>
        <v>100</v>
      </c>
      <c r="T34" s="714" t="s">
        <v>17</v>
      </c>
      <c r="U34" s="715">
        <f t="shared" si="11"/>
        <v>100</v>
      </c>
      <c r="V34" s="714" t="s">
        <v>17</v>
      </c>
      <c r="W34" s="715">
        <f t="shared" si="12"/>
        <v>100</v>
      </c>
      <c r="X34" s="1539"/>
      <c r="Y34" s="3273"/>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73"/>
      <c r="Q35" s="1536">
        <f t="shared" si="8"/>
        <v>111</v>
      </c>
      <c r="R35" s="714" t="s">
        <v>17</v>
      </c>
      <c r="S35" s="715">
        <f t="shared" si="10"/>
        <v>100</v>
      </c>
      <c r="T35" s="714" t="s">
        <v>17</v>
      </c>
      <c r="U35" s="715">
        <f t="shared" si="11"/>
        <v>100</v>
      </c>
      <c r="V35" s="714" t="s">
        <v>17</v>
      </c>
      <c r="W35" s="715">
        <f t="shared" si="12"/>
        <v>100</v>
      </c>
      <c r="X35" s="1539"/>
      <c r="Y35" s="3273"/>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74" t="s">
        <v>2386</v>
      </c>
      <c r="Q36" s="1536">
        <f t="shared" si="8"/>
        <v>111</v>
      </c>
      <c r="R36" s="714" t="s">
        <v>17</v>
      </c>
      <c r="S36" s="715">
        <f t="shared" si="10"/>
        <v>100</v>
      </c>
      <c r="T36" s="714" t="s">
        <v>17</v>
      </c>
      <c r="U36" s="715">
        <f t="shared" si="11"/>
        <v>100</v>
      </c>
      <c r="V36" s="714" t="s">
        <v>17</v>
      </c>
      <c r="W36" s="715">
        <f t="shared" si="12"/>
        <v>100</v>
      </c>
      <c r="X36" s="1539"/>
      <c r="Y36" s="3275"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75"/>
      <c r="Q37" s="1536">
        <f t="shared" si="8"/>
        <v>111</v>
      </c>
      <c r="R37" s="717" t="s">
        <v>17</v>
      </c>
      <c r="S37" s="718">
        <f t="shared" si="10"/>
        <v>100</v>
      </c>
      <c r="T37" s="717" t="s">
        <v>17</v>
      </c>
      <c r="U37" s="718">
        <f t="shared" si="11"/>
        <v>100</v>
      </c>
      <c r="V37" s="717" t="s">
        <v>17</v>
      </c>
      <c r="W37" s="718">
        <f t="shared" si="12"/>
        <v>100</v>
      </c>
      <c r="X37" s="719"/>
      <c r="Y37" s="3275"/>
      <c r="Z37" s="720">
        <f t="shared" si="13"/>
        <v>111</v>
      </c>
      <c r="AA37" s="1537">
        <f t="shared" si="3"/>
        <v>1</v>
      </c>
      <c r="AB37" s="1537">
        <f t="shared" si="4"/>
        <v>1</v>
      </c>
      <c r="AC37" s="1537">
        <f t="shared" si="5"/>
        <v>1</v>
      </c>
    </row>
    <row r="38" spans="1:29" ht="15">
      <c r="A38" s="431" t="s">
        <v>2384</v>
      </c>
      <c r="B38" s="415" t="s">
        <v>2572</v>
      </c>
      <c r="C38" s="3066">
        <v>52000</v>
      </c>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49"/>
      <c r="M38" s="2943"/>
      <c r="N38" s="2943"/>
      <c r="O38" s="3001"/>
      <c r="P38" s="3275"/>
      <c r="Q38" s="1536" t="str">
        <f>B38</f>
        <v>宗地面积</v>
      </c>
      <c r="R38" s="714" t="s">
        <v>17</v>
      </c>
      <c r="S38" s="715">
        <f t="shared" si="10"/>
        <v>100</v>
      </c>
      <c r="T38" s="714" t="s">
        <v>17</v>
      </c>
      <c r="U38" s="715">
        <f t="shared" si="11"/>
        <v>100</v>
      </c>
      <c r="V38" s="714" t="s">
        <v>17</v>
      </c>
      <c r="W38" s="715">
        <f t="shared" si="12"/>
        <v>100</v>
      </c>
      <c r="X38" s="1539"/>
      <c r="Y38" s="3275"/>
      <c r="Z38" s="1540" t="str">
        <f t="shared" si="13"/>
        <v>宗地面积</v>
      </c>
      <c r="AA38" s="1537">
        <f t="shared" si="3"/>
        <v>1</v>
      </c>
      <c r="AB38" s="1537">
        <f t="shared" si="4"/>
        <v>1</v>
      </c>
      <c r="AC38" s="1537">
        <f t="shared" si="5"/>
        <v>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v>2</v>
      </c>
      <c r="L39" s="2949"/>
      <c r="M39" s="2943"/>
      <c r="N39" s="2943"/>
      <c r="O39" s="3001"/>
      <c r="P39" s="3275"/>
      <c r="Q39" s="1536" t="str">
        <f t="shared" ref="Q39:Q45" si="14">B39</f>
        <v>宗地形状</v>
      </c>
      <c r="R39" s="714" t="s">
        <v>17</v>
      </c>
      <c r="S39" s="715">
        <f t="shared" si="10"/>
        <v>100</v>
      </c>
      <c r="T39" s="714" t="s">
        <v>17</v>
      </c>
      <c r="U39" s="715">
        <f t="shared" si="11"/>
        <v>100</v>
      </c>
      <c r="V39" s="714" t="s">
        <v>17</v>
      </c>
      <c r="W39" s="715">
        <f t="shared" si="12"/>
        <v>100</v>
      </c>
      <c r="X39" s="1539"/>
      <c r="Y39" s="327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v>2</v>
      </c>
      <c r="L40" s="2949"/>
      <c r="M40" s="2943"/>
      <c r="N40" s="2943"/>
      <c r="O40" s="3001"/>
      <c r="P40" s="3275"/>
      <c r="Q40" s="1536" t="str">
        <f t="shared" si="14"/>
        <v>临街宽度及深度</v>
      </c>
      <c r="R40" s="714" t="s">
        <v>17</v>
      </c>
      <c r="S40" s="715">
        <f t="shared" si="10"/>
        <v>100</v>
      </c>
      <c r="T40" s="714" t="s">
        <v>17</v>
      </c>
      <c r="U40" s="715">
        <f t="shared" si="11"/>
        <v>100</v>
      </c>
      <c r="V40" s="714" t="s">
        <v>17</v>
      </c>
      <c r="W40" s="715">
        <f t="shared" si="12"/>
        <v>100</v>
      </c>
      <c r="X40" s="1539"/>
      <c r="Y40" s="327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v>2</v>
      </c>
      <c r="L41" s="2944"/>
      <c r="M41" s="2945"/>
      <c r="N41" s="2945"/>
      <c r="O41" s="2999"/>
      <c r="P41" s="3275"/>
      <c r="Q41" s="1536" t="str">
        <f t="shared" si="14"/>
        <v>宗地开发程度</v>
      </c>
      <c r="R41" s="710" t="s">
        <v>17</v>
      </c>
      <c r="S41" s="711">
        <f t="shared" si="10"/>
        <v>100</v>
      </c>
      <c r="T41" s="710" t="s">
        <v>17</v>
      </c>
      <c r="U41" s="711">
        <f t="shared" si="11"/>
        <v>100</v>
      </c>
      <c r="V41" s="710" t="s">
        <v>17</v>
      </c>
      <c r="W41" s="711">
        <f t="shared" si="12"/>
        <v>100</v>
      </c>
      <c r="X41" s="712"/>
      <c r="Y41" s="327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v>2</v>
      </c>
      <c r="L42" s="2949"/>
      <c r="M42" s="2943"/>
      <c r="N42" s="2943"/>
      <c r="O42" s="3001"/>
      <c r="P42" s="3275" t="s">
        <v>2386</v>
      </c>
      <c r="Q42" s="1536" t="str">
        <f t="shared" si="14"/>
        <v>工程地质条件</v>
      </c>
      <c r="R42" s="714" t="s">
        <v>17</v>
      </c>
      <c r="S42" s="715">
        <f t="shared" si="10"/>
        <v>100</v>
      </c>
      <c r="T42" s="714" t="s">
        <v>17</v>
      </c>
      <c r="U42" s="715">
        <f t="shared" si="11"/>
        <v>100</v>
      </c>
      <c r="V42" s="714" t="s">
        <v>17</v>
      </c>
      <c r="W42" s="715">
        <f t="shared" si="12"/>
        <v>100</v>
      </c>
      <c r="X42" s="1539"/>
      <c r="Y42" s="327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75"/>
      <c r="Q43" s="1536">
        <f t="shared" si="14"/>
        <v>111</v>
      </c>
      <c r="R43" s="714" t="s">
        <v>17</v>
      </c>
      <c r="S43" s="715">
        <f t="shared" si="10"/>
        <v>100</v>
      </c>
      <c r="T43" s="714" t="s">
        <v>17</v>
      </c>
      <c r="U43" s="715">
        <f t="shared" si="11"/>
        <v>100</v>
      </c>
      <c r="V43" s="714" t="s">
        <v>17</v>
      </c>
      <c r="W43" s="715">
        <f t="shared" si="12"/>
        <v>100</v>
      </c>
      <c r="X43" s="1539"/>
      <c r="Y43" s="327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75"/>
      <c r="Q44" s="1536">
        <f t="shared" si="14"/>
        <v>111</v>
      </c>
      <c r="R44" s="714" t="s">
        <v>17</v>
      </c>
      <c r="S44" s="715">
        <f t="shared" si="10"/>
        <v>100</v>
      </c>
      <c r="T44" s="714" t="s">
        <v>17</v>
      </c>
      <c r="U44" s="715">
        <f t="shared" si="11"/>
        <v>100</v>
      </c>
      <c r="V44" s="714" t="s">
        <v>17</v>
      </c>
      <c r="W44" s="715">
        <f t="shared" si="12"/>
        <v>100</v>
      </c>
      <c r="X44" s="1539"/>
      <c r="Y44" s="327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75"/>
      <c r="Q45" s="1536">
        <f t="shared" si="14"/>
        <v>111</v>
      </c>
      <c r="R45" s="717" t="s">
        <v>17</v>
      </c>
      <c r="S45" s="718">
        <f t="shared" si="10"/>
        <v>100</v>
      </c>
      <c r="T45" s="717" t="s">
        <v>17</v>
      </c>
      <c r="U45" s="718">
        <f t="shared" si="11"/>
        <v>100</v>
      </c>
      <c r="V45" s="717" t="s">
        <v>17</v>
      </c>
      <c r="W45" s="718">
        <f t="shared" si="12"/>
        <v>100</v>
      </c>
      <c r="X45" s="719"/>
      <c r="Y45" s="3275"/>
      <c r="Z45" s="720">
        <f t="shared" si="13"/>
        <v>111</v>
      </c>
      <c r="AA45" s="1537">
        <f t="shared" si="3"/>
        <v>1</v>
      </c>
      <c r="AB45" s="1537">
        <f t="shared" si="4"/>
        <v>1</v>
      </c>
      <c r="AC45" s="1537">
        <f t="shared" si="5"/>
        <v>1</v>
      </c>
    </row>
    <row r="46" spans="1:29" ht="15">
      <c r="A46" s="438" t="s">
        <v>2541</v>
      </c>
      <c r="B46" s="2168" t="s">
        <v>2577</v>
      </c>
      <c r="C46" s="638" t="s">
        <v>1</v>
      </c>
      <c r="D46" s="440"/>
      <c r="E46" s="441">
        <f>Sheet0!M2</f>
        <v>15700</v>
      </c>
      <c r="F46" s="442"/>
      <c r="G46" s="443">
        <f>Sheet0!M3</f>
        <v>14200</v>
      </c>
      <c r="H46" s="444"/>
      <c r="I46" s="441">
        <f>Sheet0!M4</f>
        <v>15400</v>
      </c>
      <c r="J46" s="444"/>
      <c r="K46" s="723"/>
      <c r="L46" s="2951"/>
      <c r="M46" s="2952"/>
      <c r="N46" s="2943"/>
      <c r="O46" s="2952"/>
      <c r="P46" s="3270" t="str">
        <f>A46</f>
        <v>成交单价</v>
      </c>
      <c r="Q46" s="3270"/>
      <c r="R46" s="3276">
        <f>E46</f>
        <v>15700</v>
      </c>
      <c r="S46" s="3276"/>
      <c r="T46" s="3276">
        <f>G46</f>
        <v>14200</v>
      </c>
      <c r="U46" s="3276"/>
      <c r="V46" s="3276">
        <f>I46</f>
        <v>15400</v>
      </c>
      <c r="W46" s="3276"/>
      <c r="X46" s="699"/>
      <c r="Y46" s="721"/>
      <c r="Z46" s="699"/>
      <c r="AA46" s="699"/>
      <c r="AB46" s="699"/>
      <c r="AC46" s="699"/>
    </row>
    <row r="47" spans="1:29" ht="15.75" thickBot="1">
      <c r="A47" s="445" t="s">
        <v>2490</v>
      </c>
      <c r="B47" s="639"/>
      <c r="C47" s="448">
        <f>R48</f>
        <v>14473</v>
      </c>
      <c r="D47" s="2538" t="s">
        <v>2881</v>
      </c>
      <c r="E47" s="448">
        <f>R47</f>
        <v>14952</v>
      </c>
      <c r="F47" s="2539"/>
      <c r="G47" s="447">
        <f>T47</f>
        <v>13800</v>
      </c>
      <c r="H47" s="2539"/>
      <c r="I47" s="448">
        <f>V47</f>
        <v>14667</v>
      </c>
      <c r="J47" s="2539"/>
      <c r="K47" s="2541">
        <f>F47+H47+J47</f>
        <v>0</v>
      </c>
      <c r="L47" s="2951"/>
      <c r="M47" s="2952"/>
      <c r="N47" s="2952"/>
      <c r="O47" s="2952"/>
      <c r="P47" s="3270" t="str">
        <f>A47</f>
        <v>比较价值（元/平方米）</v>
      </c>
      <c r="Q47" s="3270"/>
      <c r="R47" s="3263">
        <f>ROUND(PRODUCT(R46,AA7:AA45),0)</f>
        <v>14952</v>
      </c>
      <c r="S47" s="3263"/>
      <c r="T47" s="3263">
        <f>ROUND(PRODUCT(T46,AB7:AB45),0)</f>
        <v>13800</v>
      </c>
      <c r="U47" s="3263"/>
      <c r="V47" s="3263">
        <f>ROUND(PRODUCT(V46,AC7:AC45),0)</f>
        <v>14667</v>
      </c>
      <c r="W47" s="3263"/>
      <c r="X47" s="699"/>
      <c r="Y47" s="699"/>
      <c r="Z47" s="699"/>
      <c r="AA47" s="699"/>
      <c r="AB47" s="699"/>
      <c r="AC47" s="699"/>
    </row>
    <row r="48" spans="1:29" ht="15.75" thickBot="1">
      <c r="A48" s="449" t="s">
        <v>2578</v>
      </c>
      <c r="B48" s="450"/>
      <c r="C48" s="451">
        <f>R48</f>
        <v>14473</v>
      </c>
      <c r="D48" s="451"/>
      <c r="E48" s="451"/>
      <c r="F48" s="451"/>
      <c r="G48" s="451"/>
      <c r="H48" s="451"/>
      <c r="I48" s="451"/>
      <c r="J48" s="451"/>
      <c r="K48" s="724"/>
      <c r="L48" s="2951"/>
      <c r="M48" s="2952"/>
      <c r="N48" s="2952"/>
      <c r="O48" s="2952"/>
      <c r="P48" s="3264" t="str">
        <f>A48</f>
        <v>估价对象XX用房的比较价值（楼面单价，元/平方米）</v>
      </c>
      <c r="Q48" s="3265"/>
      <c r="R48" s="3266">
        <f>ROUND(IF(D47="简单平均",AVERAGE(R47:W47),R47*F47+T47*H47+V47*J47),0)</f>
        <v>14473</v>
      </c>
      <c r="S48" s="3266"/>
      <c r="T48" s="3266"/>
      <c r="U48" s="3266"/>
      <c r="V48" s="3266"/>
      <c r="W48" s="326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f>IF(E46&lt;E47,E47/E46-1,E46/E47-1)</f>
        <v>5.0026752273943265E-2</v>
      </c>
      <c r="F51" s="457" t="str">
        <f>IF(OR(E51&gt;=0.3,E51&lt;=-0.3),"超过30%","")</f>
        <v/>
      </c>
      <c r="G51" s="456">
        <f>IF(G46&lt;G47,G47/G46-1,G46/G47-1)</f>
        <v>2.8985507246376718E-2</v>
      </c>
      <c r="H51" s="457" t="str">
        <f>IF(OR(G51&gt;=0.3,G51&lt;=-0.3),"超过30%","")</f>
        <v/>
      </c>
      <c r="I51" s="456">
        <f>IF(I46&lt;I47,I47/I46-1,I46/I47-1)</f>
        <v>4.9976136905979462E-2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f>IF(E47&lt;G47,G47/E47-1,E47/G47-1)</f>
        <v>8.3478260869565224E-2</v>
      </c>
      <c r="F52" s="457" t="str">
        <f>IF(OR(E52&gt;=0.2,E52&lt;=-0.2),"超过20%","")</f>
        <v/>
      </c>
      <c r="G52" s="456">
        <f>IF(G47&lt;I47,I47/G47-1,G47/I47-1)</f>
        <v>6.2826086956521809E-2</v>
      </c>
      <c r="H52" s="457" t="str">
        <f>IF(OR(G52&gt;=0.2,G52&lt;=-0.2),"超过20%","")</f>
        <v/>
      </c>
      <c r="I52" s="456">
        <f>IF(I47&lt;E47,E47/I47-1,I47/E47-1)</f>
        <v>1.9431376559623681E-2</v>
      </c>
      <c r="J52" s="457"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f>IF(E46&lt;G46,G46/E46-1,E46/G46-1)</f>
        <v>0.10563380281690149</v>
      </c>
      <c r="F53" s="457" t="str">
        <f>IF(OR(E53&gt;=0.3,E53&lt;=-0.3),"超过30%","")</f>
        <v/>
      </c>
      <c r="G53" s="456">
        <f>IF(G46&lt;I46,I46/G46-1,G46/I46-1)</f>
        <v>8.4507042253521236E-2</v>
      </c>
      <c r="H53" s="457" t="str">
        <f>IF(OR(G53&gt;=0.3,G53&lt;=-0.3),"超过30%","")</f>
        <v/>
      </c>
      <c r="I53" s="456">
        <f>IF(I46&lt;E46,E46/I46-1,I46/E46-1)</f>
        <v>1.9480519480519431E-2</v>
      </c>
      <c r="J53" s="457"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267" t="s">
        <v>2585</v>
      </c>
      <c r="H55" s="3268"/>
      <c r="I55" s="140" t="s">
        <v>2586</v>
      </c>
      <c r="J55" s="2171">
        <f>项目基本情况!F35</f>
        <v>0</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f>C48</f>
        <v>14473</v>
      </c>
      <c r="C56" s="646">
        <v>1</v>
      </c>
      <c r="D56" s="1075">
        <v>1</v>
      </c>
      <c r="E56" s="646">
        <f>'数据-汇总表'!E8+'数据-汇总表'!E9</f>
        <v>0</v>
      </c>
      <c r="F56" s="1017">
        <f t="shared" ref="F56:F65" si="15">ROUND(B56*E56/10000,0)</f>
        <v>0</v>
      </c>
      <c r="G56" s="3269"/>
      <c r="H56" s="3270"/>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f>ROUND($C$48*C57*D57,0)</f>
        <v>0</v>
      </c>
      <c r="C57" s="176">
        <f t="shared" ref="C57:C65" si="16">IF($C$55="北京市系数",I57,J57)</f>
        <v>0</v>
      </c>
      <c r="D57" s="1076">
        <v>0.25</v>
      </c>
      <c r="E57" s="650"/>
      <c r="F57" s="1017">
        <f t="shared" si="15"/>
        <v>0</v>
      </c>
      <c r="G57" s="3271"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f t="shared" ref="B58:B65" si="17">ROUND($C$48*C58*D58,0)</f>
        <v>0</v>
      </c>
      <c r="C58" s="176">
        <f t="shared" si="16"/>
        <v>0</v>
      </c>
      <c r="D58" s="1076">
        <v>0.25</v>
      </c>
      <c r="E58" s="650"/>
      <c r="F58" s="1017">
        <f t="shared" si="15"/>
        <v>0</v>
      </c>
      <c r="G58" s="3271"/>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f t="shared" si="17"/>
        <v>0</v>
      </c>
      <c r="C59" s="176">
        <f t="shared" si="16"/>
        <v>0</v>
      </c>
      <c r="D59" s="1076">
        <v>0.25</v>
      </c>
      <c r="E59" s="650"/>
      <c r="F59" s="1017">
        <f t="shared" si="15"/>
        <v>0</v>
      </c>
      <c r="G59" s="3271"/>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f t="shared" si="17"/>
        <v>0</v>
      </c>
      <c r="C60" s="176">
        <f t="shared" si="16"/>
        <v>0</v>
      </c>
      <c r="D60" s="1076">
        <v>0.25</v>
      </c>
      <c r="E60" s="650"/>
      <c r="F60" s="1017">
        <f t="shared" si="15"/>
        <v>0</v>
      </c>
      <c r="G60" s="3271"/>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f t="shared" si="17"/>
        <v>0</v>
      </c>
      <c r="C63" s="176">
        <f t="shared" si="16"/>
        <v>0</v>
      </c>
      <c r="D63" s="1076">
        <v>0.25</v>
      </c>
      <c r="E63" s="223">
        <f>'数据-汇总表'!E13</f>
        <v>8236.73</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8236.73</v>
      </c>
      <c r="F66" s="653">
        <f>IF(B46="楼面地价",SUM(F56:F65),ROUND(C48*E66/10000,0))</f>
        <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北京市平均增长率1.90%</v>
      </c>
      <c r="C71" s="560">
        <v>100</v>
      </c>
      <c r="D71" s="552">
        <v>100</v>
      </c>
      <c r="E71" s="552">
        <v>100</v>
      </c>
      <c r="F71" s="552">
        <v>100</v>
      </c>
      <c r="G71" s="552">
        <v>100</v>
      </c>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0（含）-1</v>
      </c>
      <c r="D79" s="504" t="str">
        <f t="shared" ref="D79:L79" si="20">D80&amp;"（含）"&amp;"-"&amp;E80</f>
        <v>1（含）-2</v>
      </c>
      <c r="E79" s="504" t="str">
        <f t="shared" si="20"/>
        <v>2（含）-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2</v>
      </c>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98</v>
      </c>
      <c r="E89" s="501">
        <f>D89-$K15</f>
        <v>96</v>
      </c>
      <c r="F89" s="501">
        <f>E89-$K15</f>
        <v>94</v>
      </c>
      <c r="G89" s="501">
        <f>F89-$K15</f>
        <v>92</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98</v>
      </c>
      <c r="E107" s="501">
        <f t="shared" ref="E107:M107" si="23">D107-$K32</f>
        <v>96</v>
      </c>
      <c r="F107" s="501">
        <f t="shared" si="23"/>
        <v>94</v>
      </c>
      <c r="G107" s="501">
        <f t="shared" si="23"/>
        <v>92</v>
      </c>
      <c r="H107" s="501">
        <f t="shared" si="23"/>
        <v>90</v>
      </c>
      <c r="I107" s="501">
        <f t="shared" si="23"/>
        <v>88</v>
      </c>
      <c r="J107" s="501">
        <f t="shared" si="23"/>
        <v>86</v>
      </c>
      <c r="K107" s="501">
        <f t="shared" si="23"/>
        <v>84</v>
      </c>
      <c r="L107" s="501">
        <f t="shared" si="23"/>
        <v>82</v>
      </c>
      <c r="M107" s="501">
        <f t="shared" si="23"/>
        <v>80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98</v>
      </c>
      <c r="E109" s="501">
        <f t="shared" ref="E109:M109" si="24">D109-$K34</f>
        <v>96</v>
      </c>
      <c r="F109" s="501">
        <f t="shared" si="24"/>
        <v>94</v>
      </c>
      <c r="G109" s="501">
        <f t="shared" si="24"/>
        <v>92</v>
      </c>
      <c r="H109" s="501">
        <f t="shared" si="24"/>
        <v>90</v>
      </c>
      <c r="I109" s="501">
        <f t="shared" si="24"/>
        <v>88</v>
      </c>
      <c r="J109" s="501">
        <f t="shared" si="24"/>
        <v>86</v>
      </c>
      <c r="K109" s="501">
        <f t="shared" si="24"/>
        <v>84</v>
      </c>
      <c r="L109" s="501">
        <f t="shared" si="24"/>
        <v>82</v>
      </c>
      <c r="M109" s="501">
        <f t="shared" si="24"/>
        <v>80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0(含)-100000</v>
      </c>
      <c r="D116" s="486" t="str">
        <f t="shared" ref="D116:M116" si="25">D117&amp;"(含)"&amp;"-"&amp;E117</f>
        <v>100000(含)-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100000</v>
      </c>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102</v>
      </c>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98</v>
      </c>
      <c r="E120" s="501">
        <f t="shared" si="26"/>
        <v>96</v>
      </c>
      <c r="F120" s="501">
        <f t="shared" si="26"/>
        <v>94</v>
      </c>
      <c r="G120" s="501">
        <f t="shared" si="26"/>
        <v>92</v>
      </c>
      <c r="H120" s="501">
        <f t="shared" si="26"/>
        <v>90</v>
      </c>
      <c r="I120" s="501">
        <f t="shared" si="26"/>
        <v>88</v>
      </c>
      <c r="J120" s="501">
        <f t="shared" si="26"/>
        <v>86</v>
      </c>
      <c r="K120" s="501">
        <f t="shared" si="26"/>
        <v>84</v>
      </c>
      <c r="L120" s="501">
        <f t="shared" si="26"/>
        <v>82</v>
      </c>
      <c r="M120" s="502">
        <f t="shared" si="26"/>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98</v>
      </c>
      <c r="E122" s="501">
        <f t="shared" si="27"/>
        <v>96</v>
      </c>
      <c r="F122" s="501">
        <f t="shared" si="27"/>
        <v>94</v>
      </c>
      <c r="G122" s="501">
        <f t="shared" si="27"/>
        <v>92</v>
      </c>
      <c r="H122" s="501">
        <f t="shared" si="27"/>
        <v>90</v>
      </c>
      <c r="I122" s="501">
        <f t="shared" si="27"/>
        <v>88</v>
      </c>
      <c r="J122" s="501">
        <f t="shared" si="27"/>
        <v>86</v>
      </c>
      <c r="K122" s="501">
        <f t="shared" si="27"/>
        <v>84</v>
      </c>
      <c r="L122" s="501">
        <f t="shared" si="27"/>
        <v>82</v>
      </c>
      <c r="M122" s="502">
        <f t="shared" si="27"/>
        <v>80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98</v>
      </c>
      <c r="E126" s="501">
        <f t="shared" si="29"/>
        <v>96</v>
      </c>
      <c r="F126" s="501">
        <f t="shared" si="29"/>
        <v>94</v>
      </c>
      <c r="G126" s="501">
        <f t="shared" si="29"/>
        <v>92</v>
      </c>
      <c r="H126" s="501">
        <f t="shared" si="29"/>
        <v>90</v>
      </c>
      <c r="I126" s="501">
        <f t="shared" si="29"/>
        <v>88</v>
      </c>
      <c r="J126" s="501">
        <f t="shared" si="29"/>
        <v>86</v>
      </c>
      <c r="K126" s="501">
        <f t="shared" si="29"/>
        <v>84</v>
      </c>
      <c r="L126" s="501">
        <f t="shared" si="29"/>
        <v>82</v>
      </c>
      <c r="M126" s="502">
        <f t="shared" si="29"/>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pageSetUpPr autoPageBreaks="0" fitToPage="1"/>
  </sheetPr>
  <dimension ref="A1:P51"/>
  <sheetViews>
    <sheetView zoomScale="90" zoomScaleNormal="90" workbookViewId="0">
      <selection activeCell="I78" sqref="I78"/>
    </sheetView>
  </sheetViews>
  <sheetFormatPr defaultRowHeight="12.75"/>
  <cols>
    <col min="1" max="1" width="39.375" style="3060" customWidth="1"/>
    <col min="2" max="2" width="6.25" style="3060" customWidth="1"/>
    <col min="3" max="3" width="7.5" style="3060" customWidth="1"/>
    <col min="4" max="4" width="9.25" style="3060" customWidth="1"/>
    <col min="5" max="5" width="8.375" style="3060" customWidth="1"/>
    <col min="6" max="6" width="6.625" style="3061" customWidth="1"/>
    <col min="7" max="7" width="3.875" style="3060" customWidth="1"/>
    <col min="8" max="8" width="14.125" style="3060" customWidth="1"/>
    <col min="9" max="9" width="10.5" style="3060" customWidth="1"/>
    <col min="10" max="10" width="11.25" style="3060" customWidth="1"/>
    <col min="11" max="11" width="9.5" style="3060" customWidth="1"/>
    <col min="12" max="12" width="10.625" style="3060" customWidth="1"/>
    <col min="13" max="13" width="7.875" style="3060" customWidth="1"/>
    <col min="14" max="14" width="5" style="3060" customWidth="1"/>
    <col min="15" max="15" width="53.75" style="3060" customWidth="1"/>
    <col min="16" max="16" width="7.875" style="3060" customWidth="1"/>
    <col min="17" max="256" width="9" style="3060"/>
    <col min="257" max="257" width="49.625" style="3060" customWidth="1"/>
    <col min="258" max="258" width="6.25" style="3060" customWidth="1"/>
    <col min="259" max="261" width="13.875" style="3060" customWidth="1"/>
    <col min="262" max="262" width="19.125" style="3060" customWidth="1"/>
    <col min="263" max="263" width="7.875" style="3060" customWidth="1"/>
    <col min="264" max="264" width="57.5" style="3060" customWidth="1"/>
    <col min="265" max="266" width="9" style="3060" customWidth="1"/>
    <col min="267" max="268" width="10.625" style="3060" customWidth="1"/>
    <col min="269" max="269" width="14.375" style="3060" customWidth="1"/>
    <col min="270" max="270" width="6.25" style="3060" customWidth="1"/>
    <col min="271" max="271" width="53.75" style="3060" customWidth="1"/>
    <col min="272" max="272" width="7.875" style="3060" customWidth="1"/>
    <col min="273" max="512" width="9" style="3060"/>
    <col min="513" max="513" width="49.625" style="3060" customWidth="1"/>
    <col min="514" max="514" width="6.25" style="3060" customWidth="1"/>
    <col min="515" max="517" width="13.875" style="3060" customWidth="1"/>
    <col min="518" max="518" width="19.125" style="3060" customWidth="1"/>
    <col min="519" max="519" width="7.875" style="3060" customWidth="1"/>
    <col min="520" max="520" width="57.5" style="3060" customWidth="1"/>
    <col min="521" max="522" width="9" style="3060" customWidth="1"/>
    <col min="523" max="524" width="10.625" style="3060" customWidth="1"/>
    <col min="525" max="525" width="14.375" style="3060" customWidth="1"/>
    <col min="526" max="526" width="6.25" style="3060" customWidth="1"/>
    <col min="527" max="527" width="53.75" style="3060" customWidth="1"/>
    <col min="528" max="528" width="7.875" style="3060" customWidth="1"/>
    <col min="529" max="768" width="9" style="3060"/>
    <col min="769" max="769" width="49.625" style="3060" customWidth="1"/>
    <col min="770" max="770" width="6.25" style="3060" customWidth="1"/>
    <col min="771" max="773" width="13.875" style="3060" customWidth="1"/>
    <col min="774" max="774" width="19.125" style="3060" customWidth="1"/>
    <col min="775" max="775" width="7.875" style="3060" customWidth="1"/>
    <col min="776" max="776" width="57.5" style="3060" customWidth="1"/>
    <col min="777" max="778" width="9" style="3060" customWidth="1"/>
    <col min="779" max="780" width="10.625" style="3060" customWidth="1"/>
    <col min="781" max="781" width="14.375" style="3060" customWidth="1"/>
    <col min="782" max="782" width="6.25" style="3060" customWidth="1"/>
    <col min="783" max="783" width="53.75" style="3060" customWidth="1"/>
    <col min="784" max="784" width="7.875" style="3060" customWidth="1"/>
    <col min="785" max="1024" width="9" style="3060"/>
    <col min="1025" max="1025" width="49.625" style="3060" customWidth="1"/>
    <col min="1026" max="1026" width="6.25" style="3060" customWidth="1"/>
    <col min="1027" max="1029" width="13.875" style="3060" customWidth="1"/>
    <col min="1030" max="1030" width="19.125" style="3060" customWidth="1"/>
    <col min="1031" max="1031" width="7.875" style="3060" customWidth="1"/>
    <col min="1032" max="1032" width="57.5" style="3060" customWidth="1"/>
    <col min="1033" max="1034" width="9" style="3060" customWidth="1"/>
    <col min="1035" max="1036" width="10.625" style="3060" customWidth="1"/>
    <col min="1037" max="1037" width="14.375" style="3060" customWidth="1"/>
    <col min="1038" max="1038" width="6.25" style="3060" customWidth="1"/>
    <col min="1039" max="1039" width="53.75" style="3060" customWidth="1"/>
    <col min="1040" max="1040" width="7.875" style="3060" customWidth="1"/>
    <col min="1041" max="1280" width="9" style="3060"/>
    <col min="1281" max="1281" width="49.625" style="3060" customWidth="1"/>
    <col min="1282" max="1282" width="6.25" style="3060" customWidth="1"/>
    <col min="1283" max="1285" width="13.875" style="3060" customWidth="1"/>
    <col min="1286" max="1286" width="19.125" style="3060" customWidth="1"/>
    <col min="1287" max="1287" width="7.875" style="3060" customWidth="1"/>
    <col min="1288" max="1288" width="57.5" style="3060" customWidth="1"/>
    <col min="1289" max="1290" width="9" style="3060" customWidth="1"/>
    <col min="1291" max="1292" width="10.625" style="3060" customWidth="1"/>
    <col min="1293" max="1293" width="14.375" style="3060" customWidth="1"/>
    <col min="1294" max="1294" width="6.25" style="3060" customWidth="1"/>
    <col min="1295" max="1295" width="53.75" style="3060" customWidth="1"/>
    <col min="1296" max="1296" width="7.875" style="3060" customWidth="1"/>
    <col min="1297" max="1536" width="9" style="3060"/>
    <col min="1537" max="1537" width="49.625" style="3060" customWidth="1"/>
    <col min="1538" max="1538" width="6.25" style="3060" customWidth="1"/>
    <col min="1539" max="1541" width="13.875" style="3060" customWidth="1"/>
    <col min="1542" max="1542" width="19.125" style="3060" customWidth="1"/>
    <col min="1543" max="1543" width="7.875" style="3060" customWidth="1"/>
    <col min="1544" max="1544" width="57.5" style="3060" customWidth="1"/>
    <col min="1545" max="1546" width="9" style="3060" customWidth="1"/>
    <col min="1547" max="1548" width="10.625" style="3060" customWidth="1"/>
    <col min="1549" max="1549" width="14.375" style="3060" customWidth="1"/>
    <col min="1550" max="1550" width="6.25" style="3060" customWidth="1"/>
    <col min="1551" max="1551" width="53.75" style="3060" customWidth="1"/>
    <col min="1552" max="1552" width="7.875" style="3060" customWidth="1"/>
    <col min="1553" max="1792" width="9" style="3060"/>
    <col min="1793" max="1793" width="49.625" style="3060" customWidth="1"/>
    <col min="1794" max="1794" width="6.25" style="3060" customWidth="1"/>
    <col min="1795" max="1797" width="13.875" style="3060" customWidth="1"/>
    <col min="1798" max="1798" width="19.125" style="3060" customWidth="1"/>
    <col min="1799" max="1799" width="7.875" style="3060" customWidth="1"/>
    <col min="1800" max="1800" width="57.5" style="3060" customWidth="1"/>
    <col min="1801" max="1802" width="9" style="3060" customWidth="1"/>
    <col min="1803" max="1804" width="10.625" style="3060" customWidth="1"/>
    <col min="1805" max="1805" width="14.375" style="3060" customWidth="1"/>
    <col min="1806" max="1806" width="6.25" style="3060" customWidth="1"/>
    <col min="1807" max="1807" width="53.75" style="3060" customWidth="1"/>
    <col min="1808" max="1808" width="7.875" style="3060" customWidth="1"/>
    <col min="1809" max="2048" width="9" style="3060"/>
    <col min="2049" max="2049" width="49.625" style="3060" customWidth="1"/>
    <col min="2050" max="2050" width="6.25" style="3060" customWidth="1"/>
    <col min="2051" max="2053" width="13.875" style="3060" customWidth="1"/>
    <col min="2054" max="2054" width="19.125" style="3060" customWidth="1"/>
    <col min="2055" max="2055" width="7.875" style="3060" customWidth="1"/>
    <col min="2056" max="2056" width="57.5" style="3060" customWidth="1"/>
    <col min="2057" max="2058" width="9" style="3060" customWidth="1"/>
    <col min="2059" max="2060" width="10.625" style="3060" customWidth="1"/>
    <col min="2061" max="2061" width="14.375" style="3060" customWidth="1"/>
    <col min="2062" max="2062" width="6.25" style="3060" customWidth="1"/>
    <col min="2063" max="2063" width="53.75" style="3060" customWidth="1"/>
    <col min="2064" max="2064" width="7.875" style="3060" customWidth="1"/>
    <col min="2065" max="2304" width="9" style="3060"/>
    <col min="2305" max="2305" width="49.625" style="3060" customWidth="1"/>
    <col min="2306" max="2306" width="6.25" style="3060" customWidth="1"/>
    <col min="2307" max="2309" width="13.875" style="3060" customWidth="1"/>
    <col min="2310" max="2310" width="19.125" style="3060" customWidth="1"/>
    <col min="2311" max="2311" width="7.875" style="3060" customWidth="1"/>
    <col min="2312" max="2312" width="57.5" style="3060" customWidth="1"/>
    <col min="2313" max="2314" width="9" style="3060" customWidth="1"/>
    <col min="2315" max="2316" width="10.625" style="3060" customWidth="1"/>
    <col min="2317" max="2317" width="14.375" style="3060" customWidth="1"/>
    <col min="2318" max="2318" width="6.25" style="3060" customWidth="1"/>
    <col min="2319" max="2319" width="53.75" style="3060" customWidth="1"/>
    <col min="2320" max="2320" width="7.875" style="3060" customWidth="1"/>
    <col min="2321" max="2560" width="9" style="3060"/>
    <col min="2561" max="2561" width="49.625" style="3060" customWidth="1"/>
    <col min="2562" max="2562" width="6.25" style="3060" customWidth="1"/>
    <col min="2563" max="2565" width="13.875" style="3060" customWidth="1"/>
    <col min="2566" max="2566" width="19.125" style="3060" customWidth="1"/>
    <col min="2567" max="2567" width="7.875" style="3060" customWidth="1"/>
    <col min="2568" max="2568" width="57.5" style="3060" customWidth="1"/>
    <col min="2569" max="2570" width="9" style="3060" customWidth="1"/>
    <col min="2571" max="2572" width="10.625" style="3060" customWidth="1"/>
    <col min="2573" max="2573" width="14.375" style="3060" customWidth="1"/>
    <col min="2574" max="2574" width="6.25" style="3060" customWidth="1"/>
    <col min="2575" max="2575" width="53.75" style="3060" customWidth="1"/>
    <col min="2576" max="2576" width="7.875" style="3060" customWidth="1"/>
    <col min="2577" max="2816" width="9" style="3060"/>
    <col min="2817" max="2817" width="49.625" style="3060" customWidth="1"/>
    <col min="2818" max="2818" width="6.25" style="3060" customWidth="1"/>
    <col min="2819" max="2821" width="13.875" style="3060" customWidth="1"/>
    <col min="2822" max="2822" width="19.125" style="3060" customWidth="1"/>
    <col min="2823" max="2823" width="7.875" style="3060" customWidth="1"/>
    <col min="2824" max="2824" width="57.5" style="3060" customWidth="1"/>
    <col min="2825" max="2826" width="9" style="3060" customWidth="1"/>
    <col min="2827" max="2828" width="10.625" style="3060" customWidth="1"/>
    <col min="2829" max="2829" width="14.375" style="3060" customWidth="1"/>
    <col min="2830" max="2830" width="6.25" style="3060" customWidth="1"/>
    <col min="2831" max="2831" width="53.75" style="3060" customWidth="1"/>
    <col min="2832" max="2832" width="7.875" style="3060" customWidth="1"/>
    <col min="2833" max="3072" width="9" style="3060"/>
    <col min="3073" max="3073" width="49.625" style="3060" customWidth="1"/>
    <col min="3074" max="3074" width="6.25" style="3060" customWidth="1"/>
    <col min="3075" max="3077" width="13.875" style="3060" customWidth="1"/>
    <col min="3078" max="3078" width="19.125" style="3060" customWidth="1"/>
    <col min="3079" max="3079" width="7.875" style="3060" customWidth="1"/>
    <col min="3080" max="3080" width="57.5" style="3060" customWidth="1"/>
    <col min="3081" max="3082" width="9" style="3060" customWidth="1"/>
    <col min="3083" max="3084" width="10.625" style="3060" customWidth="1"/>
    <col min="3085" max="3085" width="14.375" style="3060" customWidth="1"/>
    <col min="3086" max="3086" width="6.25" style="3060" customWidth="1"/>
    <col min="3087" max="3087" width="53.75" style="3060" customWidth="1"/>
    <col min="3088" max="3088" width="7.875" style="3060" customWidth="1"/>
    <col min="3089" max="3328" width="9" style="3060"/>
    <col min="3329" max="3329" width="49.625" style="3060" customWidth="1"/>
    <col min="3330" max="3330" width="6.25" style="3060" customWidth="1"/>
    <col min="3331" max="3333" width="13.875" style="3060" customWidth="1"/>
    <col min="3334" max="3334" width="19.125" style="3060" customWidth="1"/>
    <col min="3335" max="3335" width="7.875" style="3060" customWidth="1"/>
    <col min="3336" max="3336" width="57.5" style="3060" customWidth="1"/>
    <col min="3337" max="3338" width="9" style="3060" customWidth="1"/>
    <col min="3339" max="3340" width="10.625" style="3060" customWidth="1"/>
    <col min="3341" max="3341" width="14.375" style="3060" customWidth="1"/>
    <col min="3342" max="3342" width="6.25" style="3060" customWidth="1"/>
    <col min="3343" max="3343" width="53.75" style="3060" customWidth="1"/>
    <col min="3344" max="3344" width="7.875" style="3060" customWidth="1"/>
    <col min="3345" max="3584" width="9" style="3060"/>
    <col min="3585" max="3585" width="49.625" style="3060" customWidth="1"/>
    <col min="3586" max="3586" width="6.25" style="3060" customWidth="1"/>
    <col min="3587" max="3589" width="13.875" style="3060" customWidth="1"/>
    <col min="3590" max="3590" width="19.125" style="3060" customWidth="1"/>
    <col min="3591" max="3591" width="7.875" style="3060" customWidth="1"/>
    <col min="3592" max="3592" width="57.5" style="3060" customWidth="1"/>
    <col min="3593" max="3594" width="9" style="3060" customWidth="1"/>
    <col min="3595" max="3596" width="10.625" style="3060" customWidth="1"/>
    <col min="3597" max="3597" width="14.375" style="3060" customWidth="1"/>
    <col min="3598" max="3598" width="6.25" style="3060" customWidth="1"/>
    <col min="3599" max="3599" width="53.75" style="3060" customWidth="1"/>
    <col min="3600" max="3600" width="7.875" style="3060" customWidth="1"/>
    <col min="3601" max="3840" width="9" style="3060"/>
    <col min="3841" max="3841" width="49.625" style="3060" customWidth="1"/>
    <col min="3842" max="3842" width="6.25" style="3060" customWidth="1"/>
    <col min="3843" max="3845" width="13.875" style="3060" customWidth="1"/>
    <col min="3846" max="3846" width="19.125" style="3060" customWidth="1"/>
    <col min="3847" max="3847" width="7.875" style="3060" customWidth="1"/>
    <col min="3848" max="3848" width="57.5" style="3060" customWidth="1"/>
    <col min="3849" max="3850" width="9" style="3060" customWidth="1"/>
    <col min="3851" max="3852" width="10.625" style="3060" customWidth="1"/>
    <col min="3853" max="3853" width="14.375" style="3060" customWidth="1"/>
    <col min="3854" max="3854" width="6.25" style="3060" customWidth="1"/>
    <col min="3855" max="3855" width="53.75" style="3060" customWidth="1"/>
    <col min="3856" max="3856" width="7.875" style="3060" customWidth="1"/>
    <col min="3857" max="4096" width="9" style="3060"/>
    <col min="4097" max="4097" width="49.625" style="3060" customWidth="1"/>
    <col min="4098" max="4098" width="6.25" style="3060" customWidth="1"/>
    <col min="4099" max="4101" width="13.875" style="3060" customWidth="1"/>
    <col min="4102" max="4102" width="19.125" style="3060" customWidth="1"/>
    <col min="4103" max="4103" width="7.875" style="3060" customWidth="1"/>
    <col min="4104" max="4104" width="57.5" style="3060" customWidth="1"/>
    <col min="4105" max="4106" width="9" style="3060" customWidth="1"/>
    <col min="4107" max="4108" width="10.625" style="3060" customWidth="1"/>
    <col min="4109" max="4109" width="14.375" style="3060" customWidth="1"/>
    <col min="4110" max="4110" width="6.25" style="3060" customWidth="1"/>
    <col min="4111" max="4111" width="53.75" style="3060" customWidth="1"/>
    <col min="4112" max="4112" width="7.875" style="3060" customWidth="1"/>
    <col min="4113" max="4352" width="9" style="3060"/>
    <col min="4353" max="4353" width="49.625" style="3060" customWidth="1"/>
    <col min="4354" max="4354" width="6.25" style="3060" customWidth="1"/>
    <col min="4355" max="4357" width="13.875" style="3060" customWidth="1"/>
    <col min="4358" max="4358" width="19.125" style="3060" customWidth="1"/>
    <col min="4359" max="4359" width="7.875" style="3060" customWidth="1"/>
    <col min="4360" max="4360" width="57.5" style="3060" customWidth="1"/>
    <col min="4361" max="4362" width="9" style="3060" customWidth="1"/>
    <col min="4363" max="4364" width="10.625" style="3060" customWidth="1"/>
    <col min="4365" max="4365" width="14.375" style="3060" customWidth="1"/>
    <col min="4366" max="4366" width="6.25" style="3060" customWidth="1"/>
    <col min="4367" max="4367" width="53.75" style="3060" customWidth="1"/>
    <col min="4368" max="4368" width="7.875" style="3060" customWidth="1"/>
    <col min="4369" max="4608" width="9" style="3060"/>
    <col min="4609" max="4609" width="49.625" style="3060" customWidth="1"/>
    <col min="4610" max="4610" width="6.25" style="3060" customWidth="1"/>
    <col min="4611" max="4613" width="13.875" style="3060" customWidth="1"/>
    <col min="4614" max="4614" width="19.125" style="3060" customWidth="1"/>
    <col min="4615" max="4615" width="7.875" style="3060" customWidth="1"/>
    <col min="4616" max="4616" width="57.5" style="3060" customWidth="1"/>
    <col min="4617" max="4618" width="9" style="3060" customWidth="1"/>
    <col min="4619" max="4620" width="10.625" style="3060" customWidth="1"/>
    <col min="4621" max="4621" width="14.375" style="3060" customWidth="1"/>
    <col min="4622" max="4622" width="6.25" style="3060" customWidth="1"/>
    <col min="4623" max="4623" width="53.75" style="3060" customWidth="1"/>
    <col min="4624" max="4624" width="7.875" style="3060" customWidth="1"/>
    <col min="4625" max="4864" width="9" style="3060"/>
    <col min="4865" max="4865" width="49.625" style="3060" customWidth="1"/>
    <col min="4866" max="4866" width="6.25" style="3060" customWidth="1"/>
    <col min="4867" max="4869" width="13.875" style="3060" customWidth="1"/>
    <col min="4870" max="4870" width="19.125" style="3060" customWidth="1"/>
    <col min="4871" max="4871" width="7.875" style="3060" customWidth="1"/>
    <col min="4872" max="4872" width="57.5" style="3060" customWidth="1"/>
    <col min="4873" max="4874" width="9" style="3060" customWidth="1"/>
    <col min="4875" max="4876" width="10.625" style="3060" customWidth="1"/>
    <col min="4877" max="4877" width="14.375" style="3060" customWidth="1"/>
    <col min="4878" max="4878" width="6.25" style="3060" customWidth="1"/>
    <col min="4879" max="4879" width="53.75" style="3060" customWidth="1"/>
    <col min="4880" max="4880" width="7.875" style="3060" customWidth="1"/>
    <col min="4881" max="5120" width="9" style="3060"/>
    <col min="5121" max="5121" width="49.625" style="3060" customWidth="1"/>
    <col min="5122" max="5122" width="6.25" style="3060" customWidth="1"/>
    <col min="5123" max="5125" width="13.875" style="3060" customWidth="1"/>
    <col min="5126" max="5126" width="19.125" style="3060" customWidth="1"/>
    <col min="5127" max="5127" width="7.875" style="3060" customWidth="1"/>
    <col min="5128" max="5128" width="57.5" style="3060" customWidth="1"/>
    <col min="5129" max="5130" width="9" style="3060" customWidth="1"/>
    <col min="5131" max="5132" width="10.625" style="3060" customWidth="1"/>
    <col min="5133" max="5133" width="14.375" style="3060" customWidth="1"/>
    <col min="5134" max="5134" width="6.25" style="3060" customWidth="1"/>
    <col min="5135" max="5135" width="53.75" style="3060" customWidth="1"/>
    <col min="5136" max="5136" width="7.875" style="3060" customWidth="1"/>
    <col min="5137" max="5376" width="9" style="3060"/>
    <col min="5377" max="5377" width="49.625" style="3060" customWidth="1"/>
    <col min="5378" max="5378" width="6.25" style="3060" customWidth="1"/>
    <col min="5379" max="5381" width="13.875" style="3060" customWidth="1"/>
    <col min="5382" max="5382" width="19.125" style="3060" customWidth="1"/>
    <col min="5383" max="5383" width="7.875" style="3060" customWidth="1"/>
    <col min="5384" max="5384" width="57.5" style="3060" customWidth="1"/>
    <col min="5385" max="5386" width="9" style="3060" customWidth="1"/>
    <col min="5387" max="5388" width="10.625" style="3060" customWidth="1"/>
    <col min="5389" max="5389" width="14.375" style="3060" customWidth="1"/>
    <col min="5390" max="5390" width="6.25" style="3060" customWidth="1"/>
    <col min="5391" max="5391" width="53.75" style="3060" customWidth="1"/>
    <col min="5392" max="5392" width="7.875" style="3060" customWidth="1"/>
    <col min="5393" max="5632" width="9" style="3060"/>
    <col min="5633" max="5633" width="49.625" style="3060" customWidth="1"/>
    <col min="5634" max="5634" width="6.25" style="3060" customWidth="1"/>
    <col min="5635" max="5637" width="13.875" style="3060" customWidth="1"/>
    <col min="5638" max="5638" width="19.125" style="3060" customWidth="1"/>
    <col min="5639" max="5639" width="7.875" style="3060" customWidth="1"/>
    <col min="5640" max="5640" width="57.5" style="3060" customWidth="1"/>
    <col min="5641" max="5642" width="9" style="3060" customWidth="1"/>
    <col min="5643" max="5644" width="10.625" style="3060" customWidth="1"/>
    <col min="5645" max="5645" width="14.375" style="3060" customWidth="1"/>
    <col min="5646" max="5646" width="6.25" style="3060" customWidth="1"/>
    <col min="5647" max="5647" width="53.75" style="3060" customWidth="1"/>
    <col min="5648" max="5648" width="7.875" style="3060" customWidth="1"/>
    <col min="5649" max="5888" width="9" style="3060"/>
    <col min="5889" max="5889" width="49.625" style="3060" customWidth="1"/>
    <col min="5890" max="5890" width="6.25" style="3060" customWidth="1"/>
    <col min="5891" max="5893" width="13.875" style="3060" customWidth="1"/>
    <col min="5894" max="5894" width="19.125" style="3060" customWidth="1"/>
    <col min="5895" max="5895" width="7.875" style="3060" customWidth="1"/>
    <col min="5896" max="5896" width="57.5" style="3060" customWidth="1"/>
    <col min="5897" max="5898" width="9" style="3060" customWidth="1"/>
    <col min="5899" max="5900" width="10.625" style="3060" customWidth="1"/>
    <col min="5901" max="5901" width="14.375" style="3060" customWidth="1"/>
    <col min="5902" max="5902" width="6.25" style="3060" customWidth="1"/>
    <col min="5903" max="5903" width="53.75" style="3060" customWidth="1"/>
    <col min="5904" max="5904" width="7.875" style="3060" customWidth="1"/>
    <col min="5905" max="6144" width="9" style="3060"/>
    <col min="6145" max="6145" width="49.625" style="3060" customWidth="1"/>
    <col min="6146" max="6146" width="6.25" style="3060" customWidth="1"/>
    <col min="6147" max="6149" width="13.875" style="3060" customWidth="1"/>
    <col min="6150" max="6150" width="19.125" style="3060" customWidth="1"/>
    <col min="6151" max="6151" width="7.875" style="3060" customWidth="1"/>
    <col min="6152" max="6152" width="57.5" style="3060" customWidth="1"/>
    <col min="6153" max="6154" width="9" style="3060" customWidth="1"/>
    <col min="6155" max="6156" width="10.625" style="3060" customWidth="1"/>
    <col min="6157" max="6157" width="14.375" style="3060" customWidth="1"/>
    <col min="6158" max="6158" width="6.25" style="3060" customWidth="1"/>
    <col min="6159" max="6159" width="53.75" style="3060" customWidth="1"/>
    <col min="6160" max="6160" width="7.875" style="3060" customWidth="1"/>
    <col min="6161" max="6400" width="9" style="3060"/>
    <col min="6401" max="6401" width="49.625" style="3060" customWidth="1"/>
    <col min="6402" max="6402" width="6.25" style="3060" customWidth="1"/>
    <col min="6403" max="6405" width="13.875" style="3060" customWidth="1"/>
    <col min="6406" max="6406" width="19.125" style="3060" customWidth="1"/>
    <col min="6407" max="6407" width="7.875" style="3060" customWidth="1"/>
    <col min="6408" max="6408" width="57.5" style="3060" customWidth="1"/>
    <col min="6409" max="6410" width="9" style="3060" customWidth="1"/>
    <col min="6411" max="6412" width="10.625" style="3060" customWidth="1"/>
    <col min="6413" max="6413" width="14.375" style="3060" customWidth="1"/>
    <col min="6414" max="6414" width="6.25" style="3060" customWidth="1"/>
    <col min="6415" max="6415" width="53.75" style="3060" customWidth="1"/>
    <col min="6416" max="6416" width="7.875" style="3060" customWidth="1"/>
    <col min="6417" max="6656" width="9" style="3060"/>
    <col min="6657" max="6657" width="49.625" style="3060" customWidth="1"/>
    <col min="6658" max="6658" width="6.25" style="3060" customWidth="1"/>
    <col min="6659" max="6661" width="13.875" style="3060" customWidth="1"/>
    <col min="6662" max="6662" width="19.125" style="3060" customWidth="1"/>
    <col min="6663" max="6663" width="7.875" style="3060" customWidth="1"/>
    <col min="6664" max="6664" width="57.5" style="3060" customWidth="1"/>
    <col min="6665" max="6666" width="9" style="3060" customWidth="1"/>
    <col min="6667" max="6668" width="10.625" style="3060" customWidth="1"/>
    <col min="6669" max="6669" width="14.375" style="3060" customWidth="1"/>
    <col min="6670" max="6670" width="6.25" style="3060" customWidth="1"/>
    <col min="6671" max="6671" width="53.75" style="3060" customWidth="1"/>
    <col min="6672" max="6672" width="7.875" style="3060" customWidth="1"/>
    <col min="6673" max="6912" width="9" style="3060"/>
    <col min="6913" max="6913" width="49.625" style="3060" customWidth="1"/>
    <col min="6914" max="6914" width="6.25" style="3060" customWidth="1"/>
    <col min="6915" max="6917" width="13.875" style="3060" customWidth="1"/>
    <col min="6918" max="6918" width="19.125" style="3060" customWidth="1"/>
    <col min="6919" max="6919" width="7.875" style="3060" customWidth="1"/>
    <col min="6920" max="6920" width="57.5" style="3060" customWidth="1"/>
    <col min="6921" max="6922" width="9" style="3060" customWidth="1"/>
    <col min="6923" max="6924" width="10.625" style="3060" customWidth="1"/>
    <col min="6925" max="6925" width="14.375" style="3060" customWidth="1"/>
    <col min="6926" max="6926" width="6.25" style="3060" customWidth="1"/>
    <col min="6927" max="6927" width="53.75" style="3060" customWidth="1"/>
    <col min="6928" max="6928" width="7.875" style="3060" customWidth="1"/>
    <col min="6929" max="7168" width="9" style="3060"/>
    <col min="7169" max="7169" width="49.625" style="3060" customWidth="1"/>
    <col min="7170" max="7170" width="6.25" style="3060" customWidth="1"/>
    <col min="7171" max="7173" width="13.875" style="3060" customWidth="1"/>
    <col min="7174" max="7174" width="19.125" style="3060" customWidth="1"/>
    <col min="7175" max="7175" width="7.875" style="3060" customWidth="1"/>
    <col min="7176" max="7176" width="57.5" style="3060" customWidth="1"/>
    <col min="7177" max="7178" width="9" style="3060" customWidth="1"/>
    <col min="7179" max="7180" width="10.625" style="3060" customWidth="1"/>
    <col min="7181" max="7181" width="14.375" style="3060" customWidth="1"/>
    <col min="7182" max="7182" width="6.25" style="3060" customWidth="1"/>
    <col min="7183" max="7183" width="53.75" style="3060" customWidth="1"/>
    <col min="7184" max="7184" width="7.875" style="3060" customWidth="1"/>
    <col min="7185" max="7424" width="9" style="3060"/>
    <col min="7425" max="7425" width="49.625" style="3060" customWidth="1"/>
    <col min="7426" max="7426" width="6.25" style="3060" customWidth="1"/>
    <col min="7427" max="7429" width="13.875" style="3060" customWidth="1"/>
    <col min="7430" max="7430" width="19.125" style="3060" customWidth="1"/>
    <col min="7431" max="7431" width="7.875" style="3060" customWidth="1"/>
    <col min="7432" max="7432" width="57.5" style="3060" customWidth="1"/>
    <col min="7433" max="7434" width="9" style="3060" customWidth="1"/>
    <col min="7435" max="7436" width="10.625" style="3060" customWidth="1"/>
    <col min="7437" max="7437" width="14.375" style="3060" customWidth="1"/>
    <col min="7438" max="7438" width="6.25" style="3060" customWidth="1"/>
    <col min="7439" max="7439" width="53.75" style="3060" customWidth="1"/>
    <col min="7440" max="7440" width="7.875" style="3060" customWidth="1"/>
    <col min="7441" max="7680" width="9" style="3060"/>
    <col min="7681" max="7681" width="49.625" style="3060" customWidth="1"/>
    <col min="7682" max="7682" width="6.25" style="3060" customWidth="1"/>
    <col min="7683" max="7685" width="13.875" style="3060" customWidth="1"/>
    <col min="7686" max="7686" width="19.125" style="3060" customWidth="1"/>
    <col min="7687" max="7687" width="7.875" style="3060" customWidth="1"/>
    <col min="7688" max="7688" width="57.5" style="3060" customWidth="1"/>
    <col min="7689" max="7690" width="9" style="3060" customWidth="1"/>
    <col min="7691" max="7692" width="10.625" style="3060" customWidth="1"/>
    <col min="7693" max="7693" width="14.375" style="3060" customWidth="1"/>
    <col min="7694" max="7694" width="6.25" style="3060" customWidth="1"/>
    <col min="7695" max="7695" width="53.75" style="3060" customWidth="1"/>
    <col min="7696" max="7696" width="7.875" style="3060" customWidth="1"/>
    <col min="7697" max="7936" width="9" style="3060"/>
    <col min="7937" max="7937" width="49.625" style="3060" customWidth="1"/>
    <col min="7938" max="7938" width="6.25" style="3060" customWidth="1"/>
    <col min="7939" max="7941" width="13.875" style="3060" customWidth="1"/>
    <col min="7942" max="7942" width="19.125" style="3060" customWidth="1"/>
    <col min="7943" max="7943" width="7.875" style="3060" customWidth="1"/>
    <col min="7944" max="7944" width="57.5" style="3060" customWidth="1"/>
    <col min="7945" max="7946" width="9" style="3060" customWidth="1"/>
    <col min="7947" max="7948" width="10.625" style="3060" customWidth="1"/>
    <col min="7949" max="7949" width="14.375" style="3060" customWidth="1"/>
    <col min="7950" max="7950" width="6.25" style="3060" customWidth="1"/>
    <col min="7951" max="7951" width="53.75" style="3060" customWidth="1"/>
    <col min="7952" max="7952" width="7.875" style="3060" customWidth="1"/>
    <col min="7953" max="8192" width="9" style="3060"/>
    <col min="8193" max="8193" width="49.625" style="3060" customWidth="1"/>
    <col min="8194" max="8194" width="6.25" style="3060" customWidth="1"/>
    <col min="8195" max="8197" width="13.875" style="3060" customWidth="1"/>
    <col min="8198" max="8198" width="19.125" style="3060" customWidth="1"/>
    <col min="8199" max="8199" width="7.875" style="3060" customWidth="1"/>
    <col min="8200" max="8200" width="57.5" style="3060" customWidth="1"/>
    <col min="8201" max="8202" width="9" style="3060" customWidth="1"/>
    <col min="8203" max="8204" width="10.625" style="3060" customWidth="1"/>
    <col min="8205" max="8205" width="14.375" style="3060" customWidth="1"/>
    <col min="8206" max="8206" width="6.25" style="3060" customWidth="1"/>
    <col min="8207" max="8207" width="53.75" style="3060" customWidth="1"/>
    <col min="8208" max="8208" width="7.875" style="3060" customWidth="1"/>
    <col min="8209" max="8448" width="9" style="3060"/>
    <col min="8449" max="8449" width="49.625" style="3060" customWidth="1"/>
    <col min="8450" max="8450" width="6.25" style="3060" customWidth="1"/>
    <col min="8451" max="8453" width="13.875" style="3060" customWidth="1"/>
    <col min="8454" max="8454" width="19.125" style="3060" customWidth="1"/>
    <col min="8455" max="8455" width="7.875" style="3060" customWidth="1"/>
    <col min="8456" max="8456" width="57.5" style="3060" customWidth="1"/>
    <col min="8457" max="8458" width="9" style="3060" customWidth="1"/>
    <col min="8459" max="8460" width="10.625" style="3060" customWidth="1"/>
    <col min="8461" max="8461" width="14.375" style="3060" customWidth="1"/>
    <col min="8462" max="8462" width="6.25" style="3060" customWidth="1"/>
    <col min="8463" max="8463" width="53.75" style="3060" customWidth="1"/>
    <col min="8464" max="8464" width="7.875" style="3060" customWidth="1"/>
    <col min="8465" max="8704" width="9" style="3060"/>
    <col min="8705" max="8705" width="49.625" style="3060" customWidth="1"/>
    <col min="8706" max="8706" width="6.25" style="3060" customWidth="1"/>
    <col min="8707" max="8709" width="13.875" style="3060" customWidth="1"/>
    <col min="8710" max="8710" width="19.125" style="3060" customWidth="1"/>
    <col min="8711" max="8711" width="7.875" style="3060" customWidth="1"/>
    <col min="8712" max="8712" width="57.5" style="3060" customWidth="1"/>
    <col min="8713" max="8714" width="9" style="3060" customWidth="1"/>
    <col min="8715" max="8716" width="10.625" style="3060" customWidth="1"/>
    <col min="8717" max="8717" width="14.375" style="3060" customWidth="1"/>
    <col min="8718" max="8718" width="6.25" style="3060" customWidth="1"/>
    <col min="8719" max="8719" width="53.75" style="3060" customWidth="1"/>
    <col min="8720" max="8720" width="7.875" style="3060" customWidth="1"/>
    <col min="8721" max="8960" width="9" style="3060"/>
    <col min="8961" max="8961" width="49.625" style="3060" customWidth="1"/>
    <col min="8962" max="8962" width="6.25" style="3060" customWidth="1"/>
    <col min="8963" max="8965" width="13.875" style="3060" customWidth="1"/>
    <col min="8966" max="8966" width="19.125" style="3060" customWidth="1"/>
    <col min="8967" max="8967" width="7.875" style="3060" customWidth="1"/>
    <col min="8968" max="8968" width="57.5" style="3060" customWidth="1"/>
    <col min="8969" max="8970" width="9" style="3060" customWidth="1"/>
    <col min="8971" max="8972" width="10.625" style="3060" customWidth="1"/>
    <col min="8973" max="8973" width="14.375" style="3060" customWidth="1"/>
    <col min="8974" max="8974" width="6.25" style="3060" customWidth="1"/>
    <col min="8975" max="8975" width="53.75" style="3060" customWidth="1"/>
    <col min="8976" max="8976" width="7.875" style="3060" customWidth="1"/>
    <col min="8977" max="9216" width="9" style="3060"/>
    <col min="9217" max="9217" width="49.625" style="3060" customWidth="1"/>
    <col min="9218" max="9218" width="6.25" style="3060" customWidth="1"/>
    <col min="9219" max="9221" width="13.875" style="3060" customWidth="1"/>
    <col min="9222" max="9222" width="19.125" style="3060" customWidth="1"/>
    <col min="9223" max="9223" width="7.875" style="3060" customWidth="1"/>
    <col min="9224" max="9224" width="57.5" style="3060" customWidth="1"/>
    <col min="9225" max="9226" width="9" style="3060" customWidth="1"/>
    <col min="9227" max="9228" width="10.625" style="3060" customWidth="1"/>
    <col min="9229" max="9229" width="14.375" style="3060" customWidth="1"/>
    <col min="9230" max="9230" width="6.25" style="3060" customWidth="1"/>
    <col min="9231" max="9231" width="53.75" style="3060" customWidth="1"/>
    <col min="9232" max="9232" width="7.875" style="3060" customWidth="1"/>
    <col min="9233" max="9472" width="9" style="3060"/>
    <col min="9473" max="9473" width="49.625" style="3060" customWidth="1"/>
    <col min="9474" max="9474" width="6.25" style="3060" customWidth="1"/>
    <col min="9475" max="9477" width="13.875" style="3060" customWidth="1"/>
    <col min="9478" max="9478" width="19.125" style="3060" customWidth="1"/>
    <col min="9479" max="9479" width="7.875" style="3060" customWidth="1"/>
    <col min="9480" max="9480" width="57.5" style="3060" customWidth="1"/>
    <col min="9481" max="9482" width="9" style="3060" customWidth="1"/>
    <col min="9483" max="9484" width="10.625" style="3060" customWidth="1"/>
    <col min="9485" max="9485" width="14.375" style="3060" customWidth="1"/>
    <col min="9486" max="9486" width="6.25" style="3060" customWidth="1"/>
    <col min="9487" max="9487" width="53.75" style="3060" customWidth="1"/>
    <col min="9488" max="9488" width="7.875" style="3060" customWidth="1"/>
    <col min="9489" max="9728" width="9" style="3060"/>
    <col min="9729" max="9729" width="49.625" style="3060" customWidth="1"/>
    <col min="9730" max="9730" width="6.25" style="3060" customWidth="1"/>
    <col min="9731" max="9733" width="13.875" style="3060" customWidth="1"/>
    <col min="9734" max="9734" width="19.125" style="3060" customWidth="1"/>
    <col min="9735" max="9735" width="7.875" style="3060" customWidth="1"/>
    <col min="9736" max="9736" width="57.5" style="3060" customWidth="1"/>
    <col min="9737" max="9738" width="9" style="3060" customWidth="1"/>
    <col min="9739" max="9740" width="10.625" style="3060" customWidth="1"/>
    <col min="9741" max="9741" width="14.375" style="3060" customWidth="1"/>
    <col min="9742" max="9742" width="6.25" style="3060" customWidth="1"/>
    <col min="9743" max="9743" width="53.75" style="3060" customWidth="1"/>
    <col min="9744" max="9744" width="7.875" style="3060" customWidth="1"/>
    <col min="9745" max="9984" width="9" style="3060"/>
    <col min="9985" max="9985" width="49.625" style="3060" customWidth="1"/>
    <col min="9986" max="9986" width="6.25" style="3060" customWidth="1"/>
    <col min="9987" max="9989" width="13.875" style="3060" customWidth="1"/>
    <col min="9990" max="9990" width="19.125" style="3060" customWidth="1"/>
    <col min="9991" max="9991" width="7.875" style="3060" customWidth="1"/>
    <col min="9992" max="9992" width="57.5" style="3060" customWidth="1"/>
    <col min="9993" max="9994" width="9" style="3060" customWidth="1"/>
    <col min="9995" max="9996" width="10.625" style="3060" customWidth="1"/>
    <col min="9997" max="9997" width="14.375" style="3060" customWidth="1"/>
    <col min="9998" max="9998" width="6.25" style="3060" customWidth="1"/>
    <col min="9999" max="9999" width="53.75" style="3060" customWidth="1"/>
    <col min="10000" max="10000" width="7.875" style="3060" customWidth="1"/>
    <col min="10001" max="10240" width="9" style="3060"/>
    <col min="10241" max="10241" width="49.625" style="3060" customWidth="1"/>
    <col min="10242" max="10242" width="6.25" style="3060" customWidth="1"/>
    <col min="10243" max="10245" width="13.875" style="3060" customWidth="1"/>
    <col min="10246" max="10246" width="19.125" style="3060" customWidth="1"/>
    <col min="10247" max="10247" width="7.875" style="3060" customWidth="1"/>
    <col min="10248" max="10248" width="57.5" style="3060" customWidth="1"/>
    <col min="10249" max="10250" width="9" style="3060" customWidth="1"/>
    <col min="10251" max="10252" width="10.625" style="3060" customWidth="1"/>
    <col min="10253" max="10253" width="14.375" style="3060" customWidth="1"/>
    <col min="10254" max="10254" width="6.25" style="3060" customWidth="1"/>
    <col min="10255" max="10255" width="53.75" style="3060" customWidth="1"/>
    <col min="10256" max="10256" width="7.875" style="3060" customWidth="1"/>
    <col min="10257" max="10496" width="9" style="3060"/>
    <col min="10497" max="10497" width="49.625" style="3060" customWidth="1"/>
    <col min="10498" max="10498" width="6.25" style="3060" customWidth="1"/>
    <col min="10499" max="10501" width="13.875" style="3060" customWidth="1"/>
    <col min="10502" max="10502" width="19.125" style="3060" customWidth="1"/>
    <col min="10503" max="10503" width="7.875" style="3060" customWidth="1"/>
    <col min="10504" max="10504" width="57.5" style="3060" customWidth="1"/>
    <col min="10505" max="10506" width="9" style="3060" customWidth="1"/>
    <col min="10507" max="10508" width="10.625" style="3060" customWidth="1"/>
    <col min="10509" max="10509" width="14.375" style="3060" customWidth="1"/>
    <col min="10510" max="10510" width="6.25" style="3060" customWidth="1"/>
    <col min="10511" max="10511" width="53.75" style="3060" customWidth="1"/>
    <col min="10512" max="10512" width="7.875" style="3060" customWidth="1"/>
    <col min="10513" max="10752" width="9" style="3060"/>
    <col min="10753" max="10753" width="49.625" style="3060" customWidth="1"/>
    <col min="10754" max="10754" width="6.25" style="3060" customWidth="1"/>
    <col min="10755" max="10757" width="13.875" style="3060" customWidth="1"/>
    <col min="10758" max="10758" width="19.125" style="3060" customWidth="1"/>
    <col min="10759" max="10759" width="7.875" style="3060" customWidth="1"/>
    <col min="10760" max="10760" width="57.5" style="3060" customWidth="1"/>
    <col min="10761" max="10762" width="9" style="3060" customWidth="1"/>
    <col min="10763" max="10764" width="10.625" style="3060" customWidth="1"/>
    <col min="10765" max="10765" width="14.375" style="3060" customWidth="1"/>
    <col min="10766" max="10766" width="6.25" style="3060" customWidth="1"/>
    <col min="10767" max="10767" width="53.75" style="3060" customWidth="1"/>
    <col min="10768" max="10768" width="7.875" style="3060" customWidth="1"/>
    <col min="10769" max="11008" width="9" style="3060"/>
    <col min="11009" max="11009" width="49.625" style="3060" customWidth="1"/>
    <col min="11010" max="11010" width="6.25" style="3060" customWidth="1"/>
    <col min="11011" max="11013" width="13.875" style="3060" customWidth="1"/>
    <col min="11014" max="11014" width="19.125" style="3060" customWidth="1"/>
    <col min="11015" max="11015" width="7.875" style="3060" customWidth="1"/>
    <col min="11016" max="11016" width="57.5" style="3060" customWidth="1"/>
    <col min="11017" max="11018" width="9" style="3060" customWidth="1"/>
    <col min="11019" max="11020" width="10.625" style="3060" customWidth="1"/>
    <col min="11021" max="11021" width="14.375" style="3060" customWidth="1"/>
    <col min="11022" max="11022" width="6.25" style="3060" customWidth="1"/>
    <col min="11023" max="11023" width="53.75" style="3060" customWidth="1"/>
    <col min="11024" max="11024" width="7.875" style="3060" customWidth="1"/>
    <col min="11025" max="11264" width="9" style="3060"/>
    <col min="11265" max="11265" width="49.625" style="3060" customWidth="1"/>
    <col min="11266" max="11266" width="6.25" style="3060" customWidth="1"/>
    <col min="11267" max="11269" width="13.875" style="3060" customWidth="1"/>
    <col min="11270" max="11270" width="19.125" style="3060" customWidth="1"/>
    <col min="11271" max="11271" width="7.875" style="3060" customWidth="1"/>
    <col min="11272" max="11272" width="57.5" style="3060" customWidth="1"/>
    <col min="11273" max="11274" width="9" style="3060" customWidth="1"/>
    <col min="11275" max="11276" width="10.625" style="3060" customWidth="1"/>
    <col min="11277" max="11277" width="14.375" style="3060" customWidth="1"/>
    <col min="11278" max="11278" width="6.25" style="3060" customWidth="1"/>
    <col min="11279" max="11279" width="53.75" style="3060" customWidth="1"/>
    <col min="11280" max="11280" width="7.875" style="3060" customWidth="1"/>
    <col min="11281" max="11520" width="9" style="3060"/>
    <col min="11521" max="11521" width="49.625" style="3060" customWidth="1"/>
    <col min="11522" max="11522" width="6.25" style="3060" customWidth="1"/>
    <col min="11523" max="11525" width="13.875" style="3060" customWidth="1"/>
    <col min="11526" max="11526" width="19.125" style="3060" customWidth="1"/>
    <col min="11527" max="11527" width="7.875" style="3060" customWidth="1"/>
    <col min="11528" max="11528" width="57.5" style="3060" customWidth="1"/>
    <col min="11529" max="11530" width="9" style="3060" customWidth="1"/>
    <col min="11531" max="11532" width="10.625" style="3060" customWidth="1"/>
    <col min="11533" max="11533" width="14.375" style="3060" customWidth="1"/>
    <col min="11534" max="11534" width="6.25" style="3060" customWidth="1"/>
    <col min="11535" max="11535" width="53.75" style="3060" customWidth="1"/>
    <col min="11536" max="11536" width="7.875" style="3060" customWidth="1"/>
    <col min="11537" max="11776" width="9" style="3060"/>
    <col min="11777" max="11777" width="49.625" style="3060" customWidth="1"/>
    <col min="11778" max="11778" width="6.25" style="3060" customWidth="1"/>
    <col min="11779" max="11781" width="13.875" style="3060" customWidth="1"/>
    <col min="11782" max="11782" width="19.125" style="3060" customWidth="1"/>
    <col min="11783" max="11783" width="7.875" style="3060" customWidth="1"/>
    <col min="11784" max="11784" width="57.5" style="3060" customWidth="1"/>
    <col min="11785" max="11786" width="9" style="3060" customWidth="1"/>
    <col min="11787" max="11788" width="10.625" style="3060" customWidth="1"/>
    <col min="11789" max="11789" width="14.375" style="3060" customWidth="1"/>
    <col min="11790" max="11790" width="6.25" style="3060" customWidth="1"/>
    <col min="11791" max="11791" width="53.75" style="3060" customWidth="1"/>
    <col min="11792" max="11792" width="7.875" style="3060" customWidth="1"/>
    <col min="11793" max="12032" width="9" style="3060"/>
    <col min="12033" max="12033" width="49.625" style="3060" customWidth="1"/>
    <col min="12034" max="12034" width="6.25" style="3060" customWidth="1"/>
    <col min="12035" max="12037" width="13.875" style="3060" customWidth="1"/>
    <col min="12038" max="12038" width="19.125" style="3060" customWidth="1"/>
    <col min="12039" max="12039" width="7.875" style="3060" customWidth="1"/>
    <col min="12040" max="12040" width="57.5" style="3060" customWidth="1"/>
    <col min="12041" max="12042" width="9" style="3060" customWidth="1"/>
    <col min="12043" max="12044" width="10.625" style="3060" customWidth="1"/>
    <col min="12045" max="12045" width="14.375" style="3060" customWidth="1"/>
    <col min="12046" max="12046" width="6.25" style="3060" customWidth="1"/>
    <col min="12047" max="12047" width="53.75" style="3060" customWidth="1"/>
    <col min="12048" max="12048" width="7.875" style="3060" customWidth="1"/>
    <col min="12049" max="12288" width="9" style="3060"/>
    <col min="12289" max="12289" width="49.625" style="3060" customWidth="1"/>
    <col min="12290" max="12290" width="6.25" style="3060" customWidth="1"/>
    <col min="12291" max="12293" width="13.875" style="3060" customWidth="1"/>
    <col min="12294" max="12294" width="19.125" style="3060" customWidth="1"/>
    <col min="12295" max="12295" width="7.875" style="3060" customWidth="1"/>
    <col min="12296" max="12296" width="57.5" style="3060" customWidth="1"/>
    <col min="12297" max="12298" width="9" style="3060" customWidth="1"/>
    <col min="12299" max="12300" width="10.625" style="3060" customWidth="1"/>
    <col min="12301" max="12301" width="14.375" style="3060" customWidth="1"/>
    <col min="12302" max="12302" width="6.25" style="3060" customWidth="1"/>
    <col min="12303" max="12303" width="53.75" style="3060" customWidth="1"/>
    <col min="12304" max="12304" width="7.875" style="3060" customWidth="1"/>
    <col min="12305" max="12544" width="9" style="3060"/>
    <col min="12545" max="12545" width="49.625" style="3060" customWidth="1"/>
    <col min="12546" max="12546" width="6.25" style="3060" customWidth="1"/>
    <col min="12547" max="12549" width="13.875" style="3060" customWidth="1"/>
    <col min="12550" max="12550" width="19.125" style="3060" customWidth="1"/>
    <col min="12551" max="12551" width="7.875" style="3060" customWidth="1"/>
    <col min="12552" max="12552" width="57.5" style="3060" customWidth="1"/>
    <col min="12553" max="12554" width="9" style="3060" customWidth="1"/>
    <col min="12555" max="12556" width="10.625" style="3060" customWidth="1"/>
    <col min="12557" max="12557" width="14.375" style="3060" customWidth="1"/>
    <col min="12558" max="12558" width="6.25" style="3060" customWidth="1"/>
    <col min="12559" max="12559" width="53.75" style="3060" customWidth="1"/>
    <col min="12560" max="12560" width="7.875" style="3060" customWidth="1"/>
    <col min="12561" max="12800" width="9" style="3060"/>
    <col min="12801" max="12801" width="49.625" style="3060" customWidth="1"/>
    <col min="12802" max="12802" width="6.25" style="3060" customWidth="1"/>
    <col min="12803" max="12805" width="13.875" style="3060" customWidth="1"/>
    <col min="12806" max="12806" width="19.125" style="3060" customWidth="1"/>
    <col min="12807" max="12807" width="7.875" style="3060" customWidth="1"/>
    <col min="12808" max="12808" width="57.5" style="3060" customWidth="1"/>
    <col min="12809" max="12810" width="9" style="3060" customWidth="1"/>
    <col min="12811" max="12812" width="10.625" style="3060" customWidth="1"/>
    <col min="12813" max="12813" width="14.375" style="3060" customWidth="1"/>
    <col min="12814" max="12814" width="6.25" style="3060" customWidth="1"/>
    <col min="12815" max="12815" width="53.75" style="3060" customWidth="1"/>
    <col min="12816" max="12816" width="7.875" style="3060" customWidth="1"/>
    <col min="12817" max="13056" width="9" style="3060"/>
    <col min="13057" max="13057" width="49.625" style="3060" customWidth="1"/>
    <col min="13058" max="13058" width="6.25" style="3060" customWidth="1"/>
    <col min="13059" max="13061" width="13.875" style="3060" customWidth="1"/>
    <col min="13062" max="13062" width="19.125" style="3060" customWidth="1"/>
    <col min="13063" max="13063" width="7.875" style="3060" customWidth="1"/>
    <col min="13064" max="13064" width="57.5" style="3060" customWidth="1"/>
    <col min="13065" max="13066" width="9" style="3060" customWidth="1"/>
    <col min="13067" max="13068" width="10.625" style="3060" customWidth="1"/>
    <col min="13069" max="13069" width="14.375" style="3060" customWidth="1"/>
    <col min="13070" max="13070" width="6.25" style="3060" customWidth="1"/>
    <col min="13071" max="13071" width="53.75" style="3060" customWidth="1"/>
    <col min="13072" max="13072" width="7.875" style="3060" customWidth="1"/>
    <col min="13073" max="13312" width="9" style="3060"/>
    <col min="13313" max="13313" width="49.625" style="3060" customWidth="1"/>
    <col min="13314" max="13314" width="6.25" style="3060" customWidth="1"/>
    <col min="13315" max="13317" width="13.875" style="3060" customWidth="1"/>
    <col min="13318" max="13318" width="19.125" style="3060" customWidth="1"/>
    <col min="13319" max="13319" width="7.875" style="3060" customWidth="1"/>
    <col min="13320" max="13320" width="57.5" style="3060" customWidth="1"/>
    <col min="13321" max="13322" width="9" style="3060" customWidth="1"/>
    <col min="13323" max="13324" width="10.625" style="3060" customWidth="1"/>
    <col min="13325" max="13325" width="14.375" style="3060" customWidth="1"/>
    <col min="13326" max="13326" width="6.25" style="3060" customWidth="1"/>
    <col min="13327" max="13327" width="53.75" style="3060" customWidth="1"/>
    <col min="13328" max="13328" width="7.875" style="3060" customWidth="1"/>
    <col min="13329" max="13568" width="9" style="3060"/>
    <col min="13569" max="13569" width="49.625" style="3060" customWidth="1"/>
    <col min="13570" max="13570" width="6.25" style="3060" customWidth="1"/>
    <col min="13571" max="13573" width="13.875" style="3060" customWidth="1"/>
    <col min="13574" max="13574" width="19.125" style="3060" customWidth="1"/>
    <col min="13575" max="13575" width="7.875" style="3060" customWidth="1"/>
    <col min="13576" max="13576" width="57.5" style="3060" customWidth="1"/>
    <col min="13577" max="13578" width="9" style="3060" customWidth="1"/>
    <col min="13579" max="13580" width="10.625" style="3060" customWidth="1"/>
    <col min="13581" max="13581" width="14.375" style="3060" customWidth="1"/>
    <col min="13582" max="13582" width="6.25" style="3060" customWidth="1"/>
    <col min="13583" max="13583" width="53.75" style="3060" customWidth="1"/>
    <col min="13584" max="13584" width="7.875" style="3060" customWidth="1"/>
    <col min="13585" max="13824" width="9" style="3060"/>
    <col min="13825" max="13825" width="49.625" style="3060" customWidth="1"/>
    <col min="13826" max="13826" width="6.25" style="3060" customWidth="1"/>
    <col min="13827" max="13829" width="13.875" style="3060" customWidth="1"/>
    <col min="13830" max="13830" width="19.125" style="3060" customWidth="1"/>
    <col min="13831" max="13831" width="7.875" style="3060" customWidth="1"/>
    <col min="13832" max="13832" width="57.5" style="3060" customWidth="1"/>
    <col min="13833" max="13834" width="9" style="3060" customWidth="1"/>
    <col min="13835" max="13836" width="10.625" style="3060" customWidth="1"/>
    <col min="13837" max="13837" width="14.375" style="3060" customWidth="1"/>
    <col min="13838" max="13838" width="6.25" style="3060" customWidth="1"/>
    <col min="13839" max="13839" width="53.75" style="3060" customWidth="1"/>
    <col min="13840" max="13840" width="7.875" style="3060" customWidth="1"/>
    <col min="13841" max="14080" width="9" style="3060"/>
    <col min="14081" max="14081" width="49.625" style="3060" customWidth="1"/>
    <col min="14082" max="14082" width="6.25" style="3060" customWidth="1"/>
    <col min="14083" max="14085" width="13.875" style="3060" customWidth="1"/>
    <col min="14086" max="14086" width="19.125" style="3060" customWidth="1"/>
    <col min="14087" max="14087" width="7.875" style="3060" customWidth="1"/>
    <col min="14088" max="14088" width="57.5" style="3060" customWidth="1"/>
    <col min="14089" max="14090" width="9" style="3060" customWidth="1"/>
    <col min="14091" max="14092" width="10.625" style="3060" customWidth="1"/>
    <col min="14093" max="14093" width="14.375" style="3060" customWidth="1"/>
    <col min="14094" max="14094" width="6.25" style="3060" customWidth="1"/>
    <col min="14095" max="14095" width="53.75" style="3060" customWidth="1"/>
    <col min="14096" max="14096" width="7.875" style="3060" customWidth="1"/>
    <col min="14097" max="14336" width="9" style="3060"/>
    <col min="14337" max="14337" width="49.625" style="3060" customWidth="1"/>
    <col min="14338" max="14338" width="6.25" style="3060" customWidth="1"/>
    <col min="14339" max="14341" width="13.875" style="3060" customWidth="1"/>
    <col min="14342" max="14342" width="19.125" style="3060" customWidth="1"/>
    <col min="14343" max="14343" width="7.875" style="3060" customWidth="1"/>
    <col min="14344" max="14344" width="57.5" style="3060" customWidth="1"/>
    <col min="14345" max="14346" width="9" style="3060" customWidth="1"/>
    <col min="14347" max="14348" width="10.625" style="3060" customWidth="1"/>
    <col min="14349" max="14349" width="14.375" style="3060" customWidth="1"/>
    <col min="14350" max="14350" width="6.25" style="3060" customWidth="1"/>
    <col min="14351" max="14351" width="53.75" style="3060" customWidth="1"/>
    <col min="14352" max="14352" width="7.875" style="3060" customWidth="1"/>
    <col min="14353" max="14592" width="9" style="3060"/>
    <col min="14593" max="14593" width="49.625" style="3060" customWidth="1"/>
    <col min="14594" max="14594" width="6.25" style="3060" customWidth="1"/>
    <col min="14595" max="14597" width="13.875" style="3060" customWidth="1"/>
    <col min="14598" max="14598" width="19.125" style="3060" customWidth="1"/>
    <col min="14599" max="14599" width="7.875" style="3060" customWidth="1"/>
    <col min="14600" max="14600" width="57.5" style="3060" customWidth="1"/>
    <col min="14601" max="14602" width="9" style="3060" customWidth="1"/>
    <col min="14603" max="14604" width="10.625" style="3060" customWidth="1"/>
    <col min="14605" max="14605" width="14.375" style="3060" customWidth="1"/>
    <col min="14606" max="14606" width="6.25" style="3060" customWidth="1"/>
    <col min="14607" max="14607" width="53.75" style="3060" customWidth="1"/>
    <col min="14608" max="14608" width="7.875" style="3060" customWidth="1"/>
    <col min="14609" max="14848" width="9" style="3060"/>
    <col min="14849" max="14849" width="49.625" style="3060" customWidth="1"/>
    <col min="14850" max="14850" width="6.25" style="3060" customWidth="1"/>
    <col min="14851" max="14853" width="13.875" style="3060" customWidth="1"/>
    <col min="14854" max="14854" width="19.125" style="3060" customWidth="1"/>
    <col min="14855" max="14855" width="7.875" style="3060" customWidth="1"/>
    <col min="14856" max="14856" width="57.5" style="3060" customWidth="1"/>
    <col min="14857" max="14858" width="9" style="3060" customWidth="1"/>
    <col min="14859" max="14860" width="10.625" style="3060" customWidth="1"/>
    <col min="14861" max="14861" width="14.375" style="3060" customWidth="1"/>
    <col min="14862" max="14862" width="6.25" style="3060" customWidth="1"/>
    <col min="14863" max="14863" width="53.75" style="3060" customWidth="1"/>
    <col min="14864" max="14864" width="7.875" style="3060" customWidth="1"/>
    <col min="14865" max="15104" width="9" style="3060"/>
    <col min="15105" max="15105" width="49.625" style="3060" customWidth="1"/>
    <col min="15106" max="15106" width="6.25" style="3060" customWidth="1"/>
    <col min="15107" max="15109" width="13.875" style="3060" customWidth="1"/>
    <col min="15110" max="15110" width="19.125" style="3060" customWidth="1"/>
    <col min="15111" max="15111" width="7.875" style="3060" customWidth="1"/>
    <col min="15112" max="15112" width="57.5" style="3060" customWidth="1"/>
    <col min="15113" max="15114" width="9" style="3060" customWidth="1"/>
    <col min="15115" max="15116" width="10.625" style="3060" customWidth="1"/>
    <col min="15117" max="15117" width="14.375" style="3060" customWidth="1"/>
    <col min="15118" max="15118" width="6.25" style="3060" customWidth="1"/>
    <col min="15119" max="15119" width="53.75" style="3060" customWidth="1"/>
    <col min="15120" max="15120" width="7.875" style="3060" customWidth="1"/>
    <col min="15121" max="15360" width="9" style="3060"/>
    <col min="15361" max="15361" width="49.625" style="3060" customWidth="1"/>
    <col min="15362" max="15362" width="6.25" style="3060" customWidth="1"/>
    <col min="15363" max="15365" width="13.875" style="3060" customWidth="1"/>
    <col min="15366" max="15366" width="19.125" style="3060" customWidth="1"/>
    <col min="15367" max="15367" width="7.875" style="3060" customWidth="1"/>
    <col min="15368" max="15368" width="57.5" style="3060" customWidth="1"/>
    <col min="15369" max="15370" width="9" style="3060" customWidth="1"/>
    <col min="15371" max="15372" width="10.625" style="3060" customWidth="1"/>
    <col min="15373" max="15373" width="14.375" style="3060" customWidth="1"/>
    <col min="15374" max="15374" width="6.25" style="3060" customWidth="1"/>
    <col min="15375" max="15375" width="53.75" style="3060" customWidth="1"/>
    <col min="15376" max="15376" width="7.875" style="3060" customWidth="1"/>
    <col min="15377" max="15616" width="9" style="3060"/>
    <col min="15617" max="15617" width="49.625" style="3060" customWidth="1"/>
    <col min="15618" max="15618" width="6.25" style="3060" customWidth="1"/>
    <col min="15619" max="15621" width="13.875" style="3060" customWidth="1"/>
    <col min="15622" max="15622" width="19.125" style="3060" customWidth="1"/>
    <col min="15623" max="15623" width="7.875" style="3060" customWidth="1"/>
    <col min="15624" max="15624" width="57.5" style="3060" customWidth="1"/>
    <col min="15625" max="15626" width="9" style="3060" customWidth="1"/>
    <col min="15627" max="15628" width="10.625" style="3060" customWidth="1"/>
    <col min="15629" max="15629" width="14.375" style="3060" customWidth="1"/>
    <col min="15630" max="15630" width="6.25" style="3060" customWidth="1"/>
    <col min="15631" max="15631" width="53.75" style="3060" customWidth="1"/>
    <col min="15632" max="15632" width="7.875" style="3060" customWidth="1"/>
    <col min="15633" max="15872" width="9" style="3060"/>
    <col min="15873" max="15873" width="49.625" style="3060" customWidth="1"/>
    <col min="15874" max="15874" width="6.25" style="3060" customWidth="1"/>
    <col min="15875" max="15877" width="13.875" style="3060" customWidth="1"/>
    <col min="15878" max="15878" width="19.125" style="3060" customWidth="1"/>
    <col min="15879" max="15879" width="7.875" style="3060" customWidth="1"/>
    <col min="15880" max="15880" width="57.5" style="3060" customWidth="1"/>
    <col min="15881" max="15882" width="9" style="3060" customWidth="1"/>
    <col min="15883" max="15884" width="10.625" style="3060" customWidth="1"/>
    <col min="15885" max="15885" width="14.375" style="3060" customWidth="1"/>
    <col min="15886" max="15886" width="6.25" style="3060" customWidth="1"/>
    <col min="15887" max="15887" width="53.75" style="3060" customWidth="1"/>
    <col min="15888" max="15888" width="7.875" style="3060" customWidth="1"/>
    <col min="15889" max="16128" width="9" style="3060"/>
    <col min="16129" max="16129" width="49.625" style="3060" customWidth="1"/>
    <col min="16130" max="16130" width="6.25" style="3060" customWidth="1"/>
    <col min="16131" max="16133" width="13.875" style="3060" customWidth="1"/>
    <col min="16134" max="16134" width="19.125" style="3060" customWidth="1"/>
    <col min="16135" max="16135" width="7.875" style="3060" customWidth="1"/>
    <col min="16136" max="16136" width="57.5" style="3060" customWidth="1"/>
    <col min="16137" max="16138" width="9" style="3060" customWidth="1"/>
    <col min="16139" max="16140" width="10.625" style="3060" customWidth="1"/>
    <col min="16141" max="16141" width="14.375" style="3060" customWidth="1"/>
    <col min="16142" max="16142" width="6.25" style="3060" customWidth="1"/>
    <col min="16143" max="16143" width="53.75" style="3060" customWidth="1"/>
    <col min="16144" max="16144" width="7.875" style="3060" customWidth="1"/>
    <col min="16145" max="16384" width="9" style="3060"/>
  </cols>
  <sheetData>
    <row r="1" spans="1:16" s="3062" customFormat="1">
      <c r="A1" s="3062" t="s">
        <v>3081</v>
      </c>
      <c r="B1" s="3062" t="s">
        <v>3082</v>
      </c>
      <c r="C1" s="3062" t="s">
        <v>3083</v>
      </c>
      <c r="D1" s="3062" t="s">
        <v>3084</v>
      </c>
      <c r="E1" s="3062" t="s">
        <v>3085</v>
      </c>
      <c r="F1" s="3063" t="s">
        <v>3086</v>
      </c>
      <c r="G1" s="3062" t="s">
        <v>3087</v>
      </c>
      <c r="H1" s="3062" t="s">
        <v>3088</v>
      </c>
      <c r="I1" s="3062" t="s">
        <v>3089</v>
      </c>
      <c r="J1" s="3062" t="s">
        <v>3090</v>
      </c>
      <c r="K1" s="3062" t="s">
        <v>3091</v>
      </c>
      <c r="L1" s="3062" t="s">
        <v>3092</v>
      </c>
      <c r="M1" s="3062" t="s">
        <v>3093</v>
      </c>
      <c r="N1" s="3062" t="s">
        <v>3094</v>
      </c>
      <c r="O1" s="3062" t="s">
        <v>3095</v>
      </c>
      <c r="P1" s="3062" t="s">
        <v>3096</v>
      </c>
    </row>
    <row r="2" spans="1:16" s="3064" customFormat="1">
      <c r="A2" s="3064" t="s">
        <v>3097</v>
      </c>
      <c r="B2" s="3064" t="s">
        <v>3098</v>
      </c>
      <c r="C2" s="3064" t="s">
        <v>3099</v>
      </c>
      <c r="D2" s="3064">
        <v>8611.5400000000009</v>
      </c>
      <c r="E2" s="3064">
        <v>12917</v>
      </c>
      <c r="F2" s="3065">
        <v>1.5</v>
      </c>
      <c r="G2" s="3064" t="s">
        <v>3100</v>
      </c>
      <c r="H2" s="3064" t="s">
        <v>3099</v>
      </c>
      <c r="I2" s="3064" t="s">
        <v>3101</v>
      </c>
      <c r="J2" s="3064" t="s">
        <v>3101</v>
      </c>
      <c r="K2" s="3064">
        <v>18083.79</v>
      </c>
      <c r="L2" s="3064">
        <v>20279.68</v>
      </c>
      <c r="M2" s="3064">
        <v>15700</v>
      </c>
      <c r="N2" s="3064">
        <v>12.14</v>
      </c>
      <c r="O2" s="3064" t="s">
        <v>3102</v>
      </c>
      <c r="P2" s="3064" t="s">
        <v>3103</v>
      </c>
    </row>
    <row r="3" spans="1:16" s="3064" customFormat="1">
      <c r="A3" s="3064" t="s">
        <v>3104</v>
      </c>
      <c r="B3" s="3064" t="s">
        <v>3098</v>
      </c>
      <c r="C3" s="3064" t="s">
        <v>3099</v>
      </c>
      <c r="D3" s="3064">
        <v>59407.55</v>
      </c>
      <c r="E3" s="3064">
        <v>89111</v>
      </c>
      <c r="F3" s="3065">
        <v>1.5</v>
      </c>
      <c r="G3" s="3064" t="s">
        <v>3100</v>
      </c>
      <c r="H3" s="3064" t="s">
        <v>3105</v>
      </c>
      <c r="I3" s="3064" t="s">
        <v>3106</v>
      </c>
      <c r="J3" s="3064" t="s">
        <v>3106</v>
      </c>
      <c r="K3" s="3064">
        <v>126537.61</v>
      </c>
      <c r="L3" s="3064">
        <v>126537.61</v>
      </c>
      <c r="M3" s="3064">
        <v>14200</v>
      </c>
      <c r="N3" s="3064">
        <v>0</v>
      </c>
      <c r="O3" s="3064" t="s">
        <v>3107</v>
      </c>
      <c r="P3" s="3064" t="s">
        <v>3108</v>
      </c>
    </row>
    <row r="4" spans="1:16" s="3064" customFormat="1">
      <c r="A4" s="3064" t="s">
        <v>3109</v>
      </c>
      <c r="B4" s="3064" t="s">
        <v>3098</v>
      </c>
      <c r="C4" s="3064" t="s">
        <v>3099</v>
      </c>
      <c r="D4" s="3064">
        <v>36474.550000000003</v>
      </c>
      <c r="E4" s="3064">
        <v>72949</v>
      </c>
      <c r="F4" s="3065">
        <v>2</v>
      </c>
      <c r="G4" s="3064" t="s">
        <v>3100</v>
      </c>
      <c r="H4" s="3064" t="s">
        <v>3105</v>
      </c>
      <c r="I4" s="3064" t="s">
        <v>3110</v>
      </c>
      <c r="J4" s="3064" t="s">
        <v>3110</v>
      </c>
      <c r="K4" s="3064">
        <v>97751.66</v>
      </c>
      <c r="L4" s="3064">
        <v>112341.46</v>
      </c>
      <c r="M4" s="3064">
        <v>15400</v>
      </c>
      <c r="N4" s="3064">
        <v>14.93</v>
      </c>
      <c r="O4" s="3064" t="s">
        <v>3111</v>
      </c>
      <c r="P4" s="3064" t="s">
        <v>3103</v>
      </c>
    </row>
    <row r="5" spans="1:16">
      <c r="A5" s="3060" t="s">
        <v>3112</v>
      </c>
      <c r="B5" s="3060" t="s">
        <v>3098</v>
      </c>
      <c r="C5" s="3060" t="s">
        <v>3099</v>
      </c>
      <c r="D5" s="3060">
        <v>29403.47</v>
      </c>
      <c r="E5" s="3060">
        <v>58806</v>
      </c>
      <c r="F5" s="3061">
        <v>2</v>
      </c>
      <c r="G5" s="3060" t="s">
        <v>3100</v>
      </c>
      <c r="H5" s="3060" t="s">
        <v>3113</v>
      </c>
      <c r="I5" s="3060" t="s">
        <v>3114</v>
      </c>
      <c r="J5" s="3060" t="s">
        <v>3114</v>
      </c>
      <c r="K5" s="3060">
        <v>78800.03</v>
      </c>
      <c r="L5" s="3060">
        <v>90561.24</v>
      </c>
      <c r="M5" s="3060">
        <v>15400</v>
      </c>
      <c r="N5" s="3060">
        <v>14.93</v>
      </c>
      <c r="O5" s="3060" t="s">
        <v>3115</v>
      </c>
      <c r="P5" s="3060" t="s">
        <v>3103</v>
      </c>
    </row>
    <row r="6" spans="1:16">
      <c r="A6" s="3060" t="s">
        <v>3116</v>
      </c>
      <c r="B6" s="3060" t="s">
        <v>3098</v>
      </c>
      <c r="C6" s="3060" t="s">
        <v>3099</v>
      </c>
      <c r="D6" s="3060">
        <v>35170.83</v>
      </c>
      <c r="E6" s="3060">
        <v>70341</v>
      </c>
      <c r="F6" s="3061">
        <v>2</v>
      </c>
      <c r="G6" s="3060" t="s">
        <v>3100</v>
      </c>
      <c r="H6" s="3060" t="s">
        <v>3099</v>
      </c>
      <c r="I6" s="3060" t="s">
        <v>3114</v>
      </c>
      <c r="J6" s="3060" t="s">
        <v>3114</v>
      </c>
      <c r="K6" s="3060">
        <v>92850.11</v>
      </c>
      <c r="L6" s="3060">
        <v>106214.91</v>
      </c>
      <c r="M6" s="3060">
        <v>15100</v>
      </c>
      <c r="N6" s="3060">
        <v>14.39</v>
      </c>
      <c r="O6" s="3060" t="s">
        <v>3117</v>
      </c>
      <c r="P6" s="3060" t="s">
        <v>3103</v>
      </c>
    </row>
    <row r="7" spans="1:16">
      <c r="A7" s="3060" t="s">
        <v>3118</v>
      </c>
      <c r="B7" s="3060" t="s">
        <v>3098</v>
      </c>
      <c r="C7" s="3060" t="s">
        <v>3099</v>
      </c>
      <c r="D7" s="3060">
        <v>21477.53</v>
      </c>
      <c r="E7" s="3060">
        <v>42955</v>
      </c>
      <c r="F7" s="3061">
        <v>2</v>
      </c>
      <c r="G7" s="3060" t="s">
        <v>3100</v>
      </c>
      <c r="H7" s="3060" t="s">
        <v>3105</v>
      </c>
      <c r="I7" s="3060" t="s">
        <v>3114</v>
      </c>
      <c r="J7" s="3060" t="s">
        <v>3114</v>
      </c>
      <c r="K7" s="3060">
        <v>56700.59</v>
      </c>
      <c r="L7" s="3060">
        <v>64862.05</v>
      </c>
      <c r="M7" s="3060">
        <v>15100</v>
      </c>
      <c r="N7" s="3060">
        <v>14.39</v>
      </c>
      <c r="O7" s="3060" t="s">
        <v>3119</v>
      </c>
      <c r="P7" s="3060" t="s">
        <v>3103</v>
      </c>
    </row>
    <row r="8" spans="1:16">
      <c r="A8" s="3060" t="s">
        <v>3120</v>
      </c>
      <c r="B8" s="3060" t="s">
        <v>3098</v>
      </c>
      <c r="C8" s="3060" t="s">
        <v>3099</v>
      </c>
      <c r="D8" s="3060">
        <v>12940.64</v>
      </c>
      <c r="E8" s="3060">
        <v>32352</v>
      </c>
      <c r="F8" s="3061" t="s">
        <v>3121</v>
      </c>
      <c r="G8" s="3060" t="s">
        <v>3100</v>
      </c>
      <c r="H8" s="3060" t="s">
        <v>3099</v>
      </c>
      <c r="I8" s="3060" t="s">
        <v>3122</v>
      </c>
      <c r="J8" s="3060" t="s">
        <v>3122</v>
      </c>
      <c r="K8" s="3060">
        <v>36881.269999999997</v>
      </c>
      <c r="L8" s="3060">
        <v>41087.040000000001</v>
      </c>
      <c r="M8" s="3060">
        <v>12700</v>
      </c>
      <c r="N8" s="3060">
        <v>11.4</v>
      </c>
      <c r="O8" s="3060" t="s">
        <v>3123</v>
      </c>
      <c r="P8" s="3060" t="s">
        <v>3103</v>
      </c>
    </row>
    <row r="9" spans="1:16">
      <c r="A9" s="3060" t="s">
        <v>3124</v>
      </c>
      <c r="B9" s="3060" t="s">
        <v>3098</v>
      </c>
      <c r="C9" s="3060" t="s">
        <v>3125</v>
      </c>
      <c r="D9" s="3060">
        <v>74425.119999999995</v>
      </c>
      <c r="E9" s="3060">
        <v>265549</v>
      </c>
      <c r="F9" s="3061">
        <v>3.57</v>
      </c>
      <c r="G9" s="3060" t="s">
        <v>3100</v>
      </c>
      <c r="H9" s="3060" t="s">
        <v>3126</v>
      </c>
      <c r="I9" s="3060" t="s">
        <v>3127</v>
      </c>
      <c r="J9" s="3060" t="s">
        <v>3127</v>
      </c>
      <c r="K9" s="3060">
        <v>178183.38</v>
      </c>
      <c r="L9" s="3060">
        <v>178714.48</v>
      </c>
      <c r="M9" s="3060">
        <v>6730</v>
      </c>
      <c r="N9" s="3060">
        <v>0.3</v>
      </c>
      <c r="O9" s="3060" t="s">
        <v>3128</v>
      </c>
      <c r="P9" s="3060" t="s">
        <v>3103</v>
      </c>
    </row>
    <row r="10" spans="1:16">
      <c r="A10" s="3060" t="s">
        <v>3129</v>
      </c>
      <c r="B10" s="3060" t="s">
        <v>3098</v>
      </c>
      <c r="C10" s="3060" t="s">
        <v>3099</v>
      </c>
      <c r="D10" s="3060">
        <v>64877.78</v>
      </c>
      <c r="E10" s="3060">
        <v>97315</v>
      </c>
      <c r="F10" s="3061">
        <v>1.5</v>
      </c>
      <c r="G10" s="3060" t="s">
        <v>3100</v>
      </c>
      <c r="H10" s="3060" t="s">
        <v>3099</v>
      </c>
      <c r="I10" s="3060" t="s">
        <v>3130</v>
      </c>
      <c r="J10" s="3060" t="s">
        <v>3130</v>
      </c>
      <c r="K10" s="3060">
        <v>124563.19</v>
      </c>
      <c r="L10" s="3060">
        <v>125536.35</v>
      </c>
      <c r="M10" s="3060">
        <v>12900</v>
      </c>
      <c r="N10" s="3060">
        <v>0.78</v>
      </c>
      <c r="O10" s="3060" t="s">
        <v>3131</v>
      </c>
      <c r="P10" s="3060" t="s">
        <v>3103</v>
      </c>
    </row>
    <row r="11" spans="1:16">
      <c r="A11" s="3060" t="s">
        <v>3132</v>
      </c>
      <c r="B11" s="3060" t="s">
        <v>3098</v>
      </c>
      <c r="C11" s="3060" t="s">
        <v>3125</v>
      </c>
      <c r="D11" s="3060">
        <v>137686.79999999999</v>
      </c>
      <c r="E11" s="3060">
        <v>358575</v>
      </c>
      <c r="F11" s="3061" t="s">
        <v>3133</v>
      </c>
      <c r="G11" s="3060" t="s">
        <v>3100</v>
      </c>
      <c r="H11" s="3060" t="s">
        <v>3134</v>
      </c>
      <c r="I11" s="3060" t="s">
        <v>3135</v>
      </c>
      <c r="J11" s="3060" t="s">
        <v>3135</v>
      </c>
      <c r="K11" s="3060">
        <v>236444.39</v>
      </c>
      <c r="L11" s="3060">
        <v>236444.39</v>
      </c>
      <c r="M11" s="3060">
        <v>6594</v>
      </c>
      <c r="N11" s="3060">
        <v>0</v>
      </c>
      <c r="O11" s="3060" t="s">
        <v>3136</v>
      </c>
      <c r="P11" s="3060" t="s">
        <v>3103</v>
      </c>
    </row>
    <row r="12" spans="1:16">
      <c r="A12" s="3060" t="s">
        <v>3137</v>
      </c>
      <c r="B12" s="3060" t="s">
        <v>3098</v>
      </c>
      <c r="C12" s="3060" t="s">
        <v>3099</v>
      </c>
      <c r="D12" s="3060">
        <v>32287.26</v>
      </c>
      <c r="E12" s="3060">
        <v>48430</v>
      </c>
      <c r="F12" s="3061" t="s">
        <v>3138</v>
      </c>
      <c r="G12" s="3060" t="s">
        <v>3100</v>
      </c>
      <c r="H12" s="3060" t="s">
        <v>3105</v>
      </c>
      <c r="I12" s="3060" t="s">
        <v>3139</v>
      </c>
      <c r="J12" s="3060" t="s">
        <v>3139</v>
      </c>
      <c r="K12" s="3060">
        <v>49350.16</v>
      </c>
      <c r="L12" s="3060">
        <v>83251.16</v>
      </c>
      <c r="M12" s="3060">
        <v>17190</v>
      </c>
      <c r="N12" s="3060">
        <v>68.69</v>
      </c>
      <c r="O12" s="3060" t="s">
        <v>3140</v>
      </c>
      <c r="P12" s="3060" t="s">
        <v>3103</v>
      </c>
    </row>
    <row r="13" spans="1:16">
      <c r="A13" s="3060" t="s">
        <v>3141</v>
      </c>
      <c r="B13" s="3060" t="s">
        <v>3098</v>
      </c>
      <c r="C13" s="3060" t="s">
        <v>3099</v>
      </c>
      <c r="D13" s="3060">
        <v>51610.05</v>
      </c>
      <c r="E13" s="3060">
        <v>103220</v>
      </c>
      <c r="F13" s="3061" t="s">
        <v>3142</v>
      </c>
      <c r="G13" s="3060" t="s">
        <v>3100</v>
      </c>
      <c r="H13" s="3060" t="s">
        <v>3105</v>
      </c>
      <c r="I13" s="3060" t="s">
        <v>3143</v>
      </c>
      <c r="J13" s="3060" t="s">
        <v>3143</v>
      </c>
      <c r="K13" s="3060">
        <v>105490.8</v>
      </c>
      <c r="L13" s="3060">
        <v>105490.8</v>
      </c>
      <c r="M13" s="3060">
        <v>10220</v>
      </c>
      <c r="N13" s="3060">
        <v>0</v>
      </c>
      <c r="O13" s="3060" t="s">
        <v>3144</v>
      </c>
      <c r="P13" s="3060" t="s">
        <v>3103</v>
      </c>
    </row>
    <row r="14" spans="1:16">
      <c r="A14" s="3060" t="s">
        <v>3145</v>
      </c>
      <c r="B14" s="3060" t="s">
        <v>3098</v>
      </c>
      <c r="C14" s="3060" t="s">
        <v>3099</v>
      </c>
      <c r="D14" s="3060">
        <v>51453.05</v>
      </c>
      <c r="E14" s="3060">
        <v>102906</v>
      </c>
      <c r="F14" s="3061" t="s">
        <v>3142</v>
      </c>
      <c r="G14" s="3060" t="s">
        <v>3100</v>
      </c>
      <c r="H14" s="3060" t="s">
        <v>3105</v>
      </c>
      <c r="I14" s="3060" t="s">
        <v>3146</v>
      </c>
      <c r="J14" s="3060" t="s">
        <v>3146</v>
      </c>
      <c r="K14" s="3060">
        <v>103821.89</v>
      </c>
      <c r="L14" s="3060">
        <v>103821.89</v>
      </c>
      <c r="M14" s="3060">
        <v>10089</v>
      </c>
      <c r="N14" s="3060">
        <v>0</v>
      </c>
      <c r="O14" s="3060" t="s">
        <v>3144</v>
      </c>
      <c r="P14" s="3060" t="s">
        <v>3103</v>
      </c>
    </row>
    <row r="15" spans="1:16">
      <c r="A15" s="3060" t="s">
        <v>3147</v>
      </c>
      <c r="B15" s="3060" t="s">
        <v>3098</v>
      </c>
      <c r="C15" s="3060" t="s">
        <v>3125</v>
      </c>
      <c r="D15" s="3060">
        <v>10774.92</v>
      </c>
      <c r="E15" s="3060">
        <v>32324</v>
      </c>
      <c r="F15" s="3061" t="s">
        <v>3148</v>
      </c>
      <c r="G15" s="3060" t="s">
        <v>3100</v>
      </c>
      <c r="H15" s="3060" t="s">
        <v>3149</v>
      </c>
      <c r="I15" s="3060" t="s">
        <v>3150</v>
      </c>
      <c r="J15" s="3060" t="s">
        <v>3150</v>
      </c>
      <c r="K15" s="3060">
        <v>45654.41</v>
      </c>
      <c r="L15" s="3060">
        <v>51524.45</v>
      </c>
      <c r="M15" s="3060">
        <v>15940</v>
      </c>
      <c r="N15" s="3060">
        <v>12.86</v>
      </c>
      <c r="O15" s="3060" t="s">
        <v>3151</v>
      </c>
      <c r="P15" s="3060" t="s">
        <v>3103</v>
      </c>
    </row>
    <row r="16" spans="1:16">
      <c r="A16" s="3060" t="s">
        <v>3152</v>
      </c>
      <c r="B16" s="3060" t="s">
        <v>3098</v>
      </c>
      <c r="C16" s="3060" t="s">
        <v>3099</v>
      </c>
      <c r="D16" s="3060">
        <v>32545.57</v>
      </c>
      <c r="E16" s="3060">
        <v>69442</v>
      </c>
      <c r="F16" s="3061" t="s">
        <v>3153</v>
      </c>
      <c r="G16" s="3060" t="s">
        <v>3100</v>
      </c>
      <c r="H16" s="3060" t="s">
        <v>3105</v>
      </c>
      <c r="I16" s="3060" t="s">
        <v>3154</v>
      </c>
      <c r="J16" s="3060" t="s">
        <v>3154</v>
      </c>
      <c r="K16" s="3060">
        <v>64581.05</v>
      </c>
      <c r="L16" s="3060">
        <v>94278.080000000002</v>
      </c>
      <c r="M16" s="3060">
        <v>13576.52</v>
      </c>
      <c r="N16" s="3060">
        <v>45.98</v>
      </c>
      <c r="O16" s="3060" t="s">
        <v>3155</v>
      </c>
      <c r="P16" s="3060" t="s">
        <v>3103</v>
      </c>
    </row>
    <row r="17" spans="1:16" hidden="1">
      <c r="A17" s="3060" t="s">
        <v>3156</v>
      </c>
      <c r="B17" s="3060" t="s">
        <v>3098</v>
      </c>
      <c r="C17" s="3060" t="s">
        <v>3099</v>
      </c>
      <c r="D17" s="3060">
        <v>30738.07</v>
      </c>
      <c r="E17" s="3060">
        <v>61476</v>
      </c>
      <c r="F17" s="3061" t="s">
        <v>3142</v>
      </c>
      <c r="G17" s="3060" t="s">
        <v>3100</v>
      </c>
      <c r="H17" s="3060" t="s">
        <v>3105</v>
      </c>
      <c r="I17" s="3060" t="s">
        <v>3157</v>
      </c>
      <c r="J17" s="3060" t="s">
        <v>3157</v>
      </c>
      <c r="K17" s="3060">
        <v>52254.59</v>
      </c>
      <c r="L17" s="3060">
        <v>73771</v>
      </c>
      <c r="M17" s="3060">
        <v>11999.96</v>
      </c>
      <c r="N17" s="3060">
        <v>41.18</v>
      </c>
      <c r="O17" s="3060" t="s">
        <v>3140</v>
      </c>
      <c r="P17" s="3060" t="s">
        <v>3103</v>
      </c>
    </row>
    <row r="18" spans="1:16" hidden="1">
      <c r="A18" s="3060" t="s">
        <v>3158</v>
      </c>
      <c r="B18" s="3060" t="s">
        <v>3098</v>
      </c>
      <c r="C18" s="3060" t="s">
        <v>3125</v>
      </c>
      <c r="D18" s="3060">
        <v>104780.2</v>
      </c>
      <c r="E18" s="3060">
        <v>209559</v>
      </c>
      <c r="F18" s="3061" t="s">
        <v>3159</v>
      </c>
      <c r="G18" s="3060" t="s">
        <v>3100</v>
      </c>
      <c r="H18" s="3060" t="s">
        <v>3160</v>
      </c>
      <c r="I18" s="3060" t="s">
        <v>3157</v>
      </c>
      <c r="J18" s="3060" t="s">
        <v>3157</v>
      </c>
      <c r="K18" s="3060">
        <v>167647.20000000001</v>
      </c>
      <c r="L18" s="3060">
        <v>264046</v>
      </c>
      <c r="M18" s="3060">
        <v>12600.07</v>
      </c>
      <c r="N18" s="3060">
        <v>57.5</v>
      </c>
      <c r="O18" s="3060" t="s">
        <v>3161</v>
      </c>
      <c r="P18" s="3060" t="s">
        <v>3103</v>
      </c>
    </row>
    <row r="19" spans="1:16" hidden="1">
      <c r="A19" s="3060" t="s">
        <v>3162</v>
      </c>
      <c r="B19" s="3060" t="s">
        <v>3098</v>
      </c>
      <c r="C19" s="3060" t="s">
        <v>3125</v>
      </c>
      <c r="D19" s="3060">
        <v>48654.65</v>
      </c>
      <c r="E19" s="3060">
        <v>136233</v>
      </c>
      <c r="F19" s="3061" t="s">
        <v>3163</v>
      </c>
      <c r="G19" s="3060" t="s">
        <v>3100</v>
      </c>
      <c r="H19" s="3060" t="s">
        <v>3164</v>
      </c>
      <c r="I19" s="3060" t="s">
        <v>3165</v>
      </c>
      <c r="J19" s="3060" t="s">
        <v>3165</v>
      </c>
      <c r="K19" s="3060">
        <v>95363.1</v>
      </c>
      <c r="L19" s="3060">
        <v>133508.29</v>
      </c>
      <c r="M19" s="3060">
        <v>9800</v>
      </c>
      <c r="N19" s="3060">
        <v>40</v>
      </c>
      <c r="O19" s="3060" t="s">
        <v>3166</v>
      </c>
      <c r="P19" s="3060" t="s">
        <v>3103</v>
      </c>
    </row>
    <row r="20" spans="1:16" hidden="1">
      <c r="A20" s="3060" t="s">
        <v>3167</v>
      </c>
      <c r="B20" s="3060" t="s">
        <v>3098</v>
      </c>
      <c r="C20" s="3060" t="s">
        <v>3125</v>
      </c>
      <c r="D20" s="3060">
        <v>108203.7</v>
      </c>
      <c r="E20" s="3060">
        <v>270509</v>
      </c>
      <c r="F20" s="3061" t="s">
        <v>3168</v>
      </c>
      <c r="G20" s="3060" t="s">
        <v>3100</v>
      </c>
      <c r="H20" s="3060" t="s">
        <v>3169</v>
      </c>
      <c r="I20" s="3060" t="s">
        <v>3170</v>
      </c>
      <c r="J20" s="3060" t="s">
        <v>3170</v>
      </c>
      <c r="K20" s="3060">
        <v>243458.1</v>
      </c>
      <c r="L20" s="3060">
        <v>464193.59</v>
      </c>
      <c r="M20" s="3060">
        <v>17160</v>
      </c>
      <c r="N20" s="3060">
        <v>90.67</v>
      </c>
      <c r="O20" s="3060" t="s">
        <v>3171</v>
      </c>
      <c r="P20" s="3060" t="s">
        <v>3103</v>
      </c>
    </row>
    <row r="21" spans="1:16" hidden="1">
      <c r="A21" s="3060" t="s">
        <v>3172</v>
      </c>
      <c r="B21" s="3060" t="s">
        <v>3098</v>
      </c>
      <c r="C21" s="3060" t="s">
        <v>3125</v>
      </c>
      <c r="D21" s="3060">
        <v>10651.11</v>
      </c>
      <c r="E21" s="3060">
        <v>20237</v>
      </c>
      <c r="F21" s="3061" t="s">
        <v>3173</v>
      </c>
      <c r="G21" s="3060" t="s">
        <v>3100</v>
      </c>
      <c r="H21" s="3060" t="s">
        <v>3169</v>
      </c>
      <c r="I21" s="3060" t="s">
        <v>3170</v>
      </c>
      <c r="J21" s="3060" t="s">
        <v>3170</v>
      </c>
      <c r="K21" s="3060">
        <v>18213.29</v>
      </c>
      <c r="L21" s="3060">
        <v>34807.72</v>
      </c>
      <c r="M21" s="3060">
        <v>17200.04</v>
      </c>
      <c r="N21" s="3060">
        <v>91.11</v>
      </c>
      <c r="O21" s="3060" t="s">
        <v>3174</v>
      </c>
      <c r="P21" s="3060" t="s">
        <v>3103</v>
      </c>
    </row>
    <row r="22" spans="1:16" hidden="1">
      <c r="A22" s="3060" t="s">
        <v>3175</v>
      </c>
      <c r="B22" s="3060" t="s">
        <v>3098</v>
      </c>
      <c r="C22" s="3060" t="s">
        <v>3125</v>
      </c>
      <c r="D22" s="3060">
        <v>7070.88</v>
      </c>
      <c r="E22" s="3060">
        <v>12728</v>
      </c>
      <c r="F22" s="3061" t="s">
        <v>3176</v>
      </c>
      <c r="G22" s="3060" t="s">
        <v>3100</v>
      </c>
      <c r="H22" s="3060" t="s">
        <v>3177</v>
      </c>
      <c r="I22" s="3060" t="s">
        <v>3178</v>
      </c>
      <c r="J22" s="3060" t="s">
        <v>3178</v>
      </c>
      <c r="K22" s="3060">
        <v>7000.39</v>
      </c>
      <c r="L22" s="3060">
        <v>15273.6</v>
      </c>
      <c r="M22" s="3060">
        <v>12000</v>
      </c>
      <c r="N22" s="3060">
        <v>118.18</v>
      </c>
      <c r="O22" s="3060" t="s">
        <v>3179</v>
      </c>
      <c r="P22" s="3060" t="s">
        <v>3103</v>
      </c>
    </row>
    <row r="23" spans="1:16" hidden="1">
      <c r="A23" s="3060" t="s">
        <v>3180</v>
      </c>
      <c r="B23" s="3060" t="s">
        <v>3098</v>
      </c>
      <c r="C23" s="3060" t="s">
        <v>3125</v>
      </c>
      <c r="D23" s="3060">
        <v>7832.12</v>
      </c>
      <c r="E23" s="3060">
        <v>18013</v>
      </c>
      <c r="F23" s="3061" t="s">
        <v>3181</v>
      </c>
      <c r="G23" s="3060" t="s">
        <v>3100</v>
      </c>
      <c r="H23" s="3060" t="s">
        <v>3169</v>
      </c>
      <c r="I23" s="3060" t="s">
        <v>3182</v>
      </c>
      <c r="J23" s="3060" t="s">
        <v>3182</v>
      </c>
      <c r="K23" s="3060">
        <v>6227.09</v>
      </c>
      <c r="L23" s="3060">
        <v>8826.3700000000008</v>
      </c>
      <c r="M23" s="3060">
        <v>4900</v>
      </c>
      <c r="N23" s="3060">
        <v>41.74</v>
      </c>
      <c r="O23" s="3060" t="s">
        <v>3183</v>
      </c>
      <c r="P23" s="3060" t="s">
        <v>3103</v>
      </c>
    </row>
    <row r="24" spans="1:16" hidden="1">
      <c r="A24" s="3060" t="s">
        <v>3184</v>
      </c>
      <c r="B24" s="3060" t="s">
        <v>3098</v>
      </c>
      <c r="C24" s="3060" t="s">
        <v>3125</v>
      </c>
      <c r="D24" s="3060">
        <v>11468.44</v>
      </c>
      <c r="E24" s="3060">
        <v>34405</v>
      </c>
      <c r="F24" s="3061" t="s">
        <v>3185</v>
      </c>
      <c r="G24" s="3060" t="s">
        <v>3100</v>
      </c>
      <c r="H24" s="3060" t="s">
        <v>3169</v>
      </c>
      <c r="I24" s="3060" t="s">
        <v>3182</v>
      </c>
      <c r="J24" s="3060" t="s">
        <v>3182</v>
      </c>
      <c r="K24" s="3060">
        <v>11181.62</v>
      </c>
      <c r="L24" s="3060">
        <v>16342.37</v>
      </c>
      <c r="M24" s="3060">
        <v>4750</v>
      </c>
      <c r="N24" s="3060">
        <v>46.15</v>
      </c>
      <c r="O24" s="3060" t="s">
        <v>3070</v>
      </c>
      <c r="P24" s="3060" t="s">
        <v>3103</v>
      </c>
    </row>
    <row r="25" spans="1:16" hidden="1">
      <c r="A25" s="3060" t="s">
        <v>3186</v>
      </c>
      <c r="B25" s="3060" t="s">
        <v>3098</v>
      </c>
      <c r="C25" s="3060" t="s">
        <v>3125</v>
      </c>
      <c r="D25" s="3060">
        <v>46451.06</v>
      </c>
      <c r="E25" s="3060">
        <v>92902</v>
      </c>
      <c r="F25" s="3061" t="s">
        <v>3187</v>
      </c>
      <c r="G25" s="3060" t="s">
        <v>3100</v>
      </c>
      <c r="H25" s="3060" t="s">
        <v>3188</v>
      </c>
      <c r="I25" s="3060" t="s">
        <v>3182</v>
      </c>
      <c r="J25" s="3060" t="s">
        <v>3182</v>
      </c>
      <c r="K25" s="3060">
        <v>38322.06</v>
      </c>
      <c r="L25" s="3060">
        <v>39947.86</v>
      </c>
      <c r="M25" s="3060">
        <v>4300</v>
      </c>
      <c r="N25" s="3060">
        <v>4.24</v>
      </c>
      <c r="O25" s="3060" t="s">
        <v>3189</v>
      </c>
      <c r="P25" s="3060" t="s">
        <v>3103</v>
      </c>
    </row>
    <row r="26" spans="1:16" hidden="1">
      <c r="A26" s="3060" t="s">
        <v>3190</v>
      </c>
      <c r="B26" s="3060" t="s">
        <v>3098</v>
      </c>
      <c r="C26" s="3060" t="s">
        <v>3125</v>
      </c>
      <c r="D26" s="3060">
        <v>34926.42</v>
      </c>
      <c r="E26" s="3060">
        <v>112343</v>
      </c>
      <c r="F26" s="3061" t="s">
        <v>3191</v>
      </c>
      <c r="G26" s="3060" t="s">
        <v>3100</v>
      </c>
      <c r="H26" s="3060" t="s">
        <v>3169</v>
      </c>
      <c r="I26" s="3060" t="s">
        <v>3182</v>
      </c>
      <c r="J26" s="3060" t="s">
        <v>3182</v>
      </c>
      <c r="K26" s="3060">
        <v>47184.05</v>
      </c>
      <c r="L26" s="3060">
        <v>107849.3</v>
      </c>
      <c r="M26" s="3060">
        <v>9600</v>
      </c>
      <c r="N26" s="3060">
        <v>128.57</v>
      </c>
      <c r="O26" s="3060" t="s">
        <v>3192</v>
      </c>
      <c r="P26" s="3060" t="s">
        <v>3103</v>
      </c>
    </row>
    <row r="27" spans="1:16" hidden="1">
      <c r="A27" s="3060" t="s">
        <v>3193</v>
      </c>
      <c r="B27" s="3060" t="s">
        <v>3098</v>
      </c>
      <c r="C27" s="3060" t="s">
        <v>3125</v>
      </c>
      <c r="D27" s="3060">
        <v>21438.77</v>
      </c>
      <c r="E27" s="3060">
        <v>66460</v>
      </c>
      <c r="F27" s="3061" t="s">
        <v>3194</v>
      </c>
      <c r="G27" s="3060" t="s">
        <v>3100</v>
      </c>
      <c r="H27" s="3060" t="s">
        <v>3169</v>
      </c>
      <c r="I27" s="3060" t="s">
        <v>3195</v>
      </c>
      <c r="J27" s="3060" t="s">
        <v>3195</v>
      </c>
      <c r="K27" s="3060">
        <v>29907</v>
      </c>
      <c r="L27" s="3060">
        <v>54962.41</v>
      </c>
      <c r="M27" s="3060">
        <v>8270</v>
      </c>
      <c r="N27" s="3060">
        <v>83.78</v>
      </c>
      <c r="O27" s="3060" t="s">
        <v>3196</v>
      </c>
      <c r="P27" s="3060" t="s">
        <v>3103</v>
      </c>
    </row>
    <row r="28" spans="1:16" hidden="1">
      <c r="A28" s="3060" t="s">
        <v>3197</v>
      </c>
      <c r="B28" s="3060" t="s">
        <v>3098</v>
      </c>
      <c r="C28" s="3060" t="s">
        <v>3125</v>
      </c>
      <c r="D28" s="3060">
        <v>110231.4</v>
      </c>
      <c r="E28" s="3060">
        <v>297624</v>
      </c>
      <c r="F28" s="3061" t="s">
        <v>3198</v>
      </c>
      <c r="G28" s="3060" t="s">
        <v>3100</v>
      </c>
      <c r="H28" s="3060" t="s">
        <v>3169</v>
      </c>
      <c r="I28" s="3060" t="s">
        <v>3199</v>
      </c>
      <c r="J28" s="3060" t="s">
        <v>3199</v>
      </c>
      <c r="K28" s="3060">
        <v>107472</v>
      </c>
      <c r="L28" s="3060">
        <v>188991.2</v>
      </c>
      <c r="M28" s="3060">
        <v>6350</v>
      </c>
      <c r="N28" s="3060">
        <v>75.849999999999994</v>
      </c>
      <c r="O28" s="3060" t="s">
        <v>3200</v>
      </c>
      <c r="P28" s="3060" t="s">
        <v>3103</v>
      </c>
    </row>
    <row r="29" spans="1:16" hidden="1">
      <c r="A29" s="3060" t="s">
        <v>3201</v>
      </c>
      <c r="B29" s="3060" t="s">
        <v>3098</v>
      </c>
      <c r="C29" s="3060" t="s">
        <v>3125</v>
      </c>
      <c r="D29" s="3060">
        <v>103181.4</v>
      </c>
      <c r="E29" s="3060">
        <v>278589</v>
      </c>
      <c r="F29" s="3061" t="s">
        <v>3198</v>
      </c>
      <c r="G29" s="3060" t="s">
        <v>3100</v>
      </c>
      <c r="H29" s="3060" t="s">
        <v>3169</v>
      </c>
      <c r="I29" s="3060" t="s">
        <v>3199</v>
      </c>
      <c r="J29" s="3060" t="s">
        <v>3199</v>
      </c>
      <c r="K29" s="3060">
        <v>100598.5</v>
      </c>
      <c r="L29" s="3060">
        <v>172725.2</v>
      </c>
      <c r="M29" s="3060">
        <v>6200</v>
      </c>
      <c r="N29" s="3060">
        <v>71.7</v>
      </c>
      <c r="O29" s="3060" t="s">
        <v>3200</v>
      </c>
      <c r="P29" s="3060" t="s">
        <v>3103</v>
      </c>
    </row>
    <row r="30" spans="1:16" hidden="1">
      <c r="A30" s="3060" t="s">
        <v>3202</v>
      </c>
      <c r="B30" s="3060" t="s">
        <v>3098</v>
      </c>
      <c r="C30" s="3060" t="s">
        <v>3125</v>
      </c>
      <c r="D30" s="3060">
        <v>11416.43</v>
      </c>
      <c r="E30" s="3060">
        <v>27399</v>
      </c>
      <c r="F30" s="3061" t="s">
        <v>3203</v>
      </c>
      <c r="G30" s="3060" t="s">
        <v>3100</v>
      </c>
      <c r="H30" s="3060" t="s">
        <v>3204</v>
      </c>
      <c r="I30" s="3060" t="s">
        <v>3205</v>
      </c>
      <c r="J30" s="3060" t="s">
        <v>3205</v>
      </c>
      <c r="K30" s="3060">
        <v>7962.14</v>
      </c>
      <c r="L30" s="3060">
        <v>8767.68</v>
      </c>
      <c r="M30" s="3060">
        <v>3200</v>
      </c>
      <c r="N30" s="3060">
        <v>10.119999999999999</v>
      </c>
      <c r="O30" s="3060" t="s">
        <v>3206</v>
      </c>
      <c r="P30" s="3060" t="s">
        <v>3103</v>
      </c>
    </row>
    <row r="31" spans="1:16" hidden="1">
      <c r="A31" s="3060" t="s">
        <v>3207</v>
      </c>
      <c r="B31" s="3060" t="s">
        <v>3098</v>
      </c>
      <c r="C31" s="3060" t="s">
        <v>3125</v>
      </c>
      <c r="D31" s="3060">
        <v>18530.169999999998</v>
      </c>
      <c r="E31" s="3060">
        <v>55590</v>
      </c>
      <c r="F31" s="3061" t="s">
        <v>3185</v>
      </c>
      <c r="G31" s="3060" t="s">
        <v>3100</v>
      </c>
      <c r="H31" s="3060" t="s">
        <v>3188</v>
      </c>
      <c r="I31" s="3060" t="s">
        <v>3205</v>
      </c>
      <c r="J31" s="3060" t="s">
        <v>3205</v>
      </c>
      <c r="K31" s="3060">
        <v>16677</v>
      </c>
      <c r="L31" s="3060">
        <v>32798.089999999997</v>
      </c>
      <c r="M31" s="3060">
        <v>5900</v>
      </c>
      <c r="N31" s="3060">
        <v>96.67</v>
      </c>
      <c r="O31" s="3060" t="s">
        <v>3208</v>
      </c>
      <c r="P31" s="3060" t="s">
        <v>3103</v>
      </c>
    </row>
    <row r="32" spans="1:16" hidden="1">
      <c r="A32" s="3060" t="s">
        <v>3209</v>
      </c>
      <c r="B32" s="3060" t="s">
        <v>3098</v>
      </c>
      <c r="C32" s="3060" t="s">
        <v>3125</v>
      </c>
      <c r="D32" s="3060">
        <v>85484.34</v>
      </c>
      <c r="E32" s="3060">
        <v>222259</v>
      </c>
      <c r="F32" s="3061" t="s">
        <v>3210</v>
      </c>
      <c r="G32" s="3060" t="s">
        <v>3100</v>
      </c>
      <c r="H32" s="3060" t="s">
        <v>3169</v>
      </c>
      <c r="I32" s="3060" t="s">
        <v>3211</v>
      </c>
      <c r="J32" s="3060" t="s">
        <v>3211</v>
      </c>
      <c r="K32" s="3060">
        <v>77790.64</v>
      </c>
      <c r="L32" s="3060">
        <v>131799.6</v>
      </c>
      <c r="M32" s="3060">
        <v>5930</v>
      </c>
      <c r="N32" s="3060">
        <v>69.430000000000007</v>
      </c>
      <c r="O32" s="3060" t="s">
        <v>3212</v>
      </c>
      <c r="P32" s="3060" t="s">
        <v>3213</v>
      </c>
    </row>
    <row r="33" spans="1:16" hidden="1">
      <c r="A33" s="3060" t="s">
        <v>3214</v>
      </c>
      <c r="B33" s="3060" t="s">
        <v>3098</v>
      </c>
      <c r="C33" s="3060" t="s">
        <v>3125</v>
      </c>
      <c r="D33" s="3060">
        <v>21373.46</v>
      </c>
      <c r="E33" s="3060">
        <v>61983</v>
      </c>
      <c r="F33" s="3061" t="s">
        <v>3215</v>
      </c>
      <c r="G33" s="3060" t="s">
        <v>3100</v>
      </c>
      <c r="H33" s="3060" t="s">
        <v>3169</v>
      </c>
      <c r="I33" s="3060" t="s">
        <v>3211</v>
      </c>
      <c r="J33" s="3060" t="s">
        <v>3211</v>
      </c>
      <c r="K33" s="3060">
        <v>20194.060000000001</v>
      </c>
      <c r="L33" s="3060">
        <v>37561.69</v>
      </c>
      <c r="M33" s="3060">
        <v>6060</v>
      </c>
      <c r="N33" s="3060">
        <v>86</v>
      </c>
      <c r="O33" s="3060" t="s">
        <v>3216</v>
      </c>
      <c r="P33" s="3060" t="s">
        <v>3103</v>
      </c>
    </row>
    <row r="34" spans="1:16" hidden="1">
      <c r="A34" s="3060" t="s">
        <v>3217</v>
      </c>
      <c r="B34" s="3060" t="s">
        <v>3098</v>
      </c>
      <c r="C34" s="3060" t="s">
        <v>3125</v>
      </c>
      <c r="D34" s="3060">
        <v>7699.1</v>
      </c>
      <c r="E34" s="3060">
        <v>14628</v>
      </c>
      <c r="F34" s="3061" t="s">
        <v>3173</v>
      </c>
      <c r="G34" s="3060" t="s">
        <v>3100</v>
      </c>
      <c r="H34" s="3060" t="s">
        <v>3169</v>
      </c>
      <c r="I34" s="3060" t="s">
        <v>3218</v>
      </c>
      <c r="J34" s="3060" t="s">
        <v>3218</v>
      </c>
      <c r="K34" s="3060">
        <v>8045.39</v>
      </c>
      <c r="L34" s="3060">
        <v>9215.6299999999992</v>
      </c>
      <c r="M34" s="3060">
        <v>6300</v>
      </c>
      <c r="N34" s="3060">
        <v>14.55</v>
      </c>
      <c r="O34" s="3060" t="s">
        <v>3219</v>
      </c>
      <c r="P34" s="3060" t="s">
        <v>3103</v>
      </c>
    </row>
    <row r="35" spans="1:16" hidden="1">
      <c r="A35" s="3060" t="s">
        <v>3220</v>
      </c>
      <c r="B35" s="3060" t="s">
        <v>3098</v>
      </c>
      <c r="C35" s="3060" t="s">
        <v>3099</v>
      </c>
      <c r="D35" s="3060">
        <v>40602.31</v>
      </c>
      <c r="E35" s="3060">
        <v>105566</v>
      </c>
      <c r="F35" s="3061">
        <v>2.6</v>
      </c>
      <c r="G35" s="3060" t="s">
        <v>3100</v>
      </c>
      <c r="H35" s="3060" t="s">
        <v>3169</v>
      </c>
      <c r="I35" s="3060" t="s">
        <v>3221</v>
      </c>
      <c r="J35" s="3060" t="s">
        <v>3221</v>
      </c>
      <c r="K35" s="3060">
        <v>48718.7</v>
      </c>
      <c r="L35" s="3060">
        <v>53838.66</v>
      </c>
      <c r="M35" s="3060">
        <v>5100</v>
      </c>
      <c r="N35" s="3060">
        <v>10.51</v>
      </c>
      <c r="O35" s="3060" t="s">
        <v>3140</v>
      </c>
      <c r="P35" s="3060" t="s">
        <v>3103</v>
      </c>
    </row>
    <row r="36" spans="1:16" hidden="1">
      <c r="A36" s="3060" t="s">
        <v>3222</v>
      </c>
      <c r="B36" s="3060" t="s">
        <v>3098</v>
      </c>
      <c r="C36" s="3060" t="s">
        <v>3099</v>
      </c>
      <c r="D36" s="3060">
        <v>38192.68</v>
      </c>
      <c r="E36" s="3060">
        <v>110758</v>
      </c>
      <c r="F36" s="3061">
        <v>2.9</v>
      </c>
      <c r="G36" s="3060" t="s">
        <v>3100</v>
      </c>
      <c r="H36" s="3060" t="s">
        <v>3169</v>
      </c>
      <c r="I36" s="3060" t="s">
        <v>3223</v>
      </c>
      <c r="J36" s="3060" t="s">
        <v>3223</v>
      </c>
      <c r="K36" s="3060">
        <v>40105.47</v>
      </c>
      <c r="L36" s="3060">
        <v>45864.88</v>
      </c>
      <c r="M36" s="3060">
        <v>4141</v>
      </c>
      <c r="N36" s="3060">
        <v>14.36</v>
      </c>
      <c r="O36" s="3060" t="s">
        <v>3224</v>
      </c>
      <c r="P36" s="3060" t="s">
        <v>3103</v>
      </c>
    </row>
    <row r="37" spans="1:16" hidden="1">
      <c r="A37" s="3060" t="s">
        <v>3225</v>
      </c>
      <c r="B37" s="3060" t="s">
        <v>3098</v>
      </c>
      <c r="C37" s="3060" t="s">
        <v>3125</v>
      </c>
      <c r="D37" s="3060">
        <v>2877.9</v>
      </c>
      <c r="E37" s="3060">
        <v>6906</v>
      </c>
      <c r="F37" s="3061">
        <v>2.4</v>
      </c>
      <c r="G37" s="3060" t="s">
        <v>3226</v>
      </c>
      <c r="H37" s="3060" t="s">
        <v>3227</v>
      </c>
      <c r="I37" s="3060" t="s">
        <v>3228</v>
      </c>
      <c r="J37" s="3060" t="s">
        <v>3228</v>
      </c>
      <c r="K37" s="3060">
        <v>1381.2</v>
      </c>
      <c r="L37" s="3060">
        <v>1381.2</v>
      </c>
      <c r="M37" s="3060">
        <v>2000</v>
      </c>
      <c r="N37" s="3060">
        <v>0</v>
      </c>
      <c r="O37" s="3060" t="s">
        <v>3229</v>
      </c>
      <c r="P37" s="3060" t="s">
        <v>3103</v>
      </c>
    </row>
    <row r="38" spans="1:16" hidden="1">
      <c r="A38" s="3060" t="s">
        <v>3230</v>
      </c>
      <c r="B38" s="3060" t="s">
        <v>3098</v>
      </c>
      <c r="C38" s="3060" t="s">
        <v>3125</v>
      </c>
      <c r="D38" s="3060">
        <v>70217.009999999995</v>
      </c>
      <c r="E38" s="3060">
        <v>225983</v>
      </c>
      <c r="F38" s="3061" t="s">
        <v>3231</v>
      </c>
      <c r="G38" s="3060" t="s">
        <v>3226</v>
      </c>
      <c r="H38" s="3060" t="s">
        <v>3232</v>
      </c>
      <c r="I38" s="3060" t="s">
        <v>3233</v>
      </c>
      <c r="J38" s="3060" t="s">
        <v>3233</v>
      </c>
      <c r="K38" s="3060">
        <v>68472.850000000006</v>
      </c>
      <c r="L38" s="3060">
        <v>102822.3</v>
      </c>
      <c r="M38" s="3060">
        <v>4550</v>
      </c>
      <c r="N38" s="3060">
        <v>50.17</v>
      </c>
      <c r="O38" s="3060" t="s">
        <v>3234</v>
      </c>
      <c r="P38" s="3060" t="s">
        <v>3103</v>
      </c>
    </row>
    <row r="39" spans="1:16" hidden="1">
      <c r="A39" s="3060" t="s">
        <v>3235</v>
      </c>
      <c r="B39" s="3060" t="s">
        <v>3098</v>
      </c>
      <c r="C39" s="3060" t="s">
        <v>3125</v>
      </c>
      <c r="D39" s="3060">
        <v>24335.38</v>
      </c>
      <c r="E39" s="3060">
        <v>85173</v>
      </c>
      <c r="F39" s="3061" t="s">
        <v>3236</v>
      </c>
      <c r="G39" s="3060" t="s">
        <v>3226</v>
      </c>
      <c r="H39" s="3060" t="s">
        <v>3237</v>
      </c>
      <c r="I39" s="3060" t="s">
        <v>3238</v>
      </c>
      <c r="J39" s="3060" t="s">
        <v>3238</v>
      </c>
      <c r="K39" s="3060">
        <v>29214.34</v>
      </c>
      <c r="L39" s="3060">
        <v>29214.34</v>
      </c>
      <c r="M39" s="3060">
        <v>3430</v>
      </c>
      <c r="N39" s="3060">
        <v>0</v>
      </c>
      <c r="O39" s="3060" t="s">
        <v>3239</v>
      </c>
      <c r="P39" s="3060" t="s">
        <v>3103</v>
      </c>
    </row>
    <row r="40" spans="1:16" hidden="1">
      <c r="A40" s="3060" t="s">
        <v>3240</v>
      </c>
      <c r="B40" s="3060" t="s">
        <v>3098</v>
      </c>
      <c r="C40" s="3060" t="s">
        <v>3125</v>
      </c>
      <c r="D40" s="3060">
        <v>16439.78</v>
      </c>
      <c r="E40" s="3060">
        <v>49319</v>
      </c>
      <c r="F40" s="3061" t="s">
        <v>3241</v>
      </c>
      <c r="G40" s="3060" t="s">
        <v>3100</v>
      </c>
      <c r="H40" s="3060" t="s">
        <v>3169</v>
      </c>
      <c r="I40" s="3060" t="s">
        <v>3242</v>
      </c>
      <c r="J40" s="3060" t="s">
        <v>3242</v>
      </c>
      <c r="K40" s="3060">
        <v>15658.78</v>
      </c>
      <c r="L40" s="3060">
        <v>17557.560000000001</v>
      </c>
      <c r="M40" s="3060">
        <v>3560</v>
      </c>
      <c r="N40" s="3060">
        <v>12.13</v>
      </c>
      <c r="O40" s="3060" t="s">
        <v>3183</v>
      </c>
      <c r="P40" s="3060" t="s">
        <v>3103</v>
      </c>
    </row>
    <row r="41" spans="1:16" hidden="1">
      <c r="A41" s="3060" t="s">
        <v>3243</v>
      </c>
      <c r="B41" s="3060" t="s">
        <v>3098</v>
      </c>
      <c r="C41" s="3060" t="s">
        <v>3125</v>
      </c>
      <c r="D41" s="3060">
        <v>6337.43</v>
      </c>
      <c r="E41" s="3060">
        <v>15209</v>
      </c>
      <c r="F41" s="3061" t="s">
        <v>3244</v>
      </c>
      <c r="G41" s="3060" t="s">
        <v>3100</v>
      </c>
      <c r="H41" s="3060" t="s">
        <v>3245</v>
      </c>
      <c r="I41" s="3060" t="s">
        <v>3242</v>
      </c>
      <c r="J41" s="3060" t="s">
        <v>3242</v>
      </c>
      <c r="K41" s="3060">
        <v>3802.25</v>
      </c>
      <c r="L41" s="3060">
        <v>4866.88</v>
      </c>
      <c r="M41" s="3060">
        <v>3200</v>
      </c>
      <c r="N41" s="3060">
        <v>28</v>
      </c>
      <c r="O41" s="3060" t="s">
        <v>3246</v>
      </c>
      <c r="P41" s="3060" t="s">
        <v>3103</v>
      </c>
    </row>
    <row r="42" spans="1:16" hidden="1">
      <c r="A42" s="3060" t="s">
        <v>3247</v>
      </c>
      <c r="B42" s="3060" t="s">
        <v>3098</v>
      </c>
      <c r="C42" s="3060" t="s">
        <v>3125</v>
      </c>
      <c r="D42" s="3060">
        <v>20466.68</v>
      </c>
      <c r="E42" s="3060">
        <v>49120</v>
      </c>
      <c r="F42" s="3061" t="s">
        <v>3248</v>
      </c>
      <c r="G42" s="3060" t="s">
        <v>3100</v>
      </c>
      <c r="H42" s="3060" t="s">
        <v>3169</v>
      </c>
      <c r="I42" s="3060" t="s">
        <v>3249</v>
      </c>
      <c r="J42" s="3060" t="s">
        <v>3249</v>
      </c>
      <c r="K42" s="3060">
        <v>21490</v>
      </c>
      <c r="L42" s="3060">
        <v>21858.400000000001</v>
      </c>
      <c r="M42" s="3060">
        <v>4450</v>
      </c>
      <c r="N42" s="3060">
        <v>1.71</v>
      </c>
      <c r="O42" s="3060" t="s">
        <v>3250</v>
      </c>
      <c r="P42" s="3060" t="s">
        <v>3103</v>
      </c>
    </row>
    <row r="43" spans="1:16" hidden="1">
      <c r="A43" s="3060" t="s">
        <v>3247</v>
      </c>
      <c r="B43" s="3060" t="s">
        <v>3098</v>
      </c>
      <c r="C43" s="3060" t="s">
        <v>3125</v>
      </c>
      <c r="D43" s="3060">
        <v>47847.53</v>
      </c>
      <c r="E43" s="3060">
        <v>114834</v>
      </c>
      <c r="F43" s="3061" t="s">
        <v>3248</v>
      </c>
      <c r="G43" s="3060" t="s">
        <v>3100</v>
      </c>
      <c r="H43" s="3060" t="s">
        <v>3169</v>
      </c>
      <c r="I43" s="3060" t="s">
        <v>3249</v>
      </c>
      <c r="J43" s="3060" t="s">
        <v>3249</v>
      </c>
      <c r="K43" s="3060">
        <v>43062.75</v>
      </c>
      <c r="L43" s="3060">
        <v>51904.97</v>
      </c>
      <c r="M43" s="3060">
        <v>4520</v>
      </c>
      <c r="N43" s="3060">
        <v>20.53</v>
      </c>
      <c r="O43" s="3060" t="s">
        <v>3251</v>
      </c>
      <c r="P43" s="3060" t="s">
        <v>3103</v>
      </c>
    </row>
    <row r="44" spans="1:16" hidden="1">
      <c r="A44" s="3060" t="s">
        <v>3252</v>
      </c>
      <c r="B44" s="3060" t="s">
        <v>3098</v>
      </c>
      <c r="C44" s="3060" t="s">
        <v>3125</v>
      </c>
      <c r="D44" s="3060">
        <v>79961.649999999994</v>
      </c>
      <c r="E44" s="3060">
        <v>479769</v>
      </c>
      <c r="F44" s="3061" t="s">
        <v>3253</v>
      </c>
      <c r="G44" s="3060" t="s">
        <v>3226</v>
      </c>
      <c r="H44" s="3060" t="s">
        <v>3237</v>
      </c>
      <c r="I44" s="3060" t="s">
        <v>3254</v>
      </c>
      <c r="J44" s="3060" t="s">
        <v>3254</v>
      </c>
      <c r="K44" s="3060">
        <v>299855.59000000003</v>
      </c>
      <c r="L44" s="3060">
        <v>299855.59000000003</v>
      </c>
      <c r="M44" s="3060">
        <v>6250</v>
      </c>
      <c r="N44" s="3060">
        <v>0</v>
      </c>
      <c r="O44" s="3060" t="s">
        <v>3255</v>
      </c>
      <c r="P44" s="3060" t="s">
        <v>3103</v>
      </c>
    </row>
    <row r="45" spans="1:16" hidden="1">
      <c r="A45" s="3060" t="s">
        <v>3256</v>
      </c>
      <c r="B45" s="3060" t="s">
        <v>3098</v>
      </c>
      <c r="C45" s="3060" t="s">
        <v>3125</v>
      </c>
      <c r="D45" s="3060">
        <v>10496</v>
      </c>
      <c r="E45" s="3060">
        <v>27289.599999999999</v>
      </c>
      <c r="F45" s="3061" t="s">
        <v>3257</v>
      </c>
      <c r="G45" s="3060" t="s">
        <v>3100</v>
      </c>
      <c r="H45" s="3060" t="s">
        <v>3169</v>
      </c>
      <c r="I45" s="3060" t="s">
        <v>3258</v>
      </c>
      <c r="J45" s="3060" t="s">
        <v>3258</v>
      </c>
      <c r="K45" s="3060">
        <v>11052.29</v>
      </c>
      <c r="L45" s="3060">
        <v>11052.29</v>
      </c>
      <c r="M45" s="3060">
        <v>4050</v>
      </c>
      <c r="N45" s="3060">
        <v>0</v>
      </c>
      <c r="O45" s="3060" t="s">
        <v>3259</v>
      </c>
      <c r="P45" s="3060" t="s">
        <v>3103</v>
      </c>
    </row>
    <row r="46" spans="1:16" hidden="1">
      <c r="A46" s="3060" t="s">
        <v>3260</v>
      </c>
      <c r="B46" s="3060" t="s">
        <v>3098</v>
      </c>
      <c r="C46" s="3060" t="s">
        <v>3125</v>
      </c>
      <c r="D46" s="3060">
        <v>7629.36</v>
      </c>
      <c r="E46" s="3060">
        <v>16784.599999999999</v>
      </c>
      <c r="F46" s="3061" t="s">
        <v>3261</v>
      </c>
      <c r="G46" s="3060" t="s">
        <v>3100</v>
      </c>
      <c r="H46" s="3060" t="s">
        <v>3169</v>
      </c>
      <c r="I46" s="3060" t="s">
        <v>3262</v>
      </c>
      <c r="J46" s="3060" t="s">
        <v>3262</v>
      </c>
      <c r="K46" s="3060">
        <v>6713.84</v>
      </c>
      <c r="L46" s="3060">
        <v>15609.68</v>
      </c>
      <c r="M46" s="3060">
        <v>9300</v>
      </c>
      <c r="N46" s="3060">
        <v>132.5</v>
      </c>
      <c r="O46" s="3060" t="s">
        <v>3263</v>
      </c>
      <c r="P46" s="3060" t="s">
        <v>3103</v>
      </c>
    </row>
    <row r="47" spans="1:16" hidden="1">
      <c r="A47" s="3060" t="s">
        <v>3217</v>
      </c>
      <c r="B47" s="3060" t="s">
        <v>3098</v>
      </c>
      <c r="C47" s="3060" t="s">
        <v>3125</v>
      </c>
      <c r="D47" s="3060">
        <v>20200.43</v>
      </c>
      <c r="E47" s="3060">
        <v>48077</v>
      </c>
      <c r="F47" s="3061" t="s">
        <v>3248</v>
      </c>
      <c r="G47" s="3060" t="s">
        <v>3100</v>
      </c>
      <c r="H47" s="3060" t="s">
        <v>3169</v>
      </c>
      <c r="I47" s="3060" t="s">
        <v>3264</v>
      </c>
      <c r="J47" s="3060" t="s">
        <v>3264</v>
      </c>
      <c r="K47" s="3060">
        <v>26442.34</v>
      </c>
      <c r="L47" s="3060">
        <v>48077</v>
      </c>
      <c r="M47" s="3060">
        <v>10000</v>
      </c>
      <c r="N47" s="3060">
        <v>81.819999999999993</v>
      </c>
      <c r="O47" s="3060" t="s">
        <v>3265</v>
      </c>
      <c r="P47" s="3060" t="s">
        <v>3103</v>
      </c>
    </row>
    <row r="48" spans="1:16" hidden="1">
      <c r="A48" s="3060" t="s">
        <v>3266</v>
      </c>
      <c r="B48" s="3060" t="s">
        <v>3098</v>
      </c>
      <c r="C48" s="3060" t="s">
        <v>3099</v>
      </c>
      <c r="D48" s="3060">
        <v>66068.740000000005</v>
      </c>
      <c r="E48" s="3060">
        <v>191599</v>
      </c>
      <c r="F48" s="3061" t="s">
        <v>3267</v>
      </c>
      <c r="G48" s="3060" t="s">
        <v>3100</v>
      </c>
      <c r="H48" s="3060" t="s">
        <v>3169</v>
      </c>
      <c r="I48" s="3060" t="s">
        <v>3268</v>
      </c>
      <c r="J48" s="3060" t="s">
        <v>3268</v>
      </c>
      <c r="K48" s="3060">
        <v>54509.91</v>
      </c>
      <c r="L48" s="3060">
        <v>132586.5</v>
      </c>
      <c r="M48" s="3060">
        <v>6920</v>
      </c>
      <c r="N48" s="3060">
        <v>143.22999999999999</v>
      </c>
      <c r="O48" s="3060" t="s">
        <v>3269</v>
      </c>
      <c r="P48" s="3060" t="s">
        <v>3103</v>
      </c>
    </row>
    <row r="49" spans="1:16" hidden="1">
      <c r="A49" s="3060" t="s">
        <v>3270</v>
      </c>
      <c r="B49" s="3060" t="s">
        <v>3098</v>
      </c>
      <c r="C49" s="3060" t="s">
        <v>3099</v>
      </c>
      <c r="D49" s="3060">
        <v>23516.58</v>
      </c>
      <c r="E49" s="3060">
        <v>68198</v>
      </c>
      <c r="F49" s="3061" t="s">
        <v>3267</v>
      </c>
      <c r="G49" s="3060" t="s">
        <v>3100</v>
      </c>
      <c r="H49" s="3060" t="s">
        <v>3169</v>
      </c>
      <c r="I49" s="3060" t="s">
        <v>3268</v>
      </c>
      <c r="J49" s="3060" t="s">
        <v>3268</v>
      </c>
      <c r="K49" s="3060">
        <v>19402.330000000002</v>
      </c>
      <c r="L49" s="3060">
        <v>46374.63</v>
      </c>
      <c r="M49" s="3060">
        <v>6800</v>
      </c>
      <c r="N49" s="3060">
        <v>139.02000000000001</v>
      </c>
      <c r="O49" s="3060" t="s">
        <v>3269</v>
      </c>
      <c r="P49" s="3060" t="s">
        <v>3103</v>
      </c>
    </row>
    <row r="50" spans="1:16" hidden="1">
      <c r="A50" s="3060" t="s">
        <v>3271</v>
      </c>
      <c r="B50" s="3060" t="s">
        <v>3098</v>
      </c>
      <c r="C50" s="3060" t="s">
        <v>3125</v>
      </c>
      <c r="D50" s="3060">
        <v>20896.259999999998</v>
      </c>
      <c r="E50" s="3060">
        <v>62688.78</v>
      </c>
      <c r="F50" s="3061" t="s">
        <v>3272</v>
      </c>
      <c r="G50" s="3060" t="s">
        <v>3100</v>
      </c>
      <c r="H50" s="3060" t="s">
        <v>3273</v>
      </c>
      <c r="I50" s="3060" t="s">
        <v>3274</v>
      </c>
      <c r="J50" s="3060" t="s">
        <v>3274</v>
      </c>
      <c r="K50" s="3060">
        <v>6268.88</v>
      </c>
      <c r="L50" s="3060">
        <v>29463.72</v>
      </c>
      <c r="M50" s="3060">
        <v>4700</v>
      </c>
      <c r="N50" s="3060">
        <v>370</v>
      </c>
      <c r="O50" s="3060" t="s">
        <v>3275</v>
      </c>
      <c r="P50" s="3060" t="s">
        <v>3103</v>
      </c>
    </row>
    <row r="51" spans="1:16" hidden="1">
      <c r="A51" s="3060" t="s">
        <v>3276</v>
      </c>
      <c r="B51" s="3060" t="s">
        <v>3098</v>
      </c>
      <c r="C51" s="3060" t="s">
        <v>3099</v>
      </c>
      <c r="D51" s="3060">
        <v>5320.96</v>
      </c>
      <c r="E51" s="3060">
        <v>11706.11</v>
      </c>
      <c r="F51" s="3061" t="s">
        <v>3277</v>
      </c>
      <c r="G51" s="3060" t="s">
        <v>3100</v>
      </c>
      <c r="H51" s="3060" t="s">
        <v>3273</v>
      </c>
      <c r="I51" s="3060" t="s">
        <v>3278</v>
      </c>
      <c r="J51" s="3060" t="s">
        <v>3278</v>
      </c>
      <c r="K51" s="3060">
        <v>4070.53</v>
      </c>
      <c r="L51" s="3060">
        <v>4070.53</v>
      </c>
      <c r="M51" s="3060">
        <v>3477.26</v>
      </c>
      <c r="N51" s="3060">
        <v>0</v>
      </c>
      <c r="O51" s="3060" t="s">
        <v>3279</v>
      </c>
      <c r="P51" s="3060" t="s">
        <v>3103</v>
      </c>
    </row>
  </sheetData>
  <phoneticPr fontId="140"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0" zoomScaleNormal="70" zoomScaleSheetLayoutView="8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3072</v>
      </c>
      <c r="D1" s="1546" t="s">
        <v>70</v>
      </c>
      <c r="E1" s="1547" t="s">
        <v>1352</v>
      </c>
      <c r="F1" s="1193">
        <f ca="1">J53</f>
        <v>36</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226</v>
      </c>
      <c r="C2" s="1571" t="s">
        <v>1481</v>
      </c>
      <c r="D2" s="1571"/>
      <c r="E2" s="1572"/>
      <c r="F2" s="1573"/>
      <c r="G2" s="2933"/>
      <c r="H2" s="2922"/>
      <c r="I2" s="2922"/>
      <c r="J2" s="2922"/>
      <c r="K2" s="2923"/>
      <c r="L2" s="2922"/>
      <c r="M2" s="2922"/>
    </row>
    <row r="3" spans="1:37" ht="18" customHeight="1" thickBot="1">
      <c r="A3" s="1574" t="s">
        <v>1482</v>
      </c>
      <c r="B3" s="1575">
        <f ca="1">IF(ISERROR(B2*10000/F43),0,ROUND(B2*10000/F43,0))</f>
        <v>274</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66</v>
      </c>
      <c r="D5" s="1548" t="s">
        <v>1367</v>
      </c>
      <c r="E5" s="1203"/>
      <c r="F5" s="1204"/>
      <c r="G5" s="1568"/>
      <c r="H5" s="305">
        <v>1</v>
      </c>
      <c r="I5" s="306" t="s">
        <v>1366</v>
      </c>
      <c r="J5" s="1202">
        <f ca="1">J6+J10+J12</f>
        <v>0</v>
      </c>
      <c r="K5" s="1548" t="s">
        <v>1367</v>
      </c>
      <c r="L5" s="1203"/>
      <c r="M5" s="1204"/>
    </row>
    <row r="6" spans="1:37" ht="18" customHeight="1">
      <c r="A6" s="1201" t="s">
        <v>1003</v>
      </c>
      <c r="B6" s="3308" t="s">
        <v>1368</v>
      </c>
      <c r="C6" s="1206">
        <f ca="1">ROUND(F6*F8*F7*(1-F9)/10000,0)</f>
        <v>66</v>
      </c>
      <c r="D6" s="160" t="s">
        <v>2851</v>
      </c>
      <c r="E6" s="308" t="s">
        <v>1370</v>
      </c>
      <c r="F6" s="309">
        <f ca="1">INDIRECT("'数据-取费表'!u"&amp;$G$1)</f>
        <v>300</v>
      </c>
      <c r="G6" s="1568"/>
      <c r="H6" s="1201" t="s">
        <v>1003</v>
      </c>
      <c r="I6" s="3308" t="s">
        <v>1368</v>
      </c>
      <c r="J6" s="307">
        <f ca="1">ROUND(M6*M8*M7*(1-M9)/10000,0)</f>
        <v>0</v>
      </c>
      <c r="K6" s="160" t="s">
        <v>2850</v>
      </c>
      <c r="L6" s="308" t="s">
        <v>1370</v>
      </c>
      <c r="M6" s="309">
        <f ca="1">INDIRECT("'数据-取费表'!z"&amp;$G$1)</f>
        <v>0</v>
      </c>
    </row>
    <row r="7" spans="1:37" ht="18" customHeight="1">
      <c r="A7" s="1205"/>
      <c r="B7" s="3309"/>
      <c r="C7" s="1207"/>
      <c r="D7" s="313"/>
      <c r="E7" s="1208" t="s">
        <v>1371</v>
      </c>
      <c r="F7" s="309">
        <f ca="1">IF(INDIRECT("'数据-取费表'!ah"&amp;$G$1)="",INDIRECT("'数据-取费表'!k"&amp;$G$1),INDIRECT("'数据-取费表'!ah"&amp;$G$1))</f>
        <v>203</v>
      </c>
      <c r="G7" s="1568"/>
      <c r="H7" s="310"/>
      <c r="I7" s="3309"/>
      <c r="J7" s="312"/>
      <c r="K7" s="313"/>
      <c r="L7" s="308" t="s">
        <v>1371</v>
      </c>
      <c r="M7" s="309">
        <f ca="1">F7</f>
        <v>203</v>
      </c>
    </row>
    <row r="8" spans="1:37" ht="18" customHeight="1">
      <c r="A8" s="310"/>
      <c r="B8" s="3309"/>
      <c r="C8" s="312"/>
      <c r="D8" s="313"/>
      <c r="E8" s="308" t="s">
        <v>1372</v>
      </c>
      <c r="F8" s="309">
        <f ca="1">INDIRECT("'数据-取费表'!ai"&amp;$G$1)</f>
        <v>12</v>
      </c>
      <c r="G8" s="1568"/>
      <c r="H8" s="310"/>
      <c r="I8" s="3309"/>
      <c r="J8" s="312"/>
      <c r="K8" s="313"/>
      <c r="L8" s="308" t="s">
        <v>1372</v>
      </c>
      <c r="M8" s="309">
        <f ca="1">INDIRECT("'数据-取费表'!ai"&amp;$G$1)</f>
        <v>12</v>
      </c>
    </row>
    <row r="9" spans="1:37" ht="18" customHeight="1">
      <c r="A9" s="310"/>
      <c r="B9" s="3310"/>
      <c r="C9" s="312"/>
      <c r="D9" s="313"/>
      <c r="E9" s="308" t="s">
        <v>1373</v>
      </c>
      <c r="F9" s="318">
        <f ca="1">INDIRECT("'数据-取费表'!w"&amp;$G$1)</f>
        <v>0.1</v>
      </c>
      <c r="G9" s="1568"/>
      <c r="H9" s="310"/>
      <c r="I9" s="331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3077</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2235</v>
      </c>
      <c r="D13" s="1241" t="s">
        <v>1380</v>
      </c>
      <c r="E13" s="1241" t="s">
        <v>1381</v>
      </c>
      <c r="F13" s="1242">
        <f ca="1">INDIRECT("'数据-取费表'!y"&amp;$G$1)</f>
        <v>0.8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2059</v>
      </c>
      <c r="D14" s="1529" t="s">
        <v>1383</v>
      </c>
      <c r="E14" s="1526"/>
      <c r="F14" s="325"/>
      <c r="G14" s="1568"/>
      <c r="H14" s="1113" t="s">
        <v>1003</v>
      </c>
      <c r="I14" s="308" t="s">
        <v>1384</v>
      </c>
      <c r="J14" s="24">
        <f ca="1">C29</f>
        <v>2794</v>
      </c>
      <c r="K14" s="15"/>
      <c r="L14" s="916"/>
      <c r="M14" s="917"/>
    </row>
    <row r="15" spans="1:37" s="1581" customFormat="1" ht="18" customHeight="1" thickBot="1">
      <c r="A15" s="1113" t="s">
        <v>1004</v>
      </c>
      <c r="B15" s="308" t="s">
        <v>1385</v>
      </c>
      <c r="C15" s="24">
        <f ca="1">ROUND(C14*F15,0)</f>
        <v>62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65</v>
      </c>
      <c r="K16" s="1247" t="s">
        <v>1390</v>
      </c>
      <c r="L16" s="1248"/>
      <c r="M16" s="1204"/>
    </row>
    <row r="17" spans="1:37" s="1581" customFormat="1" ht="18" customHeight="1">
      <c r="A17" s="1113" t="s">
        <v>1355</v>
      </c>
      <c r="B17" s="308" t="s">
        <v>1391</v>
      </c>
      <c r="C17" s="24">
        <f ca="1">ROUND(F17*(F43+INDIRECT("'数据-取费表'!S"&amp;$G$1))/10000,0)</f>
        <v>165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23</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2317</v>
      </c>
      <c r="D19" s="136" t="s">
        <v>1401</v>
      </c>
      <c r="E19" s="1544"/>
      <c r="F19" s="26"/>
      <c r="G19" s="1568"/>
      <c r="H19" s="1113" t="s">
        <v>1004</v>
      </c>
      <c r="I19" s="308" t="s">
        <v>1402</v>
      </c>
      <c r="J19" s="24">
        <f ca="1">IF(K19="按租金收入计税",ROUND(J6*M19/(1+'数据-取费表'!C42),2),ROUND(C29*M19*0.7,2))</f>
        <v>23.47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46</v>
      </c>
      <c r="D20" s="329" t="s">
        <v>1405</v>
      </c>
      <c r="E20" s="308" t="s">
        <v>1387</v>
      </c>
      <c r="F20" s="328">
        <f>'数据-取费表'!B37</f>
        <v>0.02</v>
      </c>
      <c r="G20" s="1580"/>
      <c r="H20" s="1113" t="s">
        <v>1354</v>
      </c>
      <c r="I20" s="160" t="s">
        <v>1406</v>
      </c>
      <c r="J20" s="25">
        <f ca="1">ROUND(M20*M21/10000,2)</f>
        <v>0</v>
      </c>
      <c r="K20" s="330" t="s">
        <v>1407</v>
      </c>
      <c r="L20" s="308" t="s">
        <v>1408</v>
      </c>
      <c r="M20" s="331">
        <f>'数据-取费表'!B52</f>
        <v>7</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41.9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-65</v>
      </c>
      <c r="K25" s="1255" t="s">
        <v>1429</v>
      </c>
      <c r="L25" s="1256"/>
      <c r="M25" s="1257"/>
    </row>
    <row r="26" spans="1:37">
      <c r="A26" s="1113" t="s">
        <v>1002</v>
      </c>
      <c r="B26" s="308" t="s">
        <v>1430</v>
      </c>
      <c r="C26" s="24">
        <f ca="1">ROUND((C19+C20)*F26,0)</f>
        <v>118</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2794</v>
      </c>
      <c r="D29" s="1252"/>
      <c r="E29" s="1250"/>
      <c r="F29" s="1253"/>
      <c r="G29" s="1580"/>
      <c r="H29" s="340" t="s">
        <v>1001</v>
      </c>
      <c r="I29" s="341" t="s">
        <v>1444</v>
      </c>
      <c r="J29" s="342">
        <f ca="1">ROUND(J26/(1+F40)^F41,0)</f>
        <v>0</v>
      </c>
      <c r="K29" s="343" t="s">
        <v>1445</v>
      </c>
      <c r="L29" s="344"/>
      <c r="M29" s="345">
        <f ca="1">INDIRECT("'数据-取费表'!k"&amp;$G$1)</f>
        <v>8236.73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57</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11</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IF(项目基本情况!B11="自然人","——",ROUND(C6*F32/(1+'数据-取费表'!C42),2))</f>
        <v>3.52</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7.54</v>
      </c>
      <c r="D33" s="1554" t="s">
        <v>3078</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7</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41.9</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3.4</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0.7</v>
      </c>
      <c r="D38" s="1252" t="s">
        <v>1424</v>
      </c>
      <c r="E38" s="1250" t="s">
        <v>1420</v>
      </c>
      <c r="F38" s="1246">
        <f ca="1">INDIRECT("'数据-取费表'!Am"&amp;$G$1)</f>
        <v>0.01</v>
      </c>
      <c r="G38" s="1568"/>
      <c r="H38" s="2927"/>
      <c r="I38" s="1582"/>
      <c r="J38" s="1583"/>
      <c r="K38" s="2931"/>
      <c r="L38" s="2927"/>
      <c r="M38" s="2927"/>
    </row>
    <row r="39" spans="1:18" ht="24.6" customHeight="1" thickTop="1">
      <c r="A39" s="1239" t="s">
        <v>999</v>
      </c>
      <c r="B39" s="1254" t="s">
        <v>1448</v>
      </c>
      <c r="C39" s="316">
        <f ca="1">C5-C30</f>
        <v>9</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226</v>
      </c>
      <c r="D40" s="330" t="s">
        <v>1434</v>
      </c>
      <c r="E40" s="308" t="s">
        <v>1435</v>
      </c>
      <c r="F40" s="318">
        <f ca="1">INDIRECT("'数据-取费表'!I"&amp;$G$1)</f>
        <v>0.04</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36</v>
      </c>
      <c r="G41" s="1568"/>
      <c r="H41" s="1353"/>
      <c r="I41" s="1582"/>
      <c r="J41" s="1583"/>
      <c r="K41" s="2768"/>
      <c r="L41" s="1353"/>
      <c r="M41" s="1353"/>
    </row>
    <row r="42" spans="1:18" ht="18" customHeight="1">
      <c r="A42" s="314"/>
      <c r="B42" s="315"/>
      <c r="C42" s="316"/>
      <c r="D42" s="333"/>
      <c r="E42" s="308" t="s">
        <v>1442</v>
      </c>
      <c r="F42" s="318">
        <f ca="1">INDIRECT("'数据-取费表'!v"&amp;$G$1)</f>
        <v>0.02</v>
      </c>
      <c r="G42" s="1568"/>
      <c r="H42" s="1353"/>
      <c r="I42" s="1582"/>
      <c r="J42" s="1583"/>
      <c r="K42" s="2768"/>
      <c r="L42" s="1353"/>
      <c r="M42" s="1353"/>
    </row>
    <row r="43" spans="1:18" ht="18" customHeight="1" thickBot="1">
      <c r="A43" s="340" t="s">
        <v>1001</v>
      </c>
      <c r="B43" s="341" t="s">
        <v>1452</v>
      </c>
      <c r="C43" s="342">
        <f ca="1">ROUND(C40*10000/F43,0)</f>
        <v>274</v>
      </c>
      <c r="D43" s="343" t="s">
        <v>1453</v>
      </c>
      <c r="E43" s="344" t="s">
        <v>1454</v>
      </c>
      <c r="F43" s="345">
        <f ca="1">INDIRECT("'数据-取费表'!k"&amp;$G$1)</f>
        <v>8236.73</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-5520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3079</v>
      </c>
      <c r="K47" s="1600" t="s">
        <v>1492</v>
      </c>
      <c r="L47" s="1601">
        <f ca="1">INDIRECT("'数据-取费表'!d"&amp;$G$1)</f>
        <v>40</v>
      </c>
      <c r="M47" s="1564" t="str">
        <f>IF(ISNUMBER(FIND("住宅",C1)),"住宅","非住宅")</f>
        <v>非住宅</v>
      </c>
      <c r="O47" s="1602" t="s">
        <v>1008</v>
      </c>
      <c r="P47" s="1603" t="s">
        <v>1493</v>
      </c>
      <c r="Q47" s="1604">
        <f ca="1">C40+J29</f>
        <v>226</v>
      </c>
      <c r="R47" s="1604" t="s">
        <v>1494</v>
      </c>
    </row>
    <row r="48" spans="1:18" s="1568" customFormat="1" ht="28.5" thickBot="1">
      <c r="A48" s="1270" t="s">
        <v>1103</v>
      </c>
      <c r="B48" s="306" t="s">
        <v>1366</v>
      </c>
      <c r="C48" s="1543">
        <f ca="1">C49+C53+C55</f>
        <v>0</v>
      </c>
      <c r="D48" s="1272"/>
      <c r="E48" s="1273"/>
      <c r="F48" s="1093"/>
      <c r="G48" s="731"/>
      <c r="H48" s="732"/>
      <c r="I48" s="1605" t="s">
        <v>1495</v>
      </c>
      <c r="J48" s="1606" t="s">
        <v>3080</v>
      </c>
      <c r="K48" s="1607" t="s">
        <v>1496</v>
      </c>
      <c r="L48" s="1608">
        <f ca="1">INDIRECT("'数据-取费表'!f"&amp;$G$1)</f>
        <v>36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2009</v>
      </c>
      <c r="K49" s="1607" t="s">
        <v>1500</v>
      </c>
      <c r="L49" s="1611"/>
      <c r="O49" s="1612" t="s">
        <v>1010</v>
      </c>
      <c r="P49" s="1603" t="s">
        <v>1501</v>
      </c>
      <c r="Q49" s="1604">
        <f ca="1">C29</f>
        <v>2794</v>
      </c>
      <c r="R49" s="1604" t="s">
        <v>1494</v>
      </c>
    </row>
    <row r="50" spans="1:18" s="1568" customFormat="1" ht="13.5" thickBot="1">
      <c r="A50" s="1107"/>
      <c r="B50" s="1110"/>
      <c r="C50" s="1278"/>
      <c r="D50" s="1084"/>
      <c r="E50" s="1187" t="s">
        <v>1371</v>
      </c>
      <c r="F50" s="1188">
        <f ca="1">F7</f>
        <v>203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48</v>
      </c>
      <c r="K51" s="1618" t="s">
        <v>1506</v>
      </c>
      <c r="L51" s="1619">
        <f ca="1">ROUND(-PV(INDIRECT("'数据-取费表'!h"&amp;$G$1),J51,(C39-C13*C76),0),0)</f>
        <v>-3921</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36</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36</v>
      </c>
      <c r="K53" s="3306" t="s">
        <v>1513</v>
      </c>
      <c r="L53" s="3307"/>
      <c r="O53" s="1602" t="s">
        <v>1014</v>
      </c>
      <c r="P53" s="1603" t="s">
        <v>1514</v>
      </c>
      <c r="Q53" s="1604">
        <f ca="1">Q47+Q48</f>
        <v>226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2235</v>
      </c>
      <c r="D56" s="1631"/>
      <c r="E56" s="1632"/>
      <c r="F56" s="1624"/>
      <c r="I56" s="1633" t="s">
        <v>1519</v>
      </c>
      <c r="J56" s="1634" t="s">
        <v>3073</v>
      </c>
      <c r="K56" s="1605" t="s">
        <v>1520</v>
      </c>
      <c r="L56" s="1608" t="str">
        <f ca="1">IF(L48&lt;J51,"——",L48-J53)</f>
        <v>——</v>
      </c>
      <c r="O56" s="1602" t="s">
        <v>1008</v>
      </c>
      <c r="P56" s="1603" t="s">
        <v>1493</v>
      </c>
      <c r="Q56" s="1604">
        <f ca="1">C40+J29</f>
        <v>226</v>
      </c>
      <c r="R56" s="1604" t="s">
        <v>1494</v>
      </c>
    </row>
    <row r="57" spans="1:18" s="1568" customFormat="1" ht="24.75" thickBot="1">
      <c r="A57" s="1635"/>
      <c r="B57" s="1081" t="s">
        <v>1443</v>
      </c>
      <c r="C57" s="244">
        <f ca="1">C29</f>
        <v>2794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280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235</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234.7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7</v>
      </c>
      <c r="I62" s="1646" t="s">
        <v>1535</v>
      </c>
      <c r="J62" s="1647" t="s">
        <v>1536</v>
      </c>
      <c r="K62" s="1647" t="s">
        <v>1537</v>
      </c>
      <c r="L62" s="1647" t="s">
        <v>1538</v>
      </c>
      <c r="M62" s="1648" t="s">
        <v>1539</v>
      </c>
      <c r="O62" s="1602" t="s">
        <v>1014</v>
      </c>
      <c r="P62" s="1603" t="s">
        <v>1540</v>
      </c>
      <c r="Q62" s="1604">
        <f ca="1">Q56+Q57</f>
        <v>226</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41.9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3.4</v>
      </c>
      <c r="D65" s="1095" t="s">
        <v>1419</v>
      </c>
      <c r="E65" s="1081" t="s">
        <v>1420</v>
      </c>
      <c r="F65" s="336">
        <f t="shared" ca="1" si="0"/>
        <v>1.5E-3</v>
      </c>
      <c r="I65" s="1646" t="s">
        <v>1544</v>
      </c>
      <c r="J65" s="1647">
        <v>40</v>
      </c>
      <c r="K65" s="1647">
        <v>30</v>
      </c>
      <c r="L65" s="1647">
        <v>50</v>
      </c>
      <c r="M65" s="1649">
        <v>0.02</v>
      </c>
      <c r="O65" s="1602" t="s">
        <v>1008</v>
      </c>
      <c r="P65" s="1603" t="s">
        <v>1545</v>
      </c>
      <c r="Q65" s="1604">
        <f ca="1">C40+J29</f>
        <v>226</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-280</v>
      </c>
      <c r="D67" s="1094" t="s">
        <v>1429</v>
      </c>
      <c r="E67" s="1099"/>
      <c r="F67" s="1100"/>
      <c r="O67" s="1612" t="s">
        <v>1010</v>
      </c>
      <c r="P67" s="1603" t="s">
        <v>1527</v>
      </c>
      <c r="Q67" s="1650">
        <f ca="1">L51</f>
        <v>-3921</v>
      </c>
      <c r="R67" s="1604" t="s">
        <v>1547</v>
      </c>
    </row>
    <row r="68" spans="1:18" s="1568" customFormat="1" ht="16.5" thickBot="1">
      <c r="A68" s="1078" t="s">
        <v>1000</v>
      </c>
      <c r="B68" s="1079" t="s">
        <v>1450</v>
      </c>
      <c r="C68" s="307">
        <f ca="1">ROUND(C67*(1-((1+F70)/(1+F68))^F69)/(F68-F70),0)</f>
        <v>-5294</v>
      </c>
      <c r="D68" s="1096" t="s">
        <v>1434</v>
      </c>
      <c r="E68" s="1081" t="s">
        <v>1435</v>
      </c>
      <c r="F68" s="318">
        <f ca="1">F40</f>
        <v>0.04</v>
      </c>
      <c r="O68" s="1612" t="s">
        <v>1011</v>
      </c>
      <c r="P68" s="1651" t="s">
        <v>1548</v>
      </c>
      <c r="Q68" s="1604">
        <f ca="1">ROUND(Q69-Q70*Q71,0)</f>
        <v>-170</v>
      </c>
      <c r="R68" s="1604" t="s">
        <v>1019</v>
      </c>
    </row>
    <row r="69" spans="1:18" s="1568" customFormat="1" ht="13.5" thickBot="1">
      <c r="A69" s="1082"/>
      <c r="B69" s="1083"/>
      <c r="C69" s="312"/>
      <c r="D69" s="1101" t="s">
        <v>1438</v>
      </c>
      <c r="E69" s="1081" t="s">
        <v>1439</v>
      </c>
      <c r="F69" s="339">
        <f ca="1">F41</f>
        <v>36</v>
      </c>
      <c r="O69" s="1612" t="s">
        <v>1016</v>
      </c>
      <c r="P69" s="1651" t="s">
        <v>1549</v>
      </c>
      <c r="Q69" s="1604">
        <f ca="1">C39</f>
        <v>9</v>
      </c>
      <c r="R69" s="1604" t="s">
        <v>1494</v>
      </c>
    </row>
    <row r="70" spans="1:18" s="1568" customFormat="1" ht="13.5" thickBot="1">
      <c r="A70" s="1085"/>
      <c r="B70" s="1086"/>
      <c r="C70" s="316"/>
      <c r="D70" s="1097"/>
      <c r="E70" s="1081" t="s">
        <v>1442</v>
      </c>
      <c r="F70" s="1185"/>
      <c r="O70" s="1612" t="s">
        <v>1017</v>
      </c>
      <c r="P70" s="1651" t="s">
        <v>1550</v>
      </c>
      <c r="Q70" s="1604">
        <f ca="1">C13</f>
        <v>2235</v>
      </c>
      <c r="R70" s="1604" t="s">
        <v>1494</v>
      </c>
    </row>
    <row r="71" spans="1:18" s="1568" customFormat="1" ht="13.5" thickBot="1">
      <c r="A71" s="1102" t="s">
        <v>1001</v>
      </c>
      <c r="B71" s="1103" t="s">
        <v>1452</v>
      </c>
      <c r="C71" s="342">
        <f ca="1">ROUND(C68*10000/F71,0)</f>
        <v>-6427</v>
      </c>
      <c r="D71" s="1104" t="s">
        <v>1453</v>
      </c>
      <c r="E71" s="1105" t="s">
        <v>1454</v>
      </c>
      <c r="F71" s="345">
        <f ca="1">F43</f>
        <v>8236.73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179</v>
      </c>
      <c r="D75" s="1568"/>
      <c r="E75" s="1568"/>
      <c r="F75" s="1568"/>
      <c r="K75" s="1586"/>
      <c r="L75" s="1568"/>
      <c r="O75" s="1602" t="s">
        <v>1014</v>
      </c>
      <c r="P75" s="1603" t="s">
        <v>1514</v>
      </c>
      <c r="Q75" s="1604">
        <f ca="1">Q65+Q66</f>
        <v>226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-18.888999999999999</v>
      </c>
    </row>
    <row r="80" spans="1:18">
      <c r="B80" s="346" t="s">
        <v>1476</v>
      </c>
      <c r="C80" s="280">
        <f ca="1">ROUND(C75/C39,3)</f>
        <v>19.888999999999999</v>
      </c>
    </row>
    <row r="81" spans="2:3">
      <c r="B81" s="276" t="s">
        <v>1477</v>
      </c>
      <c r="C81" s="244"/>
    </row>
    <row r="82" spans="2:3">
      <c r="B82" s="279" t="s">
        <v>1478</v>
      </c>
      <c r="C82" s="281">
        <f ca="1">1-C83</f>
        <v>-8.8889999999999993</v>
      </c>
    </row>
    <row r="83" spans="2:3">
      <c r="B83" s="279" t="s">
        <v>1479</v>
      </c>
      <c r="C83" s="280">
        <f ca="1">ROUND(C13/C40,3)</f>
        <v>9.8889999999999993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8" t="s">
        <v>1368</v>
      </c>
      <c r="C6" s="1206">
        <f ca="1">ROUND(F6*F8*F7*(1-F9),0)</f>
        <v>0</v>
      </c>
      <c r="D6" s="160" t="s">
        <v>2848</v>
      </c>
      <c r="E6" s="308" t="s">
        <v>1370</v>
      </c>
      <c r="F6" s="309">
        <f ca="1">INDIRECT("'数据-取费表'!u"&amp;$G$1)</f>
        <v>0</v>
      </c>
      <c r="G6" s="1568"/>
      <c r="H6" s="1201" t="s">
        <v>1003</v>
      </c>
      <c r="I6" s="3308" t="s">
        <v>1368</v>
      </c>
      <c r="J6" s="307">
        <f ca="1">ROUND(M6*M8*M7*(1-M9),0)</f>
        <v>0</v>
      </c>
      <c r="K6" s="1560" t="s">
        <v>2849</v>
      </c>
      <c r="L6" s="308" t="s">
        <v>1370</v>
      </c>
      <c r="M6" s="309">
        <f ca="1">INDIRECT("'数据-取费表'!z"&amp;$G$1)</f>
        <v>0</v>
      </c>
    </row>
    <row r="7" spans="1:37" ht="18" customHeight="1">
      <c r="A7" s="1205"/>
      <c r="B7" s="3309"/>
      <c r="C7" s="1207"/>
      <c r="D7" s="313"/>
      <c r="E7" s="1208" t="s">
        <v>1371</v>
      </c>
      <c r="F7" s="309">
        <f ca="1">IF(INDIRECT("'数据-取费表'!ah"&amp;$G$1)="",INDIRECT("'数据-取费表'!k"&amp;$G$1),INDIRECT("'数据-取费表'!ah"&amp;$G$1))</f>
        <v>0</v>
      </c>
      <c r="G7" s="1568"/>
      <c r="H7" s="310"/>
      <c r="I7" s="3309"/>
      <c r="J7" s="312"/>
      <c r="K7" s="313"/>
      <c r="L7" s="308" t="s">
        <v>1371</v>
      </c>
      <c r="M7" s="309">
        <f ca="1">F7</f>
        <v>0</v>
      </c>
    </row>
    <row r="8" spans="1:37" ht="18" customHeight="1">
      <c r="A8" s="310"/>
      <c r="B8" s="3309"/>
      <c r="C8" s="312"/>
      <c r="D8" s="313"/>
      <c r="E8" s="308" t="s">
        <v>1372</v>
      </c>
      <c r="F8" s="309">
        <f ca="1">INDIRECT("'数据-取费表'!ai"&amp;$G$1)</f>
        <v>0</v>
      </c>
      <c r="G8" s="1568"/>
      <c r="H8" s="310"/>
      <c r="I8" s="3309"/>
      <c r="J8" s="312"/>
      <c r="K8" s="313"/>
      <c r="L8" s="308" t="s">
        <v>1372</v>
      </c>
      <c r="M8" s="309">
        <f ca="1">INDIRECT("'数据-取费表'!ai"&amp;$G$1)</f>
        <v>0</v>
      </c>
    </row>
    <row r="9" spans="1:37" ht="18" customHeight="1">
      <c r="A9" s="310"/>
      <c r="B9" s="3310"/>
      <c r="C9" s="312"/>
      <c r="D9" s="313"/>
      <c r="E9" s="308" t="s">
        <v>1373</v>
      </c>
      <c r="F9" s="318">
        <f ca="1">INDIRECT("'数据-取费表'!w"&amp;$G$1)</f>
        <v>0</v>
      </c>
      <c r="G9" s="1568"/>
      <c r="H9" s="310"/>
      <c r="I9" s="331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7</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7</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06" t="s">
        <v>1513</v>
      </c>
      <c r="L53" s="330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7</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226</v>
      </c>
      <c r="C2" s="2058" t="s">
        <v>2340</v>
      </c>
      <c r="D2" s="2059" t="s">
        <v>2341</v>
      </c>
      <c r="E2" s="2831">
        <f>SUM(E6:E13)</f>
        <v>8236.73</v>
      </c>
      <c r="F2" s="2934"/>
      <c r="G2" s="1674"/>
      <c r="H2" s="1674"/>
      <c r="I2" s="1674"/>
      <c r="J2" s="1674"/>
      <c r="K2" s="1674"/>
      <c r="L2" s="1674"/>
      <c r="M2" s="1674"/>
      <c r="N2" s="1674"/>
      <c r="O2" s="1674"/>
      <c r="P2" s="1674"/>
      <c r="Q2" s="1674"/>
      <c r="R2" s="1674"/>
      <c r="S2" s="1674"/>
    </row>
    <row r="3" spans="1:22" ht="15.75">
      <c r="A3" s="2056" t="s">
        <v>1360</v>
      </c>
      <c r="B3" s="2825">
        <f ca="1">ROUND(B2*10000/E2,0)</f>
        <v>274</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311" t="s">
        <v>2343</v>
      </c>
      <c r="C5" s="3312"/>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226</v>
      </c>
      <c r="C6" s="2058" t="s">
        <v>2340</v>
      </c>
      <c r="D6" s="2936"/>
      <c r="E6" s="2830">
        <f>IF(OR(A6=0,F6="否"),0,'数据-取费表'!K6+'数据-取费表'!S6)</f>
        <v>8236.73</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9" t="s">
        <v>1044</v>
      </c>
      <c r="B1" s="3330"/>
      <c r="C1" s="3331"/>
      <c r="D1" s="3332">
        <f>SUM(I10,I15,I20,I21,I23)</f>
        <v>0</v>
      </c>
      <c r="E1" s="3332"/>
      <c r="F1" s="3332"/>
      <c r="G1" s="3332"/>
      <c r="H1" s="3332"/>
      <c r="I1" s="3333"/>
    </row>
    <row r="2" spans="1:9">
      <c r="A2" s="3319" t="s">
        <v>1045</v>
      </c>
      <c r="B2" s="3320" t="s">
        <v>1046</v>
      </c>
      <c r="C2" s="3320"/>
      <c r="D2" s="1211" t="s">
        <v>1047</v>
      </c>
      <c r="E2" s="1211" t="s">
        <v>1048</v>
      </c>
      <c r="F2" s="1211" t="s">
        <v>1049</v>
      </c>
      <c r="G2" s="1211" t="s">
        <v>1050</v>
      </c>
      <c r="H2" s="1211" t="s">
        <v>1051</v>
      </c>
      <c r="I2" s="1212" t="s">
        <v>1052</v>
      </c>
    </row>
    <row r="3" spans="1:9">
      <c r="A3" s="3319"/>
      <c r="B3" s="3320" t="s">
        <v>1053</v>
      </c>
      <c r="C3" s="3320"/>
      <c r="D3" s="1213"/>
      <c r="E3" s="1211"/>
      <c r="F3" s="1214"/>
      <c r="G3" s="1214"/>
      <c r="H3" s="1215"/>
      <c r="I3" s="1216">
        <f>ROUND(D3*E3*F3*G3*H3/10000,0)</f>
        <v>0</v>
      </c>
    </row>
    <row r="4" spans="1:9">
      <c r="A4" s="3319"/>
      <c r="B4" s="3320" t="s">
        <v>1054</v>
      </c>
      <c r="C4" s="3320"/>
      <c r="D4" s="1213"/>
      <c r="E4" s="1211"/>
      <c r="F4" s="1214"/>
      <c r="G4" s="1214"/>
      <c r="H4" s="1215"/>
      <c r="I4" s="1216">
        <f t="shared" ref="I4:I9" si="0">ROUND(D4*E4*F4*G4*H4/10000,0)</f>
        <v>0</v>
      </c>
    </row>
    <row r="5" spans="1:9">
      <c r="A5" s="3319"/>
      <c r="B5" s="3320" t="s">
        <v>1055</v>
      </c>
      <c r="C5" s="3320"/>
      <c r="D5" s="1213"/>
      <c r="E5" s="1211"/>
      <c r="F5" s="1214"/>
      <c r="G5" s="1214"/>
      <c r="H5" s="1215"/>
      <c r="I5" s="1216">
        <f t="shared" si="0"/>
        <v>0</v>
      </c>
    </row>
    <row r="6" spans="1:9">
      <c r="A6" s="3319"/>
      <c r="B6" s="3320" t="s">
        <v>1056</v>
      </c>
      <c r="C6" s="3320"/>
      <c r="D6" s="1213"/>
      <c r="E6" s="1211"/>
      <c r="F6" s="1214"/>
      <c r="G6" s="1214"/>
      <c r="H6" s="1215"/>
      <c r="I6" s="1216">
        <f t="shared" si="0"/>
        <v>0</v>
      </c>
    </row>
    <row r="7" spans="1:9">
      <c r="A7" s="3319"/>
      <c r="B7" s="3320" t="s">
        <v>1057</v>
      </c>
      <c r="C7" s="3320"/>
      <c r="D7" s="1213"/>
      <c r="E7" s="1211"/>
      <c r="F7" s="1214"/>
      <c r="G7" s="1214"/>
      <c r="H7" s="1215"/>
      <c r="I7" s="1216">
        <f t="shared" si="0"/>
        <v>0</v>
      </c>
    </row>
    <row r="8" spans="1:9">
      <c r="A8" s="3319"/>
      <c r="B8" s="3320" t="s">
        <v>1058</v>
      </c>
      <c r="C8" s="3320"/>
      <c r="D8" s="1213"/>
      <c r="E8" s="1211"/>
      <c r="F8" s="1214"/>
      <c r="G8" s="1214"/>
      <c r="H8" s="1215"/>
      <c r="I8" s="1216">
        <f t="shared" si="0"/>
        <v>0</v>
      </c>
    </row>
    <row r="9" spans="1:9">
      <c r="A9" s="3319"/>
      <c r="B9" s="3320" t="s">
        <v>1059</v>
      </c>
      <c r="C9" s="3320"/>
      <c r="D9" s="1213"/>
      <c r="E9" s="1211"/>
      <c r="F9" s="1214"/>
      <c r="G9" s="1214"/>
      <c r="H9" s="1215"/>
      <c r="I9" s="1216">
        <f t="shared" si="0"/>
        <v>0</v>
      </c>
    </row>
    <row r="10" spans="1:9">
      <c r="A10" s="3319"/>
      <c r="B10" s="3321" t="s">
        <v>1060</v>
      </c>
      <c r="C10" s="3321"/>
      <c r="D10" s="1217"/>
      <c r="E10" s="1217" t="e">
        <f>ROUND(D1*10000/D10/H9,0)</f>
        <v>#DIV/0!</v>
      </c>
      <c r="F10" s="1218"/>
      <c r="G10" s="1218"/>
      <c r="H10" s="1219"/>
      <c r="I10" s="1220">
        <f>SUM(I3:I9)</f>
        <v>0</v>
      </c>
    </row>
    <row r="11" spans="1:9" ht="14.25">
      <c r="A11" s="3319" t="s">
        <v>1061</v>
      </c>
      <c r="B11" s="3320" t="s">
        <v>1062</v>
      </c>
      <c r="C11" s="3320"/>
      <c r="D11" s="1213" t="s">
        <v>1063</v>
      </c>
      <c r="E11" s="1213" t="s">
        <v>1064</v>
      </c>
      <c r="F11" s="1214" t="s">
        <v>1065</v>
      </c>
      <c r="G11" s="1214" t="s">
        <v>1051</v>
      </c>
      <c r="H11" s="1221" t="s">
        <v>1066</v>
      </c>
      <c r="I11" s="1212" t="s">
        <v>1052</v>
      </c>
    </row>
    <row r="12" spans="1:9">
      <c r="A12" s="3319"/>
      <c r="B12" s="3320" t="s">
        <v>1067</v>
      </c>
      <c r="C12" s="3320"/>
      <c r="D12" s="1213"/>
      <c r="E12" s="1213"/>
      <c r="F12" s="1214"/>
      <c r="G12" s="1215"/>
      <c r="H12" s="1222"/>
      <c r="I12" s="1212">
        <f>ROUND(D12*E12*F12*G12/10000,0)</f>
        <v>0</v>
      </c>
    </row>
    <row r="13" spans="1:9">
      <c r="A13" s="3319"/>
      <c r="B13" s="3320" t="s">
        <v>1068</v>
      </c>
      <c r="C13" s="3320"/>
      <c r="D13" s="1213"/>
      <c r="E13" s="1213"/>
      <c r="F13" s="1214"/>
      <c r="G13" s="1215"/>
      <c r="H13" s="1222"/>
      <c r="I13" s="1212">
        <f>ROUND(D13*E13*F13*G13/10000,0)</f>
        <v>0</v>
      </c>
    </row>
    <row r="14" spans="1:9">
      <c r="A14" s="3319"/>
      <c r="B14" s="3320" t="s">
        <v>1069</v>
      </c>
      <c r="C14" s="3320"/>
      <c r="D14" s="1213"/>
      <c r="E14" s="1213"/>
      <c r="F14" s="1214"/>
      <c r="G14" s="1215"/>
      <c r="H14" s="1222"/>
      <c r="I14" s="1212">
        <f>ROUND(D14*E14*F14*G14/10000,0)</f>
        <v>0</v>
      </c>
    </row>
    <row r="15" spans="1:9">
      <c r="A15" s="3319"/>
      <c r="B15" s="3321" t="s">
        <v>1060</v>
      </c>
      <c r="C15" s="3321"/>
      <c r="D15" s="1217"/>
      <c r="E15" s="1217">
        <f>SUM(E12:E14)</f>
        <v>0</v>
      </c>
      <c r="F15" s="1218"/>
      <c r="G15" s="1215"/>
      <c r="H15" s="1222"/>
      <c r="I15" s="1223">
        <f>SUM(I12:I14)</f>
        <v>0</v>
      </c>
    </row>
    <row r="16" spans="1:9" ht="24">
      <c r="A16" s="3319" t="s">
        <v>1070</v>
      </c>
      <c r="B16" s="3320" t="s">
        <v>1071</v>
      </c>
      <c r="C16" s="3320"/>
      <c r="D16" s="1213" t="s">
        <v>1047</v>
      </c>
      <c r="E16" s="1224" t="s">
        <v>1072</v>
      </c>
      <c r="F16" s="1214" t="s">
        <v>1073</v>
      </c>
      <c r="G16" s="1215" t="s">
        <v>1051</v>
      </c>
      <c r="H16" s="1221" t="s">
        <v>1066</v>
      </c>
      <c r="I16" s="1212" t="s">
        <v>1052</v>
      </c>
    </row>
    <row r="17" spans="1:9" ht="14.25">
      <c r="A17" s="3319"/>
      <c r="B17" s="3320" t="s">
        <v>1074</v>
      </c>
      <c r="C17" s="3320"/>
      <c r="D17" s="1213"/>
      <c r="E17" s="1213"/>
      <c r="F17" s="1214"/>
      <c r="G17" s="1215"/>
      <c r="H17" s="1225"/>
      <c r="I17" s="1226">
        <f>ROUND(D17*E17*F17*G17/10000,0)</f>
        <v>0</v>
      </c>
    </row>
    <row r="18" spans="1:9" ht="14.25">
      <c r="A18" s="3319"/>
      <c r="B18" s="3320" t="s">
        <v>1075</v>
      </c>
      <c r="C18" s="3320"/>
      <c r="D18" s="1213"/>
      <c r="E18" s="1213"/>
      <c r="F18" s="1214"/>
      <c r="G18" s="1215"/>
      <c r="H18" s="1225"/>
      <c r="I18" s="1226">
        <f>ROUND(D18*E18*F18*G18/10000,0)</f>
        <v>0</v>
      </c>
    </row>
    <row r="19" spans="1:9" ht="14.25">
      <c r="A19" s="3319"/>
      <c r="B19" s="3320" t="s">
        <v>1076</v>
      </c>
      <c r="C19" s="3320"/>
      <c r="D19" s="1213"/>
      <c r="E19" s="1213"/>
      <c r="F19" s="1214"/>
      <c r="G19" s="1215"/>
      <c r="H19" s="1225"/>
      <c r="I19" s="1226">
        <f>ROUND(D19*E19*F19*G19/10000,0)</f>
        <v>0</v>
      </c>
    </row>
    <row r="20" spans="1:9">
      <c r="A20" s="3319"/>
      <c r="B20" s="3321" t="s">
        <v>1060</v>
      </c>
      <c r="C20" s="3321"/>
      <c r="D20" s="1217">
        <f>SUM(D17:D19)</f>
        <v>0</v>
      </c>
      <c r="E20" s="1217"/>
      <c r="F20" s="1218"/>
      <c r="G20" s="1215"/>
      <c r="H20" s="1222"/>
      <c r="I20" s="1223">
        <f>SUM(I17:I19)</f>
        <v>0</v>
      </c>
    </row>
    <row r="21" spans="1:9">
      <c r="A21" s="3319" t="s">
        <v>1077</v>
      </c>
      <c r="B21" s="3322"/>
      <c r="C21" s="3322"/>
      <c r="D21" s="3322"/>
      <c r="E21" s="3322"/>
      <c r="F21" s="3322"/>
      <c r="G21" s="3322"/>
      <c r="H21" s="1502">
        <v>0.1</v>
      </c>
      <c r="I21" s="1220">
        <f>ROUND(I10*H21,0)</f>
        <v>0</v>
      </c>
    </row>
    <row r="22" spans="1:9" ht="14.25">
      <c r="A22" s="3323" t="s">
        <v>1078</v>
      </c>
      <c r="B22" s="3324"/>
      <c r="C22" s="3325"/>
      <c r="D22" s="1227" t="s">
        <v>1079</v>
      </c>
      <c r="E22" s="1227" t="s">
        <v>1080</v>
      </c>
      <c r="F22" s="1228" t="s">
        <v>1081</v>
      </c>
      <c r="G22" s="1228" t="s">
        <v>1082</v>
      </c>
      <c r="H22" s="1221" t="s">
        <v>1083</v>
      </c>
      <c r="I22" s="1212" t="s">
        <v>1084</v>
      </c>
    </row>
    <row r="23" spans="1:9" ht="14.25" thickBot="1">
      <c r="A23" s="3326"/>
      <c r="B23" s="3327"/>
      <c r="C23" s="3328"/>
      <c r="D23" s="1229"/>
      <c r="E23" s="1229"/>
      <c r="F23" s="1229"/>
      <c r="G23" s="1230"/>
      <c r="H23" s="1231"/>
      <c r="I23" s="1232">
        <f>ROUND(E23*D23*F23*(1-G23)/10000,0)</f>
        <v>0</v>
      </c>
    </row>
    <row r="26" spans="1:9">
      <c r="A26" s="1233" t="s">
        <v>1085</v>
      </c>
      <c r="B26" s="1233"/>
      <c r="C26" s="1233"/>
      <c r="D26" s="1233"/>
      <c r="E26" s="3316">
        <f>C27-C30-C31-C32</f>
        <v>0</v>
      </c>
      <c r="F26" s="3316"/>
      <c r="G26" s="3316"/>
      <c r="H26" s="1499" t="s">
        <v>1306</v>
      </c>
    </row>
    <row r="27" spans="1:9">
      <c r="A27" s="1234">
        <v>1</v>
      </c>
      <c r="B27" s="1235" t="s">
        <v>1086</v>
      </c>
      <c r="C27" s="1235">
        <f>C28+C29</f>
        <v>0</v>
      </c>
      <c r="D27" s="1235"/>
      <c r="E27" s="3317"/>
      <c r="F27" s="3317"/>
      <c r="G27" s="3317"/>
    </row>
    <row r="28" spans="1:9">
      <c r="A28" s="1236" t="s">
        <v>1087</v>
      </c>
      <c r="B28" s="1235" t="s">
        <v>1088</v>
      </c>
      <c r="C28" s="1235"/>
      <c r="D28" s="1235"/>
      <c r="E28" s="3317"/>
      <c r="F28" s="3317"/>
      <c r="G28" s="331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8"/>
      <c r="F32" s="3318"/>
      <c r="G32" s="3318"/>
    </row>
    <row r="33" spans="1:7" hidden="1">
      <c r="A33" s="3313" t="s">
        <v>1097</v>
      </c>
      <c r="B33" s="3314"/>
      <c r="C33" s="3314"/>
      <c r="D33" s="3315"/>
      <c r="E33" s="3316"/>
      <c r="F33" s="3316"/>
      <c r="G33" s="3316"/>
    </row>
    <row r="34" spans="1:7" hidden="1">
      <c r="A34" s="1238">
        <v>1</v>
      </c>
      <c r="B34" s="1235" t="s">
        <v>1098</v>
      </c>
      <c r="C34" s="1235"/>
      <c r="D34" s="1235"/>
      <c r="E34" s="3317"/>
      <c r="F34" s="3317"/>
      <c r="G34" s="3317"/>
    </row>
    <row r="35" spans="1:7" hidden="1">
      <c r="A35" s="1238">
        <v>2</v>
      </c>
      <c r="B35" s="1235" t="s">
        <v>1099</v>
      </c>
      <c r="C35" s="1235"/>
      <c r="D35" s="1235"/>
      <c r="E35" s="3317"/>
      <c r="F35" s="3317"/>
      <c r="G35" s="3317"/>
    </row>
    <row r="36" spans="1:7" hidden="1">
      <c r="A36" s="1238">
        <v>3</v>
      </c>
      <c r="B36" s="1235" t="s">
        <v>1100</v>
      </c>
      <c r="C36" s="1235"/>
      <c r="D36" s="1235"/>
      <c r="E36" s="3317"/>
      <c r="F36" s="3317"/>
      <c r="G36" s="3317"/>
    </row>
    <row r="37" spans="1:7" hidden="1">
      <c r="A37" s="1238">
        <v>4</v>
      </c>
      <c r="B37" s="1235" t="s">
        <v>1101</v>
      </c>
      <c r="C37" s="1235"/>
      <c r="D37" s="1235"/>
      <c r="E37" s="3317"/>
      <c r="F37" s="3317"/>
      <c r="G37" s="3317"/>
    </row>
    <row r="38" spans="1:7" hidden="1">
      <c r="A38" s="3313" t="s">
        <v>1102</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8236.73</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267" t="s">
        <v>2357</v>
      </c>
      <c r="D4" s="3280"/>
      <c r="E4" s="3281" t="s">
        <v>2358</v>
      </c>
      <c r="F4" s="3282"/>
      <c r="G4" s="3267" t="s">
        <v>2359</v>
      </c>
      <c r="H4" s="3280"/>
      <c r="I4" s="3267" t="s">
        <v>2360</v>
      </c>
      <c r="J4" s="3280"/>
      <c r="K4" s="2075" t="s">
        <v>2361</v>
      </c>
      <c r="L4" s="2942"/>
      <c r="M4" s="2943"/>
      <c r="N4" s="2943"/>
      <c r="O4" s="2943"/>
      <c r="P4" s="3283" t="s">
        <v>2362</v>
      </c>
      <c r="Q4" s="3284"/>
      <c r="R4" s="3289" t="s">
        <v>2358</v>
      </c>
      <c r="S4" s="3290"/>
      <c r="T4" s="3289" t="s">
        <v>2359</v>
      </c>
      <c r="U4" s="3290"/>
      <c r="V4" s="3276" t="s">
        <v>2360</v>
      </c>
      <c r="W4" s="3276"/>
      <c r="X4" s="1539"/>
      <c r="Y4" s="3289" t="s">
        <v>2362</v>
      </c>
      <c r="Z4" s="3290"/>
      <c r="AA4" s="3277" t="s">
        <v>2358</v>
      </c>
      <c r="AB4" s="3277" t="s">
        <v>2359</v>
      </c>
      <c r="AC4" s="3277" t="s">
        <v>2360</v>
      </c>
    </row>
    <row r="5" spans="1:29" ht="15">
      <c r="A5" s="364"/>
      <c r="B5" s="365"/>
      <c r="C5" s="3297" t="s">
        <v>2363</v>
      </c>
      <c r="D5" s="3298"/>
      <c r="E5" s="3304" t="s">
        <v>2364</v>
      </c>
      <c r="F5" s="3305"/>
      <c r="G5" s="3297" t="s">
        <v>2365</v>
      </c>
      <c r="H5" s="3298"/>
      <c r="I5" s="3297" t="s">
        <v>2366</v>
      </c>
      <c r="J5" s="3298"/>
      <c r="K5" s="2076"/>
      <c r="L5" s="2942"/>
      <c r="M5" s="2943"/>
      <c r="N5" s="2943"/>
      <c r="O5" s="2943"/>
      <c r="P5" s="3285"/>
      <c r="Q5" s="3286"/>
      <c r="R5" s="3291"/>
      <c r="S5" s="3292"/>
      <c r="T5" s="3291"/>
      <c r="U5" s="3292"/>
      <c r="V5" s="3276"/>
      <c r="W5" s="3276"/>
      <c r="X5" s="1539"/>
      <c r="Y5" s="3291"/>
      <c r="Z5" s="3292"/>
      <c r="AA5" s="3278"/>
      <c r="AB5" s="3278"/>
      <c r="AC5" s="3278"/>
    </row>
    <row r="6" spans="1:29" ht="15.75" thickBot="1">
      <c r="A6" s="366"/>
      <c r="B6" s="367"/>
      <c r="C6" s="3295" t="s">
        <v>2367</v>
      </c>
      <c r="D6" s="3296"/>
      <c r="E6" s="3302" t="s">
        <v>2367</v>
      </c>
      <c r="F6" s="3303"/>
      <c r="G6" s="3295" t="s">
        <v>2367</v>
      </c>
      <c r="H6" s="3296"/>
      <c r="I6" s="3295" t="s">
        <v>2367</v>
      </c>
      <c r="J6" s="3296"/>
      <c r="K6" s="2076" t="s">
        <v>2368</v>
      </c>
      <c r="L6" s="2942"/>
      <c r="M6" s="2943"/>
      <c r="N6" s="2943"/>
      <c r="O6" s="2943"/>
      <c r="P6" s="3287"/>
      <c r="Q6" s="3288"/>
      <c r="R6" s="3291"/>
      <c r="S6" s="3292"/>
      <c r="T6" s="3293"/>
      <c r="U6" s="3294"/>
      <c r="V6" s="3276"/>
      <c r="W6" s="3276"/>
      <c r="X6" s="1539"/>
      <c r="Y6" s="3293"/>
      <c r="Z6" s="3294"/>
      <c r="AA6" s="3279"/>
      <c r="AB6" s="3279"/>
      <c r="AC6" s="3279"/>
    </row>
    <row r="7" spans="1:29" s="113" customFormat="1" ht="15.75" thickBot="1">
      <c r="A7" s="368" t="s">
        <v>2369</v>
      </c>
      <c r="B7" s="369"/>
      <c r="C7" s="370">
        <f>'数据-取费表'!B2</f>
        <v>44313</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299" t="s">
        <v>2370</v>
      </c>
      <c r="Q7" s="3301"/>
      <c r="R7" s="710" t="s">
        <v>23</v>
      </c>
      <c r="S7" s="711">
        <f t="shared" ref="S7:S15" si="0">F7</f>
        <v>0</v>
      </c>
      <c r="T7" s="710" t="s">
        <v>23</v>
      </c>
      <c r="U7" s="711">
        <f t="shared" ref="U7:U15" si="1">H7</f>
        <v>0</v>
      </c>
      <c r="V7" s="710" t="s">
        <v>23</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299" t="s">
        <v>2373</v>
      </c>
      <c r="Q8" s="3300"/>
      <c r="R8" s="710" t="s">
        <v>23</v>
      </c>
      <c r="S8" s="711">
        <f t="shared" si="0"/>
        <v>0</v>
      </c>
      <c r="T8" s="710" t="s">
        <v>23</v>
      </c>
      <c r="U8" s="711">
        <f t="shared" si="1"/>
        <v>0</v>
      </c>
      <c r="V8" s="710" t="s">
        <v>23</v>
      </c>
      <c r="W8" s="711">
        <f t="shared" si="2"/>
        <v>0</v>
      </c>
      <c r="X8" s="712"/>
      <c r="Y8" s="3299" t="s">
        <v>2373</v>
      </c>
      <c r="Z8" s="330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269"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69"/>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69"/>
      <c r="Q11" s="1527" t="str">
        <f t="shared" si="6"/>
        <v>容积率</v>
      </c>
      <c r="R11" s="710" t="s">
        <v>21</v>
      </c>
      <c r="S11" s="711" t="e">
        <f t="shared" si="0"/>
        <v>#N/A</v>
      </c>
      <c r="T11" s="710" t="s">
        <v>21</v>
      </c>
      <c r="U11" s="711" t="e">
        <f t="shared" si="1"/>
        <v>#N/A</v>
      </c>
      <c r="V11" s="710" t="s">
        <v>21</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9"/>
      <c r="Q12" s="1527">
        <f t="shared" si="6"/>
        <v>111</v>
      </c>
      <c r="R12" s="710" t="s">
        <v>21</v>
      </c>
      <c r="S12" s="711">
        <f t="shared" si="0"/>
        <v>100</v>
      </c>
      <c r="T12" s="710" t="s">
        <v>21</v>
      </c>
      <c r="U12" s="711">
        <f t="shared" si="1"/>
        <v>100</v>
      </c>
      <c r="V12" s="710" t="s">
        <v>21</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9"/>
      <c r="Q13" s="1527">
        <f t="shared" si="6"/>
        <v>111</v>
      </c>
      <c r="R13" s="710" t="s">
        <v>21</v>
      </c>
      <c r="S13" s="711">
        <f t="shared" si="0"/>
        <v>100</v>
      </c>
      <c r="T13" s="710" t="s">
        <v>21</v>
      </c>
      <c r="U13" s="711">
        <f t="shared" si="1"/>
        <v>100</v>
      </c>
      <c r="V13" s="710" t="s">
        <v>21</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9"/>
      <c r="Q14" s="1527">
        <f t="shared" si="6"/>
        <v>111</v>
      </c>
      <c r="R14" s="710" t="s">
        <v>21</v>
      </c>
      <c r="S14" s="711">
        <f t="shared" si="0"/>
        <v>100</v>
      </c>
      <c r="T14" s="710" t="s">
        <v>21</v>
      </c>
      <c r="U14" s="711">
        <f t="shared" si="1"/>
        <v>100</v>
      </c>
      <c r="V14" s="710" t="s">
        <v>21</v>
      </c>
      <c r="W14" s="711">
        <f t="shared" si="2"/>
        <v>100</v>
      </c>
      <c r="X14" s="712"/>
      <c r="Y14" s="316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40" t="s">
        <v>2381</v>
      </c>
      <c r="Q15" s="1536" t="str">
        <f t="shared" si="6"/>
        <v>居住社区成熟度</v>
      </c>
      <c r="R15" s="714" t="s">
        <v>21</v>
      </c>
      <c r="S15" s="715">
        <f t="shared" si="0"/>
        <v>100</v>
      </c>
      <c r="T15" s="714" t="s">
        <v>21</v>
      </c>
      <c r="U15" s="715">
        <f t="shared" si="1"/>
        <v>100</v>
      </c>
      <c r="V15" s="714" t="s">
        <v>21</v>
      </c>
      <c r="W15" s="715">
        <f t="shared" si="2"/>
        <v>100</v>
      </c>
      <c r="X15" s="1539"/>
      <c r="Y15" s="327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341"/>
      <c r="Q16" s="1536"/>
      <c r="R16" s="714"/>
      <c r="S16" s="715"/>
      <c r="T16" s="714"/>
      <c r="U16" s="715"/>
      <c r="V16" s="714"/>
      <c r="W16" s="715"/>
      <c r="X16" s="1539"/>
      <c r="Y16" s="327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1"/>
      <c r="Q17" s="1536" t="str">
        <f>B17</f>
        <v>交通便捷度</v>
      </c>
      <c r="R17" s="714" t="s">
        <v>21</v>
      </c>
      <c r="S17" s="715">
        <f>F17</f>
        <v>100</v>
      </c>
      <c r="T17" s="714" t="s">
        <v>21</v>
      </c>
      <c r="U17" s="715">
        <f>H17</f>
        <v>100</v>
      </c>
      <c r="V17" s="714" t="s">
        <v>21</v>
      </c>
      <c r="W17" s="715">
        <f>J17</f>
        <v>100</v>
      </c>
      <c r="X17" s="1539"/>
      <c r="Y17" s="327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341"/>
      <c r="Q18" s="1536"/>
      <c r="R18" s="714"/>
      <c r="S18" s="715"/>
      <c r="T18" s="714"/>
      <c r="U18" s="715"/>
      <c r="V18" s="714"/>
      <c r="W18" s="715"/>
      <c r="X18" s="1539"/>
      <c r="Y18" s="327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1"/>
      <c r="Q19" s="1536" t="str">
        <f>B19</f>
        <v>公共配套设施</v>
      </c>
      <c r="R19" s="714" t="s">
        <v>21</v>
      </c>
      <c r="S19" s="715">
        <f>F19</f>
        <v>100</v>
      </c>
      <c r="T19" s="714" t="s">
        <v>21</v>
      </c>
      <c r="U19" s="715">
        <f>H19</f>
        <v>100</v>
      </c>
      <c r="V19" s="714" t="s">
        <v>21</v>
      </c>
      <c r="W19" s="715">
        <f>J19</f>
        <v>100</v>
      </c>
      <c r="X19" s="1539"/>
      <c r="Y19" s="327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341"/>
      <c r="Q20" s="1536"/>
      <c r="R20" s="714"/>
      <c r="S20" s="715"/>
      <c r="T20" s="714"/>
      <c r="U20" s="715"/>
      <c r="V20" s="714"/>
      <c r="W20" s="715"/>
      <c r="X20" s="1539"/>
      <c r="Y20" s="327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1"/>
      <c r="Q21" s="1536" t="str">
        <f>B21</f>
        <v>基础设施水平</v>
      </c>
      <c r="R21" s="714" t="s">
        <v>17</v>
      </c>
      <c r="S21" s="715">
        <f>F21</f>
        <v>100</v>
      </c>
      <c r="T21" s="714" t="s">
        <v>17</v>
      </c>
      <c r="U21" s="715">
        <f>H21</f>
        <v>100</v>
      </c>
      <c r="V21" s="714" t="s">
        <v>17</v>
      </c>
      <c r="W21" s="715">
        <f>J21</f>
        <v>100</v>
      </c>
      <c r="X21" s="1539"/>
      <c r="Y21" s="327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341"/>
      <c r="Q22" s="1536"/>
      <c r="R22" s="714"/>
      <c r="S22" s="715"/>
      <c r="T22" s="714"/>
      <c r="U22" s="715"/>
      <c r="V22" s="714"/>
      <c r="W22" s="715"/>
      <c r="X22" s="1539"/>
      <c r="Y22" s="327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1"/>
      <c r="Q23" s="1536" t="str">
        <f>B23</f>
        <v>自然及人文环境</v>
      </c>
      <c r="R23" s="714" t="s">
        <v>21</v>
      </c>
      <c r="S23" s="715">
        <f>F23</f>
        <v>100</v>
      </c>
      <c r="T23" s="714" t="s">
        <v>21</v>
      </c>
      <c r="U23" s="715">
        <f>H23</f>
        <v>100</v>
      </c>
      <c r="V23" s="714" t="s">
        <v>21</v>
      </c>
      <c r="W23" s="715">
        <f>J23</f>
        <v>100</v>
      </c>
      <c r="X23" s="1539"/>
      <c r="Y23" s="327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341"/>
      <c r="Q24" s="1536"/>
      <c r="R24" s="714"/>
      <c r="S24" s="715"/>
      <c r="T24" s="714"/>
      <c r="U24" s="715"/>
      <c r="V24" s="714"/>
      <c r="W24" s="715"/>
      <c r="X24" s="1539"/>
      <c r="Y24" s="327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34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7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341"/>
      <c r="Q26" s="1536" t="str">
        <f t="shared" si="11"/>
        <v>朝向</v>
      </c>
      <c r="R26" s="714" t="s">
        <v>21</v>
      </c>
      <c r="S26" s="715">
        <f t="shared" si="12"/>
        <v>100</v>
      </c>
      <c r="T26" s="714" t="s">
        <v>21</v>
      </c>
      <c r="U26" s="715">
        <f t="shared" si="13"/>
        <v>100</v>
      </c>
      <c r="V26" s="714" t="s">
        <v>21</v>
      </c>
      <c r="W26" s="715">
        <f t="shared" si="14"/>
        <v>100</v>
      </c>
      <c r="X26" s="1539"/>
      <c r="Y26" s="327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341"/>
      <c r="Q27" s="1527">
        <f t="shared" si="11"/>
        <v>111</v>
      </c>
      <c r="R27" s="710" t="s">
        <v>21</v>
      </c>
      <c r="S27" s="711">
        <f t="shared" si="12"/>
        <v>100</v>
      </c>
      <c r="T27" s="710" t="s">
        <v>21</v>
      </c>
      <c r="U27" s="711">
        <f t="shared" si="13"/>
        <v>100</v>
      </c>
      <c r="V27" s="710" t="s">
        <v>21</v>
      </c>
      <c r="W27" s="711">
        <f t="shared" si="14"/>
        <v>100</v>
      </c>
      <c r="X27" s="712"/>
      <c r="Y27" s="327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341"/>
      <c r="Q28" s="1536">
        <f t="shared" si="11"/>
        <v>111</v>
      </c>
      <c r="R28" s="714" t="s">
        <v>21</v>
      </c>
      <c r="S28" s="715">
        <f t="shared" si="12"/>
        <v>100</v>
      </c>
      <c r="T28" s="714" t="s">
        <v>21</v>
      </c>
      <c r="U28" s="715">
        <f t="shared" si="13"/>
        <v>100</v>
      </c>
      <c r="V28" s="714" t="s">
        <v>21</v>
      </c>
      <c r="W28" s="715">
        <f t="shared" si="14"/>
        <v>100</v>
      </c>
      <c r="X28" s="1539"/>
      <c r="Y28" s="327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341"/>
      <c r="Q29" s="1536">
        <f t="shared" si="11"/>
        <v>111</v>
      </c>
      <c r="R29" s="714" t="s">
        <v>21</v>
      </c>
      <c r="S29" s="715">
        <f t="shared" si="12"/>
        <v>100</v>
      </c>
      <c r="T29" s="714" t="s">
        <v>21</v>
      </c>
      <c r="U29" s="715">
        <f t="shared" si="13"/>
        <v>100</v>
      </c>
      <c r="V29" s="714" t="s">
        <v>21</v>
      </c>
      <c r="W29" s="715">
        <f t="shared" si="14"/>
        <v>100</v>
      </c>
      <c r="X29" s="1539"/>
      <c r="Y29" s="327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341"/>
      <c r="Q30" s="1536">
        <f t="shared" si="11"/>
        <v>111</v>
      </c>
      <c r="R30" s="714" t="s">
        <v>21</v>
      </c>
      <c r="S30" s="715">
        <f t="shared" si="12"/>
        <v>100</v>
      </c>
      <c r="T30" s="714" t="s">
        <v>21</v>
      </c>
      <c r="U30" s="715">
        <f t="shared" si="13"/>
        <v>100</v>
      </c>
      <c r="V30" s="714" t="s">
        <v>21</v>
      </c>
      <c r="W30" s="715">
        <f t="shared" si="14"/>
        <v>100</v>
      </c>
      <c r="X30" s="1539"/>
      <c r="Y30" s="327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341"/>
      <c r="Q31" s="1536">
        <f t="shared" si="11"/>
        <v>111</v>
      </c>
      <c r="R31" s="714" t="s">
        <v>21</v>
      </c>
      <c r="S31" s="715">
        <f t="shared" si="12"/>
        <v>100</v>
      </c>
      <c r="T31" s="714" t="s">
        <v>21</v>
      </c>
      <c r="U31" s="715">
        <f t="shared" si="13"/>
        <v>100</v>
      </c>
      <c r="V31" s="714" t="s">
        <v>21</v>
      </c>
      <c r="W31" s="715">
        <f t="shared" si="14"/>
        <v>100</v>
      </c>
      <c r="X31" s="1539"/>
      <c r="Y31" s="327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336" t="s">
        <v>2386</v>
      </c>
      <c r="Q32" s="1536" t="str">
        <f t="shared" si="11"/>
        <v>建筑类型</v>
      </c>
      <c r="R32" s="714" t="s">
        <v>21</v>
      </c>
      <c r="S32" s="715">
        <f t="shared" si="12"/>
        <v>100</v>
      </c>
      <c r="T32" s="714" t="s">
        <v>21</v>
      </c>
      <c r="U32" s="715">
        <f t="shared" si="13"/>
        <v>100</v>
      </c>
      <c r="V32" s="714" t="s">
        <v>21</v>
      </c>
      <c r="W32" s="715">
        <f t="shared" si="14"/>
        <v>100</v>
      </c>
      <c r="X32" s="1539"/>
      <c r="Y32" s="327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337"/>
      <c r="Q33" s="716" t="str">
        <f t="shared" si="11"/>
        <v>项目建筑规模</v>
      </c>
      <c r="R33" s="717" t="s">
        <v>21</v>
      </c>
      <c r="S33" s="718" t="e">
        <f t="shared" si="12"/>
        <v>#N/A</v>
      </c>
      <c r="T33" s="717" t="s">
        <v>21</v>
      </c>
      <c r="U33" s="718" t="e">
        <f t="shared" si="13"/>
        <v>#N/A</v>
      </c>
      <c r="V33" s="717" t="s">
        <v>21</v>
      </c>
      <c r="W33" s="718" t="e">
        <f t="shared" si="14"/>
        <v>#N/A</v>
      </c>
      <c r="X33" s="719"/>
      <c r="Y33" s="327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337"/>
      <c r="Q34" s="1536" t="str">
        <f t="shared" si="11"/>
        <v>建筑结构</v>
      </c>
      <c r="R34" s="714" t="s">
        <v>21</v>
      </c>
      <c r="S34" s="715">
        <f t="shared" si="12"/>
        <v>100</v>
      </c>
      <c r="T34" s="714" t="s">
        <v>21</v>
      </c>
      <c r="U34" s="715">
        <f t="shared" si="13"/>
        <v>100</v>
      </c>
      <c r="V34" s="714" t="s">
        <v>21</v>
      </c>
      <c r="W34" s="715">
        <f t="shared" si="14"/>
        <v>100</v>
      </c>
      <c r="X34" s="1539"/>
      <c r="Y34" s="327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337"/>
      <c r="Q35" s="1536" t="str">
        <f t="shared" si="11"/>
        <v>建筑品质</v>
      </c>
      <c r="R35" s="714" t="s">
        <v>21</v>
      </c>
      <c r="S35" s="715">
        <f t="shared" si="12"/>
        <v>100</v>
      </c>
      <c r="T35" s="714" t="s">
        <v>21</v>
      </c>
      <c r="U35" s="715">
        <f t="shared" si="13"/>
        <v>100</v>
      </c>
      <c r="V35" s="714" t="s">
        <v>21</v>
      </c>
      <c r="W35" s="715">
        <f t="shared" si="14"/>
        <v>100</v>
      </c>
      <c r="X35" s="1539"/>
      <c r="Y35" s="327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337"/>
      <c r="Q36" s="1536" t="str">
        <f t="shared" si="11"/>
        <v>公共部分装修</v>
      </c>
      <c r="R36" s="714" t="s">
        <v>21</v>
      </c>
      <c r="S36" s="715">
        <f t="shared" si="12"/>
        <v>100</v>
      </c>
      <c r="T36" s="714" t="s">
        <v>21</v>
      </c>
      <c r="U36" s="715">
        <f t="shared" si="13"/>
        <v>100</v>
      </c>
      <c r="V36" s="714" t="s">
        <v>21</v>
      </c>
      <c r="W36" s="715">
        <f t="shared" si="14"/>
        <v>100</v>
      </c>
      <c r="X36" s="1539"/>
      <c r="Y36" s="327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7"/>
      <c r="Q37" s="1527" t="str">
        <f t="shared" si="11"/>
        <v>成新度</v>
      </c>
      <c r="R37" s="710" t="s">
        <v>21</v>
      </c>
      <c r="S37" s="711" t="e">
        <f t="shared" si="12"/>
        <v>#N/A</v>
      </c>
      <c r="T37" s="710" t="s">
        <v>21</v>
      </c>
      <c r="U37" s="711" t="e">
        <f t="shared" si="13"/>
        <v>#N/A</v>
      </c>
      <c r="V37" s="710" t="s">
        <v>21</v>
      </c>
      <c r="W37" s="711" t="e">
        <f t="shared" si="14"/>
        <v>#N/A</v>
      </c>
      <c r="X37" s="712"/>
      <c r="Y37" s="327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337" t="s">
        <v>2386</v>
      </c>
      <c r="Q38" s="1536" t="str">
        <f t="shared" si="11"/>
        <v>物业管理</v>
      </c>
      <c r="R38" s="714" t="s">
        <v>21</v>
      </c>
      <c r="S38" s="715">
        <f t="shared" si="12"/>
        <v>100</v>
      </c>
      <c r="T38" s="714" t="s">
        <v>21</v>
      </c>
      <c r="U38" s="715">
        <f t="shared" si="13"/>
        <v>100</v>
      </c>
      <c r="V38" s="714" t="s">
        <v>21</v>
      </c>
      <c r="W38" s="715">
        <f t="shared" si="14"/>
        <v>100</v>
      </c>
      <c r="X38" s="1539"/>
      <c r="Y38" s="327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337"/>
      <c r="Q39" s="1536" t="str">
        <f t="shared" si="11"/>
        <v>市政基础设施</v>
      </c>
      <c r="R39" s="714" t="s">
        <v>21</v>
      </c>
      <c r="S39" s="715">
        <f t="shared" si="12"/>
        <v>100</v>
      </c>
      <c r="T39" s="714" t="s">
        <v>21</v>
      </c>
      <c r="U39" s="715">
        <f t="shared" si="13"/>
        <v>100</v>
      </c>
      <c r="V39" s="714" t="s">
        <v>21</v>
      </c>
      <c r="W39" s="715">
        <f t="shared" si="14"/>
        <v>100</v>
      </c>
      <c r="X39" s="1539"/>
      <c r="Y39" s="327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337"/>
      <c r="Q40" s="1536" t="str">
        <f t="shared" si="11"/>
        <v>房型</v>
      </c>
      <c r="R40" s="714" t="s">
        <v>21</v>
      </c>
      <c r="S40" s="715">
        <f t="shared" si="12"/>
        <v>100</v>
      </c>
      <c r="T40" s="714" t="s">
        <v>21</v>
      </c>
      <c r="U40" s="715">
        <f t="shared" si="13"/>
        <v>100</v>
      </c>
      <c r="V40" s="714" t="s">
        <v>21</v>
      </c>
      <c r="W40" s="715">
        <f t="shared" si="14"/>
        <v>100</v>
      </c>
      <c r="X40" s="1539"/>
      <c r="Y40" s="327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337"/>
      <c r="Q41" s="716" t="str">
        <f t="shared" si="11"/>
        <v>单套/主力户型建筑面积</v>
      </c>
      <c r="R41" s="717" t="s">
        <v>21</v>
      </c>
      <c r="S41" s="718">
        <f t="shared" si="12"/>
        <v>100</v>
      </c>
      <c r="T41" s="717" t="s">
        <v>21</v>
      </c>
      <c r="U41" s="718">
        <f t="shared" si="13"/>
        <v>100</v>
      </c>
      <c r="V41" s="717" t="s">
        <v>21</v>
      </c>
      <c r="W41" s="718">
        <f t="shared" si="14"/>
        <v>100</v>
      </c>
      <c r="X41" s="719"/>
      <c r="Y41" s="327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337"/>
      <c r="Q42" s="1536" t="str">
        <f t="shared" si="11"/>
        <v>内部装修</v>
      </c>
      <c r="R42" s="714" t="s">
        <v>21</v>
      </c>
      <c r="S42" s="715">
        <f t="shared" si="12"/>
        <v>100</v>
      </c>
      <c r="T42" s="714" t="s">
        <v>21</v>
      </c>
      <c r="U42" s="715">
        <f t="shared" si="13"/>
        <v>100</v>
      </c>
      <c r="V42" s="714" t="s">
        <v>21</v>
      </c>
      <c r="W42" s="715">
        <f t="shared" si="14"/>
        <v>100</v>
      </c>
      <c r="X42" s="1539"/>
      <c r="Y42" s="327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337"/>
      <c r="Q43" s="1536" t="str">
        <f t="shared" si="11"/>
        <v>内部装修维护情况</v>
      </c>
      <c r="R43" s="714" t="s">
        <v>21</v>
      </c>
      <c r="S43" s="715">
        <f t="shared" si="12"/>
        <v>100</v>
      </c>
      <c r="T43" s="714" t="s">
        <v>21</v>
      </c>
      <c r="U43" s="715">
        <f t="shared" si="13"/>
        <v>100</v>
      </c>
      <c r="V43" s="714" t="s">
        <v>21</v>
      </c>
      <c r="W43" s="715">
        <f t="shared" si="14"/>
        <v>100</v>
      </c>
      <c r="X43" s="1539"/>
      <c r="Y43" s="327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337"/>
      <c r="Q44" s="1527">
        <f t="shared" si="11"/>
        <v>111</v>
      </c>
      <c r="R44" s="710" t="s">
        <v>21</v>
      </c>
      <c r="S44" s="711">
        <f t="shared" si="12"/>
        <v>100</v>
      </c>
      <c r="T44" s="710" t="s">
        <v>21</v>
      </c>
      <c r="U44" s="711">
        <f t="shared" si="13"/>
        <v>100</v>
      </c>
      <c r="V44" s="710" t="s">
        <v>21</v>
      </c>
      <c r="W44" s="711">
        <f t="shared" si="14"/>
        <v>100</v>
      </c>
      <c r="X44" s="712"/>
      <c r="Y44" s="32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337"/>
      <c r="Q45" s="1536">
        <f t="shared" si="11"/>
        <v>111</v>
      </c>
      <c r="R45" s="714" t="s">
        <v>21</v>
      </c>
      <c r="S45" s="715">
        <f t="shared" si="12"/>
        <v>100</v>
      </c>
      <c r="T45" s="714" t="s">
        <v>21</v>
      </c>
      <c r="U45" s="715">
        <f t="shared" si="13"/>
        <v>100</v>
      </c>
      <c r="V45" s="714" t="s">
        <v>21</v>
      </c>
      <c r="W45" s="715">
        <f t="shared" si="14"/>
        <v>100</v>
      </c>
      <c r="X45" s="1539"/>
      <c r="Y45" s="327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338"/>
      <c r="Q46" s="1536">
        <f t="shared" si="11"/>
        <v>111</v>
      </c>
      <c r="R46" s="714" t="s">
        <v>20</v>
      </c>
      <c r="S46" s="715">
        <f t="shared" si="12"/>
        <v>100</v>
      </c>
      <c r="T46" s="714" t="s">
        <v>20</v>
      </c>
      <c r="U46" s="715">
        <f t="shared" si="13"/>
        <v>100</v>
      </c>
      <c r="V46" s="714" t="s">
        <v>20</v>
      </c>
      <c r="W46" s="715">
        <f t="shared" si="14"/>
        <v>100</v>
      </c>
      <c r="X46" s="1539"/>
      <c r="Y46" s="333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270" t="str">
        <f>A47</f>
        <v>成交单价（元/平方米）</v>
      </c>
      <c r="Q47" s="3270"/>
      <c r="R47" s="3335">
        <f>E47</f>
        <v>0</v>
      </c>
      <c r="S47" s="3335"/>
      <c r="T47" s="3335">
        <f>G47</f>
        <v>0</v>
      </c>
      <c r="U47" s="3335"/>
      <c r="V47" s="3335">
        <f>I47</f>
        <v>0</v>
      </c>
      <c r="W47" s="3335"/>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270" t="str">
        <f>A48</f>
        <v>比较价值（元/平方米）</v>
      </c>
      <c r="Q48" s="3270"/>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264" t="str">
        <f>A49</f>
        <v>估价对象XX用房的比较价值（楼面单价，元/平方米）</v>
      </c>
      <c r="Q49" s="3265"/>
      <c r="R49" s="3334" t="e">
        <f>IF(F1="售价",ROUND(IF(D48="简单平均",AVERAGE(R48:V48),R48*F48+T48*H48+V48*J48),0),ROUND(IF(D48="简单平均",AVERAGE(R48:V48),R48*F48+T48*H48+V48*J48),1))</f>
        <v>#DIV/0!</v>
      </c>
      <c r="S49" s="3334"/>
      <c r="T49" s="3334"/>
      <c r="U49" s="3334"/>
      <c r="V49" s="3334"/>
      <c r="W49" s="333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8236.73</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267" t="s">
        <v>2467</v>
      </c>
      <c r="D4" s="3280"/>
      <c r="E4" s="3281" t="s">
        <v>2468</v>
      </c>
      <c r="F4" s="3282"/>
      <c r="G4" s="3267" t="s">
        <v>2469</v>
      </c>
      <c r="H4" s="3280"/>
      <c r="I4" s="3267" t="s">
        <v>2470</v>
      </c>
      <c r="J4" s="3280"/>
      <c r="K4" s="567" t="s">
        <v>2471</v>
      </c>
      <c r="L4" s="2942"/>
      <c r="M4" s="2943"/>
      <c r="N4" s="2943"/>
      <c r="O4" s="2943"/>
      <c r="P4" s="3283" t="s">
        <v>2472</v>
      </c>
      <c r="Q4" s="3284"/>
      <c r="R4" s="3289" t="s">
        <v>2468</v>
      </c>
      <c r="S4" s="3290"/>
      <c r="T4" s="3289" t="s">
        <v>2469</v>
      </c>
      <c r="U4" s="3290"/>
      <c r="V4" s="3276" t="s">
        <v>2470</v>
      </c>
      <c r="W4" s="3276"/>
      <c r="X4" s="1539"/>
      <c r="Y4" s="3289" t="s">
        <v>2472</v>
      </c>
      <c r="Z4" s="3290"/>
      <c r="AA4" s="3277" t="s">
        <v>2468</v>
      </c>
      <c r="AB4" s="3276" t="s">
        <v>2469</v>
      </c>
      <c r="AC4" s="3277" t="s">
        <v>2470</v>
      </c>
    </row>
    <row r="5" spans="1:29" ht="15">
      <c r="A5" s="364"/>
      <c r="B5" s="365"/>
      <c r="C5" s="3297" t="s">
        <v>2363</v>
      </c>
      <c r="D5" s="3298"/>
      <c r="E5" s="3304" t="s">
        <v>2364</v>
      </c>
      <c r="F5" s="3305"/>
      <c r="G5" s="3297" t="s">
        <v>2365</v>
      </c>
      <c r="H5" s="3298"/>
      <c r="I5" s="3297" t="s">
        <v>2366</v>
      </c>
      <c r="J5" s="3298"/>
      <c r="K5" s="567"/>
      <c r="L5" s="2942"/>
      <c r="M5" s="2943"/>
      <c r="N5" s="2943"/>
      <c r="O5" s="2943"/>
      <c r="P5" s="3285"/>
      <c r="Q5" s="3286"/>
      <c r="R5" s="3291"/>
      <c r="S5" s="3292"/>
      <c r="T5" s="3291"/>
      <c r="U5" s="3292"/>
      <c r="V5" s="3276"/>
      <c r="W5" s="3276"/>
      <c r="X5" s="1539"/>
      <c r="Y5" s="3291"/>
      <c r="Z5" s="3292"/>
      <c r="AA5" s="3278"/>
      <c r="AB5" s="3276"/>
      <c r="AC5" s="3278"/>
    </row>
    <row r="6" spans="1:29" ht="15.75" thickBot="1">
      <c r="A6" s="366"/>
      <c r="B6" s="367"/>
      <c r="C6" s="3295" t="s">
        <v>2367</v>
      </c>
      <c r="D6" s="3296"/>
      <c r="E6" s="3302" t="s">
        <v>2367</v>
      </c>
      <c r="F6" s="3303"/>
      <c r="G6" s="3295" t="s">
        <v>2367</v>
      </c>
      <c r="H6" s="3296"/>
      <c r="I6" s="3295" t="s">
        <v>2367</v>
      </c>
      <c r="J6" s="3296"/>
      <c r="K6" s="567" t="s">
        <v>2368</v>
      </c>
      <c r="L6" s="2942"/>
      <c r="M6" s="2943"/>
      <c r="N6" s="2943"/>
      <c r="O6" s="2943"/>
      <c r="P6" s="3287"/>
      <c r="Q6" s="3288"/>
      <c r="R6" s="3291"/>
      <c r="S6" s="3292"/>
      <c r="T6" s="3293"/>
      <c r="U6" s="3294"/>
      <c r="V6" s="3276"/>
      <c r="W6" s="3276"/>
      <c r="X6" s="1539"/>
      <c r="Y6" s="3293"/>
      <c r="Z6" s="3294"/>
      <c r="AA6" s="3279"/>
      <c r="AB6" s="3276"/>
      <c r="AC6" s="3279"/>
    </row>
    <row r="7" spans="1:29" s="113" customFormat="1" ht="15.75" thickBot="1">
      <c r="A7" s="368" t="s">
        <v>2369</v>
      </c>
      <c r="B7" s="369"/>
      <c r="C7" s="370">
        <f>'数据-取费表'!B2</f>
        <v>44313</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9" t="s">
        <v>2370</v>
      </c>
      <c r="Q7" s="3301"/>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9"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9"/>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9"/>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9"/>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9"/>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9"/>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40" t="s">
        <v>2381</v>
      </c>
      <c r="Q15" s="1536" t="str">
        <f t="shared" si="6"/>
        <v>商业繁华度</v>
      </c>
      <c r="R15" s="714" t="s">
        <v>17</v>
      </c>
      <c r="S15" s="715">
        <f t="shared" si="0"/>
        <v>100</v>
      </c>
      <c r="T15" s="714" t="s">
        <v>17</v>
      </c>
      <c r="U15" s="715">
        <f t="shared" si="1"/>
        <v>100</v>
      </c>
      <c r="V15" s="714" t="s">
        <v>17</v>
      </c>
      <c r="W15" s="715">
        <f t="shared" si="2"/>
        <v>100</v>
      </c>
      <c r="X15" s="1539"/>
      <c r="Y15" s="327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341"/>
      <c r="Q16" s="1536"/>
      <c r="R16" s="714"/>
      <c r="S16" s="715"/>
      <c r="T16" s="714"/>
      <c r="U16" s="715"/>
      <c r="V16" s="714"/>
      <c r="W16" s="715"/>
      <c r="X16" s="1539"/>
      <c r="Y16" s="327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1"/>
      <c r="Q17" s="1536" t="str">
        <f>B17</f>
        <v>交通便捷度</v>
      </c>
      <c r="R17" s="714" t="s">
        <v>17</v>
      </c>
      <c r="S17" s="715">
        <f>F17</f>
        <v>100</v>
      </c>
      <c r="T17" s="714" t="s">
        <v>17</v>
      </c>
      <c r="U17" s="715">
        <f>H17</f>
        <v>100</v>
      </c>
      <c r="V17" s="714" t="s">
        <v>17</v>
      </c>
      <c r="W17" s="715">
        <f>J17</f>
        <v>100</v>
      </c>
      <c r="X17" s="1539"/>
      <c r="Y17" s="327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341"/>
      <c r="Q18" s="1536"/>
      <c r="R18" s="714"/>
      <c r="S18" s="715"/>
      <c r="T18" s="714"/>
      <c r="U18" s="715"/>
      <c r="V18" s="714"/>
      <c r="W18" s="715"/>
      <c r="X18" s="1539"/>
      <c r="Y18" s="327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1"/>
      <c r="Q19" s="1536" t="str">
        <f>B19</f>
        <v>公共配套设施</v>
      </c>
      <c r="R19" s="714" t="s">
        <v>17</v>
      </c>
      <c r="S19" s="715">
        <f>F19</f>
        <v>100</v>
      </c>
      <c r="T19" s="714" t="s">
        <v>17</v>
      </c>
      <c r="U19" s="715">
        <f>H19</f>
        <v>100</v>
      </c>
      <c r="V19" s="714" t="s">
        <v>17</v>
      </c>
      <c r="W19" s="715">
        <f>J19</f>
        <v>100</v>
      </c>
      <c r="X19" s="1539"/>
      <c r="Y19" s="327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341"/>
      <c r="Q20" s="1536"/>
      <c r="R20" s="714"/>
      <c r="S20" s="715"/>
      <c r="T20" s="714"/>
      <c r="U20" s="715"/>
      <c r="V20" s="714"/>
      <c r="W20" s="715"/>
      <c r="X20" s="1539"/>
      <c r="Y20" s="327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1"/>
      <c r="Q21" s="1536" t="str">
        <f>B21</f>
        <v>基础设施水平</v>
      </c>
      <c r="R21" s="714" t="s">
        <v>17</v>
      </c>
      <c r="S21" s="715">
        <f>F21</f>
        <v>100</v>
      </c>
      <c r="T21" s="714" t="s">
        <v>17</v>
      </c>
      <c r="U21" s="715">
        <f>H21</f>
        <v>100</v>
      </c>
      <c r="V21" s="714" t="s">
        <v>17</v>
      </c>
      <c r="W21" s="715">
        <f>J21</f>
        <v>100</v>
      </c>
      <c r="X21" s="1539"/>
      <c r="Y21" s="327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341"/>
      <c r="Q22" s="1536"/>
      <c r="R22" s="714"/>
      <c r="S22" s="715"/>
      <c r="T22" s="714"/>
      <c r="U22" s="715"/>
      <c r="V22" s="714"/>
      <c r="W22" s="715"/>
      <c r="X22" s="1539"/>
      <c r="Y22" s="327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1"/>
      <c r="Q23" s="1536" t="str">
        <f>B23</f>
        <v>自然及人文环境</v>
      </c>
      <c r="R23" s="714" t="s">
        <v>17</v>
      </c>
      <c r="S23" s="715">
        <f>F23</f>
        <v>100</v>
      </c>
      <c r="T23" s="714" t="s">
        <v>17</v>
      </c>
      <c r="U23" s="715">
        <f>H23</f>
        <v>100</v>
      </c>
      <c r="V23" s="714" t="s">
        <v>17</v>
      </c>
      <c r="W23" s="715">
        <f>J23</f>
        <v>100</v>
      </c>
      <c r="X23" s="1539"/>
      <c r="Y23" s="327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341"/>
      <c r="Q24" s="1536"/>
      <c r="R24" s="714"/>
      <c r="S24" s="715"/>
      <c r="T24" s="714"/>
      <c r="U24" s="715"/>
      <c r="V24" s="714"/>
      <c r="W24" s="715"/>
      <c r="X24" s="1539"/>
      <c r="Y24" s="327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1"/>
      <c r="Q25" s="1536" t="str">
        <f t="shared" ref="Q25:Q46" si="11">B25</f>
        <v>临街状况</v>
      </c>
      <c r="R25" s="714" t="s">
        <v>17</v>
      </c>
      <c r="S25" s="715">
        <f>F25</f>
        <v>100</v>
      </c>
      <c r="T25" s="714" t="s">
        <v>17</v>
      </c>
      <c r="U25" s="715">
        <f>H25</f>
        <v>100</v>
      </c>
      <c r="V25" s="714" t="s">
        <v>17</v>
      </c>
      <c r="W25" s="715">
        <f>J25</f>
        <v>100</v>
      </c>
      <c r="X25" s="1539"/>
      <c r="Y25" s="327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1"/>
      <c r="Q26" s="1536" t="str">
        <f t="shared" si="11"/>
        <v>平面位置/可视性</v>
      </c>
      <c r="R26" s="714" t="s">
        <v>17</v>
      </c>
      <c r="S26" s="715">
        <f>F26</f>
        <v>100</v>
      </c>
      <c r="T26" s="714" t="s">
        <v>17</v>
      </c>
      <c r="U26" s="715">
        <f>H26</f>
        <v>100</v>
      </c>
      <c r="V26" s="714" t="s">
        <v>17</v>
      </c>
      <c r="W26" s="715">
        <f>J26</f>
        <v>100</v>
      </c>
      <c r="X26" s="1539"/>
      <c r="Y26" s="327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341"/>
      <c r="Q27" s="1527" t="str">
        <f t="shared" si="11"/>
        <v>人流量</v>
      </c>
      <c r="R27" s="710" t="s">
        <v>17</v>
      </c>
      <c r="S27" s="711">
        <f>F27</f>
        <v>100</v>
      </c>
      <c r="T27" s="710" t="s">
        <v>17</v>
      </c>
      <c r="U27" s="711">
        <f>H27</f>
        <v>100</v>
      </c>
      <c r="V27" s="710" t="s">
        <v>17</v>
      </c>
      <c r="W27" s="711">
        <f>J27</f>
        <v>100</v>
      </c>
      <c r="X27" s="712"/>
      <c r="Y27" s="327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7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1"/>
      <c r="Q29" s="1536">
        <f t="shared" si="11"/>
        <v>111</v>
      </c>
      <c r="R29" s="714" t="s">
        <v>17</v>
      </c>
      <c r="S29" s="715">
        <f t="shared" si="12"/>
        <v>100</v>
      </c>
      <c r="T29" s="714" t="s">
        <v>17</v>
      </c>
      <c r="U29" s="715">
        <f t="shared" si="13"/>
        <v>100</v>
      </c>
      <c r="V29" s="714" t="s">
        <v>17</v>
      </c>
      <c r="W29" s="715">
        <f t="shared" si="14"/>
        <v>100</v>
      </c>
      <c r="X29" s="1539"/>
      <c r="Y29" s="327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1"/>
      <c r="Q30" s="1536">
        <f t="shared" si="11"/>
        <v>111</v>
      </c>
      <c r="R30" s="714" t="s">
        <v>17</v>
      </c>
      <c r="S30" s="715">
        <f t="shared" si="12"/>
        <v>100</v>
      </c>
      <c r="T30" s="714" t="s">
        <v>17</v>
      </c>
      <c r="U30" s="715">
        <f t="shared" si="13"/>
        <v>100</v>
      </c>
      <c r="V30" s="714" t="s">
        <v>17</v>
      </c>
      <c r="W30" s="715">
        <f t="shared" si="14"/>
        <v>100</v>
      </c>
      <c r="X30" s="1539"/>
      <c r="Y30" s="327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1"/>
      <c r="Q31" s="1536">
        <f t="shared" si="11"/>
        <v>111</v>
      </c>
      <c r="R31" s="714" t="s">
        <v>17</v>
      </c>
      <c r="S31" s="715">
        <f t="shared" si="12"/>
        <v>100</v>
      </c>
      <c r="T31" s="714" t="s">
        <v>17</v>
      </c>
      <c r="U31" s="715">
        <f t="shared" si="13"/>
        <v>100</v>
      </c>
      <c r="V31" s="714" t="s">
        <v>17</v>
      </c>
      <c r="W31" s="715">
        <f t="shared" si="14"/>
        <v>100</v>
      </c>
      <c r="X31" s="1539"/>
      <c r="Y31" s="327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336" t="s">
        <v>2386</v>
      </c>
      <c r="Q32" s="1536" t="str">
        <f t="shared" si="11"/>
        <v>商业类型</v>
      </c>
      <c r="R32" s="714" t="s">
        <v>17</v>
      </c>
      <c r="S32" s="715">
        <f t="shared" si="12"/>
        <v>100</v>
      </c>
      <c r="T32" s="714" t="s">
        <v>17</v>
      </c>
      <c r="U32" s="715">
        <f t="shared" si="13"/>
        <v>100</v>
      </c>
      <c r="V32" s="714" t="s">
        <v>17</v>
      </c>
      <c r="W32" s="715">
        <f t="shared" si="14"/>
        <v>100</v>
      </c>
      <c r="X32" s="1539"/>
      <c r="Y32" s="327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7"/>
      <c r="Q33" s="716" t="str">
        <f t="shared" si="11"/>
        <v>项目建筑规模</v>
      </c>
      <c r="R33" s="717" t="s">
        <v>17</v>
      </c>
      <c r="S33" s="718" t="e">
        <f t="shared" si="12"/>
        <v>#N/A</v>
      </c>
      <c r="T33" s="717" t="s">
        <v>17</v>
      </c>
      <c r="U33" s="718" t="e">
        <f t="shared" si="13"/>
        <v>#N/A</v>
      </c>
      <c r="V33" s="717" t="s">
        <v>17</v>
      </c>
      <c r="W33" s="718" t="e">
        <f t="shared" si="14"/>
        <v>#N/A</v>
      </c>
      <c r="X33" s="719"/>
      <c r="Y33" s="327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337"/>
      <c r="Q34" s="1536" t="str">
        <f t="shared" si="11"/>
        <v>建筑结构</v>
      </c>
      <c r="R34" s="714" t="s">
        <v>17</v>
      </c>
      <c r="S34" s="715">
        <f t="shared" si="12"/>
        <v>100</v>
      </c>
      <c r="T34" s="714" t="s">
        <v>17</v>
      </c>
      <c r="U34" s="715">
        <f t="shared" si="13"/>
        <v>100</v>
      </c>
      <c r="V34" s="714" t="s">
        <v>17</v>
      </c>
      <c r="W34" s="715">
        <f t="shared" si="14"/>
        <v>100</v>
      </c>
      <c r="X34" s="1539"/>
      <c r="Y34" s="327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337"/>
      <c r="Q35" s="1536" t="str">
        <f t="shared" si="11"/>
        <v>公共部分装修</v>
      </c>
      <c r="R35" s="714" t="s">
        <v>17</v>
      </c>
      <c r="S35" s="715">
        <f t="shared" si="12"/>
        <v>100</v>
      </c>
      <c r="T35" s="714" t="s">
        <v>17</v>
      </c>
      <c r="U35" s="715">
        <f t="shared" si="13"/>
        <v>100</v>
      </c>
      <c r="V35" s="714" t="s">
        <v>17</v>
      </c>
      <c r="W35" s="715">
        <f t="shared" si="14"/>
        <v>100</v>
      </c>
      <c r="X35" s="1539"/>
      <c r="Y35" s="327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7"/>
      <c r="Q36" s="1536" t="str">
        <f t="shared" si="11"/>
        <v>成新度</v>
      </c>
      <c r="R36" s="714" t="s">
        <v>17</v>
      </c>
      <c r="S36" s="715" t="e">
        <f t="shared" si="12"/>
        <v>#N/A</v>
      </c>
      <c r="T36" s="714" t="s">
        <v>17</v>
      </c>
      <c r="U36" s="715" t="e">
        <f t="shared" si="13"/>
        <v>#N/A</v>
      </c>
      <c r="V36" s="714" t="s">
        <v>17</v>
      </c>
      <c r="W36" s="715" t="e">
        <f t="shared" si="14"/>
        <v>#N/A</v>
      </c>
      <c r="X36" s="1539"/>
      <c r="Y36" s="327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337"/>
      <c r="Q37" s="1527" t="str">
        <f t="shared" si="11"/>
        <v>市政基础设施</v>
      </c>
      <c r="R37" s="710" t="s">
        <v>17</v>
      </c>
      <c r="S37" s="711">
        <f t="shared" si="12"/>
        <v>100</v>
      </c>
      <c r="T37" s="710" t="s">
        <v>17</v>
      </c>
      <c r="U37" s="711">
        <f t="shared" si="13"/>
        <v>100</v>
      </c>
      <c r="V37" s="710" t="s">
        <v>17</v>
      </c>
      <c r="W37" s="711">
        <f t="shared" si="14"/>
        <v>100</v>
      </c>
      <c r="X37" s="712"/>
      <c r="Y37" s="327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337" t="s">
        <v>2386</v>
      </c>
      <c r="Q38" s="1536" t="str">
        <f t="shared" si="11"/>
        <v>业态</v>
      </c>
      <c r="R38" s="714" t="s">
        <v>17</v>
      </c>
      <c r="S38" s="715">
        <f t="shared" si="12"/>
        <v>100</v>
      </c>
      <c r="T38" s="714" t="s">
        <v>17</v>
      </c>
      <c r="U38" s="715">
        <f t="shared" si="13"/>
        <v>100</v>
      </c>
      <c r="V38" s="714" t="s">
        <v>17</v>
      </c>
      <c r="W38" s="715">
        <f t="shared" si="14"/>
        <v>100</v>
      </c>
      <c r="X38" s="1539"/>
      <c r="Y38" s="327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337"/>
      <c r="Q39" s="1536" t="str">
        <f t="shared" si="11"/>
        <v>层高</v>
      </c>
      <c r="R39" s="714" t="s">
        <v>17</v>
      </c>
      <c r="S39" s="715">
        <f t="shared" si="12"/>
        <v>100</v>
      </c>
      <c r="T39" s="714" t="s">
        <v>17</v>
      </c>
      <c r="U39" s="715">
        <f t="shared" si="13"/>
        <v>100</v>
      </c>
      <c r="V39" s="714" t="s">
        <v>17</v>
      </c>
      <c r="W39" s="715">
        <f t="shared" si="14"/>
        <v>100</v>
      </c>
      <c r="X39" s="1539"/>
      <c r="Y39" s="327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7"/>
      <c r="Q40" s="1536" t="str">
        <f t="shared" si="11"/>
        <v>单套建筑面积</v>
      </c>
      <c r="R40" s="714" t="s">
        <v>17</v>
      </c>
      <c r="S40" s="715">
        <f t="shared" si="12"/>
        <v>100</v>
      </c>
      <c r="T40" s="714" t="s">
        <v>17</v>
      </c>
      <c r="U40" s="715">
        <f t="shared" si="13"/>
        <v>100</v>
      </c>
      <c r="V40" s="714" t="s">
        <v>17</v>
      </c>
      <c r="W40" s="715">
        <f t="shared" si="14"/>
        <v>100</v>
      </c>
      <c r="X40" s="1539"/>
      <c r="Y40" s="327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7"/>
      <c r="Q41" s="716" t="str">
        <f t="shared" si="11"/>
        <v>进深比</v>
      </c>
      <c r="R41" s="717" t="s">
        <v>17</v>
      </c>
      <c r="S41" s="718">
        <f t="shared" si="12"/>
        <v>100</v>
      </c>
      <c r="T41" s="717" t="s">
        <v>17</v>
      </c>
      <c r="U41" s="718">
        <f t="shared" si="13"/>
        <v>100</v>
      </c>
      <c r="V41" s="717" t="s">
        <v>17</v>
      </c>
      <c r="W41" s="718">
        <f t="shared" si="14"/>
        <v>100</v>
      </c>
      <c r="X41" s="719"/>
      <c r="Y41" s="327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337"/>
      <c r="Q42" s="1536" t="str">
        <f t="shared" si="11"/>
        <v>内部装修</v>
      </c>
      <c r="R42" s="714" t="s">
        <v>17</v>
      </c>
      <c r="S42" s="715">
        <f t="shared" si="12"/>
        <v>100</v>
      </c>
      <c r="T42" s="714" t="s">
        <v>17</v>
      </c>
      <c r="U42" s="715">
        <f t="shared" si="13"/>
        <v>100</v>
      </c>
      <c r="V42" s="714" t="s">
        <v>17</v>
      </c>
      <c r="W42" s="715">
        <f t="shared" si="14"/>
        <v>100</v>
      </c>
      <c r="X42" s="1539"/>
      <c r="Y42" s="327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337"/>
      <c r="Q43" s="1536" t="str">
        <f t="shared" si="11"/>
        <v>内部装修维护情况</v>
      </c>
      <c r="R43" s="714" t="s">
        <v>17</v>
      </c>
      <c r="S43" s="715">
        <f t="shared" si="12"/>
        <v>100</v>
      </c>
      <c r="T43" s="714" t="s">
        <v>17</v>
      </c>
      <c r="U43" s="715">
        <f t="shared" si="13"/>
        <v>100</v>
      </c>
      <c r="V43" s="714" t="s">
        <v>17</v>
      </c>
      <c r="W43" s="715">
        <f t="shared" si="14"/>
        <v>100</v>
      </c>
      <c r="X43" s="1539"/>
      <c r="Y43" s="327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7"/>
      <c r="Q44" s="1527">
        <f t="shared" si="11"/>
        <v>111</v>
      </c>
      <c r="R44" s="710" t="s">
        <v>17</v>
      </c>
      <c r="S44" s="711">
        <f t="shared" si="12"/>
        <v>100</v>
      </c>
      <c r="T44" s="710" t="s">
        <v>17</v>
      </c>
      <c r="U44" s="711">
        <f t="shared" si="13"/>
        <v>100</v>
      </c>
      <c r="V44" s="710" t="s">
        <v>17</v>
      </c>
      <c r="W44" s="711">
        <f t="shared" si="14"/>
        <v>100</v>
      </c>
      <c r="X44" s="712"/>
      <c r="Y44" s="32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7"/>
      <c r="Q45" s="1536">
        <f t="shared" si="11"/>
        <v>111</v>
      </c>
      <c r="R45" s="714" t="s">
        <v>17</v>
      </c>
      <c r="S45" s="715">
        <f t="shared" si="12"/>
        <v>100</v>
      </c>
      <c r="T45" s="714" t="s">
        <v>17</v>
      </c>
      <c r="U45" s="715">
        <f t="shared" si="13"/>
        <v>100</v>
      </c>
      <c r="V45" s="714" t="s">
        <v>17</v>
      </c>
      <c r="W45" s="715">
        <f t="shared" si="14"/>
        <v>100</v>
      </c>
      <c r="X45" s="1539"/>
      <c r="Y45" s="327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8"/>
      <c r="Q46" s="1536">
        <f t="shared" si="11"/>
        <v>111</v>
      </c>
      <c r="R46" s="714" t="s">
        <v>17</v>
      </c>
      <c r="S46" s="715">
        <f t="shared" si="12"/>
        <v>100</v>
      </c>
      <c r="T46" s="714" t="s">
        <v>17</v>
      </c>
      <c r="U46" s="715">
        <f t="shared" si="13"/>
        <v>100</v>
      </c>
      <c r="V46" s="714" t="s">
        <v>17</v>
      </c>
      <c r="W46" s="715">
        <f t="shared" si="14"/>
        <v>100</v>
      </c>
      <c r="X46" s="1539"/>
      <c r="Y46" s="333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1"/>
      <c r="M47" s="2952"/>
      <c r="N47" s="2943"/>
      <c r="O47" s="2952"/>
      <c r="P47" s="3270" t="str">
        <f>A47</f>
        <v>成交单价（元/平方米）</v>
      </c>
      <c r="Q47" s="3270"/>
      <c r="R47" s="3276">
        <f>E47</f>
        <v>0</v>
      </c>
      <c r="S47" s="3276"/>
      <c r="T47" s="3276">
        <f>G47</f>
        <v>0</v>
      </c>
      <c r="U47" s="3276"/>
      <c r="V47" s="3276">
        <f>I47</f>
        <v>0</v>
      </c>
      <c r="W47" s="3276"/>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1"/>
      <c r="M48" s="2952"/>
      <c r="N48" s="2943"/>
      <c r="O48" s="2952"/>
      <c r="P48" s="3270" t="str">
        <f>A48</f>
        <v>比较价值（元/平方米）</v>
      </c>
      <c r="Q48" s="3270"/>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264" t="str">
        <f>A49</f>
        <v>估价对象XX用房的比较价值（楼面单价，元/平方米）</v>
      </c>
      <c r="Q49" s="3265"/>
      <c r="R49" s="3334" t="e">
        <f>IF(F1="售价",ROUND(IF(D48="简单平均",AVERAGE(R48:V48),R48*F48+T48*H48+V48*J48),0),ROUND(IF(D48="简单平均",AVERAGE(R48:V48),R48*F48+T48*H48+V48*J48),1))</f>
        <v>#DIV/0!</v>
      </c>
      <c r="S49" s="3334"/>
      <c r="T49" s="3334"/>
      <c r="U49" s="3334"/>
      <c r="V49" s="3334"/>
      <c r="W49" s="333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受贵公司委托，我公司对成都市武侯区晋阳路169号2栋-1层、-2层地下车库进行了预评估。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成都市武侯区晋阳路169号2栋-1层、-2层地下车库房地产，为四川峨嵋互盛实业有限公司所有。根据《国有土地使用证》[]，估价对象（分摊）出让国有建设用地使用权面积为0平方米，建筑面积为8236.73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成都市武侯区晋阳路169号2栋-1层、-2层地下车库房地产,属四川峨嵋互盛实业有限公司开发建设的，该项目尚在开发建设中。根据《国有土地使用证》[]，估价对象（分摊）出让国有建设用地使用权面积为0平方米，规划建筑面积为8236.73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2021年4月27日（评估专业人员实地查勘之日）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M24" sqref="M2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8236.73</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267" t="s">
        <v>2467</v>
      </c>
      <c r="D4" s="3280"/>
      <c r="E4" s="3281" t="s">
        <v>2468</v>
      </c>
      <c r="F4" s="3282"/>
      <c r="G4" s="3267" t="s">
        <v>2469</v>
      </c>
      <c r="H4" s="3280"/>
      <c r="I4" s="3267" t="s">
        <v>2470</v>
      </c>
      <c r="J4" s="3280"/>
      <c r="K4" s="567" t="s">
        <v>2471</v>
      </c>
      <c r="L4" s="2942"/>
      <c r="M4" s="2943"/>
      <c r="N4" s="2943"/>
      <c r="O4" s="2943"/>
      <c r="P4" s="3348" t="s">
        <v>2472</v>
      </c>
      <c r="Q4" s="3349"/>
      <c r="R4" s="3352" t="s">
        <v>2468</v>
      </c>
      <c r="S4" s="3353"/>
      <c r="T4" s="3352" t="s">
        <v>2469</v>
      </c>
      <c r="U4" s="3353"/>
      <c r="V4" s="3354" t="s">
        <v>2470</v>
      </c>
      <c r="W4" s="3354"/>
      <c r="X4" s="2144"/>
      <c r="Y4" s="3352" t="s">
        <v>2472</v>
      </c>
      <c r="Z4" s="3353"/>
      <c r="AA4" s="3356" t="s">
        <v>2468</v>
      </c>
      <c r="AB4" s="3356" t="s">
        <v>2469</v>
      </c>
      <c r="AC4" s="3345" t="s">
        <v>2470</v>
      </c>
    </row>
    <row r="5" spans="1:29" ht="15">
      <c r="A5" s="364"/>
      <c r="B5" s="365"/>
      <c r="C5" s="3297" t="s">
        <v>2363</v>
      </c>
      <c r="D5" s="3298"/>
      <c r="E5" s="3304" t="s">
        <v>2364</v>
      </c>
      <c r="F5" s="3305"/>
      <c r="G5" s="3297" t="s">
        <v>2365</v>
      </c>
      <c r="H5" s="3298"/>
      <c r="I5" s="3297" t="s">
        <v>2366</v>
      </c>
      <c r="J5" s="3298"/>
      <c r="K5" s="567"/>
      <c r="L5" s="2942"/>
      <c r="M5" s="2943"/>
      <c r="N5" s="2943"/>
      <c r="O5" s="2943"/>
      <c r="P5" s="3350"/>
      <c r="Q5" s="3286"/>
      <c r="R5" s="3291"/>
      <c r="S5" s="3292"/>
      <c r="T5" s="3291"/>
      <c r="U5" s="3292"/>
      <c r="V5" s="3276"/>
      <c r="W5" s="3276"/>
      <c r="X5" s="1539"/>
      <c r="Y5" s="3291"/>
      <c r="Z5" s="3292"/>
      <c r="AA5" s="3278"/>
      <c r="AB5" s="3278"/>
      <c r="AC5" s="3346"/>
    </row>
    <row r="6" spans="1:29" ht="15.75" thickBot="1">
      <c r="A6" s="366"/>
      <c r="B6" s="367"/>
      <c r="C6" s="3295" t="s">
        <v>2367</v>
      </c>
      <c r="D6" s="3296"/>
      <c r="E6" s="3302" t="s">
        <v>2367</v>
      </c>
      <c r="F6" s="3303"/>
      <c r="G6" s="3295" t="s">
        <v>2367</v>
      </c>
      <c r="H6" s="3296"/>
      <c r="I6" s="3295" t="s">
        <v>2367</v>
      </c>
      <c r="J6" s="3296"/>
      <c r="K6" s="567" t="s">
        <v>2368</v>
      </c>
      <c r="L6" s="2942"/>
      <c r="M6" s="2943"/>
      <c r="N6" s="2943"/>
      <c r="O6" s="2943"/>
      <c r="P6" s="3351"/>
      <c r="Q6" s="3288"/>
      <c r="R6" s="3291"/>
      <c r="S6" s="3292"/>
      <c r="T6" s="3293"/>
      <c r="U6" s="3294"/>
      <c r="V6" s="3276"/>
      <c r="W6" s="3276"/>
      <c r="X6" s="1539"/>
      <c r="Y6" s="3293"/>
      <c r="Z6" s="3294"/>
      <c r="AA6" s="3279"/>
      <c r="AB6" s="3279"/>
      <c r="AC6" s="3347"/>
    </row>
    <row r="7" spans="1:29" s="113" customFormat="1" ht="15.75" thickBot="1">
      <c r="A7" s="368" t="s">
        <v>2369</v>
      </c>
      <c r="B7" s="369"/>
      <c r="C7" s="370">
        <f>'数据-取费表'!B2</f>
        <v>44313</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55" t="s">
        <v>2370</v>
      </c>
      <c r="Q7" s="3301"/>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55" t="s">
        <v>2373</v>
      </c>
      <c r="Q8" s="3300"/>
      <c r="R8" s="710" t="s">
        <v>17</v>
      </c>
      <c r="S8" s="711">
        <f t="shared" si="0"/>
        <v>0</v>
      </c>
      <c r="T8" s="710" t="s">
        <v>17</v>
      </c>
      <c r="U8" s="711">
        <f t="shared" si="1"/>
        <v>0</v>
      </c>
      <c r="V8" s="710" t="s">
        <v>17</v>
      </c>
      <c r="W8" s="711">
        <f t="shared" si="2"/>
        <v>0</v>
      </c>
      <c r="X8" s="712"/>
      <c r="Y8" s="3299" t="s">
        <v>2373</v>
      </c>
      <c r="Z8" s="330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9"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9"/>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9"/>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269"/>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269"/>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269"/>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40" t="s">
        <v>2381</v>
      </c>
      <c r="Q15" s="1536" t="str">
        <f t="shared" si="6"/>
        <v>办公集聚程度</v>
      </c>
      <c r="R15" s="714" t="s">
        <v>17</v>
      </c>
      <c r="S15" s="715">
        <f t="shared" si="0"/>
        <v>100</v>
      </c>
      <c r="T15" s="714" t="s">
        <v>17</v>
      </c>
      <c r="U15" s="715">
        <f t="shared" si="1"/>
        <v>100</v>
      </c>
      <c r="V15" s="714" t="s">
        <v>17</v>
      </c>
      <c r="W15" s="715">
        <f t="shared" si="2"/>
        <v>100</v>
      </c>
      <c r="X15" s="1539"/>
      <c r="Y15" s="327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341"/>
      <c r="Q16" s="1536"/>
      <c r="R16" s="714"/>
      <c r="S16" s="715"/>
      <c r="T16" s="714"/>
      <c r="U16" s="715"/>
      <c r="V16" s="714"/>
      <c r="W16" s="715"/>
      <c r="X16" s="1539"/>
      <c r="Y16" s="327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1"/>
      <c r="Q17" s="1536" t="str">
        <f>B17</f>
        <v>交通便捷度</v>
      </c>
      <c r="R17" s="714" t="s">
        <v>17</v>
      </c>
      <c r="S17" s="715">
        <f>F17</f>
        <v>100</v>
      </c>
      <c r="T17" s="714" t="s">
        <v>17</v>
      </c>
      <c r="U17" s="715">
        <f>H17</f>
        <v>100</v>
      </c>
      <c r="V17" s="714" t="s">
        <v>17</v>
      </c>
      <c r="W17" s="715">
        <f>J17</f>
        <v>100</v>
      </c>
      <c r="X17" s="1539"/>
      <c r="Y17" s="327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341"/>
      <c r="Q18" s="1536"/>
      <c r="R18" s="714"/>
      <c r="S18" s="715"/>
      <c r="T18" s="714"/>
      <c r="U18" s="715"/>
      <c r="V18" s="714"/>
      <c r="W18" s="715"/>
      <c r="X18" s="1539"/>
      <c r="Y18" s="327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1"/>
      <c r="Q19" s="1536" t="str">
        <f>B19</f>
        <v>公共配套设施</v>
      </c>
      <c r="R19" s="714" t="s">
        <v>17</v>
      </c>
      <c r="S19" s="715">
        <f>F19</f>
        <v>100</v>
      </c>
      <c r="T19" s="714" t="s">
        <v>17</v>
      </c>
      <c r="U19" s="715">
        <f>H19</f>
        <v>100</v>
      </c>
      <c r="V19" s="714" t="s">
        <v>17</v>
      </c>
      <c r="W19" s="715">
        <f>J19</f>
        <v>100</v>
      </c>
      <c r="X19" s="1539"/>
      <c r="Y19" s="327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341"/>
      <c r="Q20" s="1536"/>
      <c r="R20" s="714"/>
      <c r="S20" s="715"/>
      <c r="T20" s="714"/>
      <c r="U20" s="715"/>
      <c r="V20" s="714"/>
      <c r="W20" s="715"/>
      <c r="X20" s="1539"/>
      <c r="Y20" s="327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1"/>
      <c r="Q21" s="1536" t="str">
        <f>B21</f>
        <v>基础设施水平</v>
      </c>
      <c r="R21" s="714" t="s">
        <v>17</v>
      </c>
      <c r="S21" s="715">
        <f>F21</f>
        <v>100</v>
      </c>
      <c r="T21" s="714" t="s">
        <v>17</v>
      </c>
      <c r="U21" s="715">
        <f>H21</f>
        <v>100</v>
      </c>
      <c r="V21" s="714" t="s">
        <v>17</v>
      </c>
      <c r="W21" s="715">
        <f>J21</f>
        <v>100</v>
      </c>
      <c r="X21" s="1539"/>
      <c r="Y21" s="327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341"/>
      <c r="Q22" s="1536"/>
      <c r="R22" s="714"/>
      <c r="S22" s="715"/>
      <c r="T22" s="714"/>
      <c r="U22" s="715"/>
      <c r="V22" s="714"/>
      <c r="W22" s="715"/>
      <c r="X22" s="1539"/>
      <c r="Y22" s="327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1"/>
      <c r="Q23" s="1536" t="str">
        <f>B23</f>
        <v>环境质量</v>
      </c>
      <c r="R23" s="714" t="s">
        <v>17</v>
      </c>
      <c r="S23" s="715">
        <f>F23</f>
        <v>100</v>
      </c>
      <c r="T23" s="714" t="s">
        <v>17</v>
      </c>
      <c r="U23" s="715">
        <f>H23</f>
        <v>100</v>
      </c>
      <c r="V23" s="714" t="s">
        <v>17</v>
      </c>
      <c r="W23" s="715">
        <f>J23</f>
        <v>100</v>
      </c>
      <c r="X23" s="1539"/>
      <c r="Y23" s="327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341"/>
      <c r="Q24" s="1536"/>
      <c r="R24" s="714"/>
      <c r="S24" s="715"/>
      <c r="T24" s="714"/>
      <c r="U24" s="715"/>
      <c r="V24" s="714"/>
      <c r="W24" s="715"/>
      <c r="X24" s="1539"/>
      <c r="Y24" s="327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341"/>
      <c r="Q25" s="1536" t="str">
        <f>B25</f>
        <v>毗邻道路的类型与等级</v>
      </c>
      <c r="R25" s="714" t="s">
        <v>17</v>
      </c>
      <c r="S25" s="715">
        <f>F25</f>
        <v>100</v>
      </c>
      <c r="T25" s="714" t="s">
        <v>17</v>
      </c>
      <c r="U25" s="715">
        <f>H25</f>
        <v>100</v>
      </c>
      <c r="V25" s="714" t="s">
        <v>17</v>
      </c>
      <c r="W25" s="715">
        <f>J25</f>
        <v>100</v>
      </c>
      <c r="X25" s="1539"/>
      <c r="Y25" s="327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341"/>
      <c r="Q26" s="1536"/>
      <c r="R26" s="714"/>
      <c r="S26" s="715"/>
      <c r="T26" s="714"/>
      <c r="U26" s="715"/>
      <c r="V26" s="714"/>
      <c r="W26" s="715"/>
      <c r="X26" s="1539"/>
      <c r="Y26" s="327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1"/>
      <c r="Q27" s="1536" t="str">
        <f t="shared" ref="Q27:Q47" si="11">B27</f>
        <v>楼层</v>
      </c>
      <c r="R27" s="714" t="s">
        <v>17</v>
      </c>
      <c r="S27" s="715">
        <f>F27</f>
        <v>100</v>
      </c>
      <c r="T27" s="714" t="s">
        <v>17</v>
      </c>
      <c r="U27" s="715">
        <f>H27</f>
        <v>100</v>
      </c>
      <c r="V27" s="714" t="s">
        <v>17</v>
      </c>
      <c r="W27" s="715">
        <f>J27</f>
        <v>100</v>
      </c>
      <c r="X27" s="1539"/>
      <c r="Y27" s="327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341"/>
      <c r="Q28" s="1527" t="str">
        <f t="shared" si="11"/>
        <v>朝向</v>
      </c>
      <c r="R28" s="710" t="s">
        <v>17</v>
      </c>
      <c r="S28" s="711">
        <f>F28</f>
        <v>100</v>
      </c>
      <c r="T28" s="710" t="s">
        <v>17</v>
      </c>
      <c r="U28" s="711">
        <f>H28</f>
        <v>100</v>
      </c>
      <c r="V28" s="710" t="s">
        <v>17</v>
      </c>
      <c r="W28" s="711">
        <f>J28</f>
        <v>100</v>
      </c>
      <c r="X28" s="712"/>
      <c r="Y28" s="327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341"/>
      <c r="Q29" s="1536">
        <f t="shared" si="11"/>
        <v>111</v>
      </c>
      <c r="R29" s="714" t="s">
        <v>17</v>
      </c>
      <c r="S29" s="715">
        <f t="shared" ref="S29:S47" si="12">F29</f>
        <v>100</v>
      </c>
      <c r="T29" s="714" t="s">
        <v>17</v>
      </c>
      <c r="U29" s="715">
        <f t="shared" ref="U29:U47" si="13">H29</f>
        <v>100</v>
      </c>
      <c r="V29" s="714" t="s">
        <v>17</v>
      </c>
      <c r="W29" s="715">
        <f t="shared" ref="W29:W47" si="14">J29</f>
        <v>100</v>
      </c>
      <c r="X29" s="1539"/>
      <c r="Y29" s="327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341"/>
      <c r="Q30" s="1536">
        <f t="shared" si="11"/>
        <v>111</v>
      </c>
      <c r="R30" s="714" t="s">
        <v>17</v>
      </c>
      <c r="S30" s="715">
        <f t="shared" si="12"/>
        <v>100</v>
      </c>
      <c r="T30" s="714" t="s">
        <v>17</v>
      </c>
      <c r="U30" s="715">
        <f t="shared" si="13"/>
        <v>100</v>
      </c>
      <c r="V30" s="714" t="s">
        <v>17</v>
      </c>
      <c r="W30" s="715">
        <f t="shared" si="14"/>
        <v>100</v>
      </c>
      <c r="X30" s="1539"/>
      <c r="Y30" s="327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341"/>
      <c r="Q31" s="1536">
        <f t="shared" si="11"/>
        <v>111</v>
      </c>
      <c r="R31" s="714" t="s">
        <v>17</v>
      </c>
      <c r="S31" s="715">
        <f t="shared" si="12"/>
        <v>100</v>
      </c>
      <c r="T31" s="714" t="s">
        <v>17</v>
      </c>
      <c r="U31" s="715">
        <f t="shared" si="13"/>
        <v>100</v>
      </c>
      <c r="V31" s="714" t="s">
        <v>17</v>
      </c>
      <c r="W31" s="715">
        <f t="shared" si="14"/>
        <v>100</v>
      </c>
      <c r="X31" s="1539"/>
      <c r="Y31" s="327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341"/>
      <c r="Q32" s="1536">
        <f t="shared" si="11"/>
        <v>111</v>
      </c>
      <c r="R32" s="714" t="s">
        <v>17</v>
      </c>
      <c r="S32" s="715">
        <f t="shared" si="12"/>
        <v>100</v>
      </c>
      <c r="T32" s="714" t="s">
        <v>17</v>
      </c>
      <c r="U32" s="715">
        <f t="shared" si="13"/>
        <v>100</v>
      </c>
      <c r="V32" s="714" t="s">
        <v>17</v>
      </c>
      <c r="W32" s="715">
        <f t="shared" si="14"/>
        <v>100</v>
      </c>
      <c r="X32" s="1539"/>
      <c r="Y32" s="327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336" t="s">
        <v>2386</v>
      </c>
      <c r="Q33" s="1536" t="str">
        <f t="shared" si="11"/>
        <v>建筑类型</v>
      </c>
      <c r="R33" s="714" t="s">
        <v>17</v>
      </c>
      <c r="S33" s="715">
        <f t="shared" si="12"/>
        <v>100</v>
      </c>
      <c r="T33" s="714" t="s">
        <v>17</v>
      </c>
      <c r="U33" s="715">
        <f t="shared" si="13"/>
        <v>100</v>
      </c>
      <c r="V33" s="714" t="s">
        <v>17</v>
      </c>
      <c r="W33" s="715">
        <f t="shared" si="14"/>
        <v>100</v>
      </c>
      <c r="X33" s="1539"/>
      <c r="Y33" s="327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37"/>
      <c r="Q34" s="716" t="str">
        <f t="shared" si="11"/>
        <v>项目建筑规模</v>
      </c>
      <c r="R34" s="717" t="s">
        <v>17</v>
      </c>
      <c r="S34" s="718" t="e">
        <f t="shared" si="12"/>
        <v>#N/A</v>
      </c>
      <c r="T34" s="717" t="s">
        <v>17</v>
      </c>
      <c r="U34" s="718" t="e">
        <f t="shared" si="13"/>
        <v>#N/A</v>
      </c>
      <c r="V34" s="717" t="s">
        <v>17</v>
      </c>
      <c r="W34" s="718" t="e">
        <f t="shared" si="14"/>
        <v>#N/A</v>
      </c>
      <c r="X34" s="719"/>
      <c r="Y34" s="327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37"/>
      <c r="Q35" s="1536" t="str">
        <f t="shared" si="11"/>
        <v>建筑结构</v>
      </c>
      <c r="R35" s="714" t="s">
        <v>17</v>
      </c>
      <c r="S35" s="715">
        <f t="shared" si="12"/>
        <v>100</v>
      </c>
      <c r="T35" s="714" t="s">
        <v>17</v>
      </c>
      <c r="U35" s="715">
        <f t="shared" si="13"/>
        <v>100</v>
      </c>
      <c r="V35" s="714" t="s">
        <v>17</v>
      </c>
      <c r="W35" s="715">
        <f t="shared" si="14"/>
        <v>100</v>
      </c>
      <c r="X35" s="1539"/>
      <c r="Y35" s="327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37"/>
      <c r="Q36" s="1536" t="str">
        <f t="shared" si="11"/>
        <v>公共部分装修</v>
      </c>
      <c r="R36" s="714" t="s">
        <v>17</v>
      </c>
      <c r="S36" s="715">
        <f t="shared" si="12"/>
        <v>100</v>
      </c>
      <c r="T36" s="714" t="s">
        <v>17</v>
      </c>
      <c r="U36" s="715">
        <f t="shared" si="13"/>
        <v>100</v>
      </c>
      <c r="V36" s="714" t="s">
        <v>17</v>
      </c>
      <c r="W36" s="715">
        <f t="shared" si="14"/>
        <v>100</v>
      </c>
      <c r="X36" s="1539"/>
      <c r="Y36" s="327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37"/>
      <c r="Q37" s="1536" t="str">
        <f t="shared" si="11"/>
        <v>成新度</v>
      </c>
      <c r="R37" s="714" t="s">
        <v>17</v>
      </c>
      <c r="S37" s="715" t="e">
        <f t="shared" si="12"/>
        <v>#N/A</v>
      </c>
      <c r="T37" s="714" t="s">
        <v>17</v>
      </c>
      <c r="U37" s="715" t="e">
        <f t="shared" si="13"/>
        <v>#N/A</v>
      </c>
      <c r="V37" s="714" t="s">
        <v>17</v>
      </c>
      <c r="W37" s="715" t="e">
        <f t="shared" si="14"/>
        <v>#N/A</v>
      </c>
      <c r="X37" s="1539"/>
      <c r="Y37" s="327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37"/>
      <c r="Q38" s="1527" t="str">
        <f t="shared" si="11"/>
        <v>写字楼等级</v>
      </c>
      <c r="R38" s="710" t="s">
        <v>17</v>
      </c>
      <c r="S38" s="711">
        <f t="shared" si="12"/>
        <v>100</v>
      </c>
      <c r="T38" s="710" t="s">
        <v>17</v>
      </c>
      <c r="U38" s="711">
        <f t="shared" si="13"/>
        <v>100</v>
      </c>
      <c r="V38" s="710" t="s">
        <v>17</v>
      </c>
      <c r="W38" s="711">
        <f t="shared" si="14"/>
        <v>100</v>
      </c>
      <c r="X38" s="712"/>
      <c r="Y38" s="327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37" t="s">
        <v>2386</v>
      </c>
      <c r="Q39" s="1536" t="str">
        <f t="shared" si="11"/>
        <v>物业管理</v>
      </c>
      <c r="R39" s="714" t="s">
        <v>17</v>
      </c>
      <c r="S39" s="715">
        <f t="shared" si="12"/>
        <v>100</v>
      </c>
      <c r="T39" s="714" t="s">
        <v>17</v>
      </c>
      <c r="U39" s="715">
        <f t="shared" si="13"/>
        <v>100</v>
      </c>
      <c r="V39" s="714" t="s">
        <v>17</v>
      </c>
      <c r="W39" s="715">
        <f t="shared" si="14"/>
        <v>100</v>
      </c>
      <c r="X39" s="1539"/>
      <c r="Y39" s="327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37"/>
      <c r="Q40" s="1536" t="str">
        <f t="shared" si="11"/>
        <v>市政基础设施</v>
      </c>
      <c r="R40" s="714" t="s">
        <v>17</v>
      </c>
      <c r="S40" s="715">
        <f t="shared" si="12"/>
        <v>100</v>
      </c>
      <c r="T40" s="714" t="s">
        <v>17</v>
      </c>
      <c r="U40" s="715">
        <f t="shared" si="13"/>
        <v>100</v>
      </c>
      <c r="V40" s="714" t="s">
        <v>17</v>
      </c>
      <c r="W40" s="715">
        <f t="shared" si="14"/>
        <v>100</v>
      </c>
      <c r="X40" s="1539"/>
      <c r="Y40" s="327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37"/>
      <c r="Q41" s="1536" t="str">
        <f t="shared" si="11"/>
        <v>层高</v>
      </c>
      <c r="R41" s="714" t="s">
        <v>17</v>
      </c>
      <c r="S41" s="715">
        <f t="shared" si="12"/>
        <v>100</v>
      </c>
      <c r="T41" s="714" t="s">
        <v>17</v>
      </c>
      <c r="U41" s="715">
        <f t="shared" si="13"/>
        <v>100</v>
      </c>
      <c r="V41" s="714" t="s">
        <v>17</v>
      </c>
      <c r="W41" s="715">
        <f t="shared" si="14"/>
        <v>100</v>
      </c>
      <c r="X41" s="1539"/>
      <c r="Y41" s="327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7"/>
      <c r="Q42" s="716" t="str">
        <f t="shared" si="11"/>
        <v>单套建筑面积</v>
      </c>
      <c r="R42" s="717" t="s">
        <v>17</v>
      </c>
      <c r="S42" s="718">
        <f t="shared" si="12"/>
        <v>100</v>
      </c>
      <c r="T42" s="717" t="s">
        <v>17</v>
      </c>
      <c r="U42" s="718">
        <f t="shared" si="13"/>
        <v>100</v>
      </c>
      <c r="V42" s="717" t="s">
        <v>17</v>
      </c>
      <c r="W42" s="718">
        <f t="shared" si="14"/>
        <v>100</v>
      </c>
      <c r="X42" s="719"/>
      <c r="Y42" s="327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37"/>
      <c r="Q43" s="1536" t="str">
        <f t="shared" si="11"/>
        <v>内部装修</v>
      </c>
      <c r="R43" s="714" t="s">
        <v>17</v>
      </c>
      <c r="S43" s="715">
        <f t="shared" si="12"/>
        <v>100</v>
      </c>
      <c r="T43" s="714" t="s">
        <v>17</v>
      </c>
      <c r="U43" s="715">
        <f t="shared" si="13"/>
        <v>100</v>
      </c>
      <c r="V43" s="714" t="s">
        <v>17</v>
      </c>
      <c r="W43" s="715">
        <f t="shared" si="14"/>
        <v>100</v>
      </c>
      <c r="X43" s="1539"/>
      <c r="Y43" s="327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337"/>
      <c r="Q44" s="1536" t="str">
        <f t="shared" si="11"/>
        <v>内部装修维护情况</v>
      </c>
      <c r="R44" s="714" t="s">
        <v>17</v>
      </c>
      <c r="S44" s="715">
        <f t="shared" si="12"/>
        <v>100</v>
      </c>
      <c r="T44" s="714" t="s">
        <v>17</v>
      </c>
      <c r="U44" s="715">
        <f t="shared" si="13"/>
        <v>100</v>
      </c>
      <c r="V44" s="714" t="s">
        <v>17</v>
      </c>
      <c r="W44" s="715">
        <f t="shared" si="14"/>
        <v>100</v>
      </c>
      <c r="X44" s="1539"/>
      <c r="Y44" s="327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7"/>
      <c r="Q45" s="1527">
        <f t="shared" si="11"/>
        <v>111</v>
      </c>
      <c r="R45" s="710" t="s">
        <v>17</v>
      </c>
      <c r="S45" s="711">
        <f t="shared" si="12"/>
        <v>100</v>
      </c>
      <c r="T45" s="710" t="s">
        <v>17</v>
      </c>
      <c r="U45" s="711">
        <f t="shared" si="13"/>
        <v>100</v>
      </c>
      <c r="V45" s="710" t="s">
        <v>17</v>
      </c>
      <c r="W45" s="711">
        <f t="shared" si="14"/>
        <v>100</v>
      </c>
      <c r="X45" s="712"/>
      <c r="Y45" s="327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7"/>
      <c r="Q46" s="1536">
        <f t="shared" si="11"/>
        <v>111</v>
      </c>
      <c r="R46" s="714" t="s">
        <v>17</v>
      </c>
      <c r="S46" s="715">
        <f t="shared" si="12"/>
        <v>100</v>
      </c>
      <c r="T46" s="714" t="s">
        <v>17</v>
      </c>
      <c r="U46" s="715">
        <f t="shared" si="13"/>
        <v>100</v>
      </c>
      <c r="V46" s="714" t="s">
        <v>17</v>
      </c>
      <c r="W46" s="715">
        <f t="shared" si="14"/>
        <v>100</v>
      </c>
      <c r="X46" s="1539"/>
      <c r="Y46" s="327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8"/>
      <c r="Q47" s="1536">
        <f t="shared" si="11"/>
        <v>111</v>
      </c>
      <c r="R47" s="714" t="s">
        <v>17</v>
      </c>
      <c r="S47" s="715">
        <f t="shared" si="12"/>
        <v>100</v>
      </c>
      <c r="T47" s="714" t="s">
        <v>17</v>
      </c>
      <c r="U47" s="715">
        <f t="shared" si="13"/>
        <v>100</v>
      </c>
      <c r="V47" s="714" t="s">
        <v>17</v>
      </c>
      <c r="W47" s="715">
        <f t="shared" si="14"/>
        <v>100</v>
      </c>
      <c r="X47" s="1539"/>
      <c r="Y47" s="333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269" t="str">
        <f>A48</f>
        <v>成交单价（元/平方米）</v>
      </c>
      <c r="Q48" s="3270"/>
      <c r="R48" s="3335">
        <f>E48</f>
        <v>0</v>
      </c>
      <c r="S48" s="3335"/>
      <c r="T48" s="3335">
        <f>G48</f>
        <v>0</v>
      </c>
      <c r="U48" s="3335"/>
      <c r="V48" s="3335">
        <f>I48</f>
        <v>0</v>
      </c>
      <c r="W48" s="3335"/>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269" t="str">
        <f>A49</f>
        <v>比较价值（元/平方米）</v>
      </c>
      <c r="Q49" s="3270"/>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342" t="str">
        <f>A50</f>
        <v>估价对象XX用房的比较价值（楼面单价，元/平方米）</v>
      </c>
      <c r="Q50" s="3343"/>
      <c r="R50" s="3344" t="e">
        <f>IF(F1="售价",ROUND(IF(D49="简单平均",AVERAGE(R49:V49),R49*F49+T49*H49+V49*J49),0),ROUND(IF(D49="简单平均",AVERAGE(R49:V49),R49*F49+T49*H49+V49*J49),1))</f>
        <v>#DIV/0!</v>
      </c>
      <c r="S50" s="3344"/>
      <c r="T50" s="3344"/>
      <c r="U50" s="3344"/>
      <c r="V50" s="3344"/>
      <c r="W50" s="3344"/>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8236.73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67" t="s">
        <v>2467</v>
      </c>
      <c r="D4" s="3280"/>
      <c r="E4" s="3281" t="s">
        <v>2468</v>
      </c>
      <c r="F4" s="3282"/>
      <c r="G4" s="3267" t="s">
        <v>2469</v>
      </c>
      <c r="H4" s="3280"/>
      <c r="I4" s="3267" t="s">
        <v>2470</v>
      </c>
      <c r="J4" s="3280"/>
      <c r="K4" s="567" t="s">
        <v>2471</v>
      </c>
      <c r="L4" s="1044"/>
      <c r="M4" s="1045"/>
      <c r="N4" s="1045"/>
      <c r="O4" s="1045"/>
      <c r="P4" s="3283" t="s">
        <v>2472</v>
      </c>
      <c r="Q4" s="3284"/>
      <c r="R4" s="3289" t="s">
        <v>2468</v>
      </c>
      <c r="S4" s="3290"/>
      <c r="T4" s="3289" t="s">
        <v>2469</v>
      </c>
      <c r="U4" s="3290"/>
      <c r="V4" s="3276" t="s">
        <v>2470</v>
      </c>
      <c r="W4" s="3276"/>
      <c r="X4" s="1539"/>
      <c r="Y4" s="3289" t="s">
        <v>2472</v>
      </c>
      <c r="Z4" s="3290"/>
      <c r="AA4" s="3277" t="s">
        <v>2468</v>
      </c>
      <c r="AB4" s="3278" t="s">
        <v>2469</v>
      </c>
      <c r="AC4" s="3277" t="s">
        <v>2470</v>
      </c>
    </row>
    <row r="5" spans="1:29" ht="15">
      <c r="A5" s="364"/>
      <c r="B5" s="365"/>
      <c r="C5" s="3297" t="s">
        <v>2363</v>
      </c>
      <c r="D5" s="3298"/>
      <c r="E5" s="3304" t="s">
        <v>2364</v>
      </c>
      <c r="F5" s="3305"/>
      <c r="G5" s="3297" t="s">
        <v>2365</v>
      </c>
      <c r="H5" s="3298"/>
      <c r="I5" s="3297" t="s">
        <v>2366</v>
      </c>
      <c r="J5" s="3298"/>
      <c r="K5" s="567"/>
      <c r="L5" s="1044"/>
      <c r="M5" s="1045"/>
      <c r="N5" s="1045"/>
      <c r="O5" s="1045"/>
      <c r="P5" s="3285"/>
      <c r="Q5" s="3286"/>
      <c r="R5" s="3291"/>
      <c r="S5" s="3292"/>
      <c r="T5" s="3291"/>
      <c r="U5" s="3292"/>
      <c r="V5" s="3276"/>
      <c r="W5" s="3276"/>
      <c r="X5" s="1539"/>
      <c r="Y5" s="3291"/>
      <c r="Z5" s="3292"/>
      <c r="AA5" s="3278"/>
      <c r="AB5" s="3278"/>
      <c r="AC5" s="3278"/>
    </row>
    <row r="6" spans="1:29" ht="15.75" thickBot="1">
      <c r="A6" s="366"/>
      <c r="B6" s="367"/>
      <c r="C6" s="3295" t="s">
        <v>2367</v>
      </c>
      <c r="D6" s="3296"/>
      <c r="E6" s="3302" t="s">
        <v>2367</v>
      </c>
      <c r="F6" s="3303"/>
      <c r="G6" s="3295" t="s">
        <v>2367</v>
      </c>
      <c r="H6" s="3296"/>
      <c r="I6" s="3295" t="s">
        <v>2367</v>
      </c>
      <c r="J6" s="3296"/>
      <c r="K6" s="567" t="s">
        <v>2368</v>
      </c>
      <c r="L6" s="1044"/>
      <c r="M6" s="1045"/>
      <c r="N6" s="1045"/>
      <c r="O6" s="1045"/>
      <c r="P6" s="3287"/>
      <c r="Q6" s="3288"/>
      <c r="R6" s="3291"/>
      <c r="S6" s="3292"/>
      <c r="T6" s="3293"/>
      <c r="U6" s="3294"/>
      <c r="V6" s="3276"/>
      <c r="W6" s="3276"/>
      <c r="X6" s="1539"/>
      <c r="Y6" s="3293"/>
      <c r="Z6" s="3294"/>
      <c r="AA6" s="3279"/>
      <c r="AB6" s="3279"/>
      <c r="AC6" s="3279"/>
    </row>
    <row r="7" spans="1:29" s="113" customFormat="1" ht="15.75" thickBot="1">
      <c r="A7" s="368" t="s">
        <v>2369</v>
      </c>
      <c r="B7" s="369"/>
      <c r="C7" s="370">
        <f>'数据-取费表'!B2</f>
        <v>44313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9" t="s">
        <v>2370</v>
      </c>
      <c r="Q7" s="3301"/>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9" t="s">
        <v>2373</v>
      </c>
      <c r="Q8" s="3300"/>
      <c r="R8" s="710" t="s">
        <v>17</v>
      </c>
      <c r="S8" s="711">
        <f t="shared" si="0"/>
        <v>0</v>
      </c>
      <c r="T8" s="710" t="s">
        <v>17</v>
      </c>
      <c r="U8" s="711">
        <f t="shared" si="1"/>
        <v>0</v>
      </c>
      <c r="V8" s="710" t="s">
        <v>17</v>
      </c>
      <c r="W8" s="711">
        <f t="shared" si="2"/>
        <v>0</v>
      </c>
      <c r="X8" s="712"/>
      <c r="Y8" s="3299" t="s">
        <v>2373</v>
      </c>
      <c r="Z8" s="330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2" t="s">
        <v>2381</v>
      </c>
      <c r="Q15" s="1536" t="str">
        <f t="shared" si="6"/>
        <v>产业集聚程度</v>
      </c>
      <c r="R15" s="714" t="s">
        <v>17</v>
      </c>
      <c r="S15" s="715">
        <f t="shared" si="0"/>
        <v>100</v>
      </c>
      <c r="T15" s="714" t="s">
        <v>17</v>
      </c>
      <c r="U15" s="715">
        <f t="shared" si="1"/>
        <v>100</v>
      </c>
      <c r="V15" s="714" t="s">
        <v>17</v>
      </c>
      <c r="W15" s="715">
        <f t="shared" si="2"/>
        <v>100</v>
      </c>
      <c r="X15" s="1539"/>
      <c r="Y15" s="327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73"/>
      <c r="Q16" s="1536"/>
      <c r="R16" s="714"/>
      <c r="S16" s="715"/>
      <c r="T16" s="714"/>
      <c r="U16" s="715"/>
      <c r="V16" s="714"/>
      <c r="W16" s="715"/>
      <c r="X16" s="1539"/>
      <c r="Y16" s="327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3"/>
      <c r="Q17" s="1536" t="str">
        <f>B17</f>
        <v>交通便捷度</v>
      </c>
      <c r="R17" s="714" t="s">
        <v>17</v>
      </c>
      <c r="S17" s="715">
        <f>F17</f>
        <v>100</v>
      </c>
      <c r="T17" s="714" t="s">
        <v>17</v>
      </c>
      <c r="U17" s="715">
        <f>H17</f>
        <v>100</v>
      </c>
      <c r="V17" s="714" t="s">
        <v>17</v>
      </c>
      <c r="W17" s="715">
        <f>J17</f>
        <v>100</v>
      </c>
      <c r="X17" s="1539"/>
      <c r="Y17" s="327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73"/>
      <c r="Q18" s="1536"/>
      <c r="R18" s="714"/>
      <c r="S18" s="715"/>
      <c r="T18" s="714"/>
      <c r="U18" s="715"/>
      <c r="V18" s="714"/>
      <c r="W18" s="715"/>
      <c r="X18" s="1539"/>
      <c r="Y18" s="327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3"/>
      <c r="Q19" s="1536" t="str">
        <f>B19</f>
        <v>公共配套设施</v>
      </c>
      <c r="R19" s="714" t="s">
        <v>17</v>
      </c>
      <c r="S19" s="715">
        <f>F19</f>
        <v>100</v>
      </c>
      <c r="T19" s="714" t="s">
        <v>17</v>
      </c>
      <c r="U19" s="715">
        <f>H19</f>
        <v>100</v>
      </c>
      <c r="V19" s="714" t="s">
        <v>17</v>
      </c>
      <c r="W19" s="715">
        <f>J19</f>
        <v>100</v>
      </c>
      <c r="X19" s="1539"/>
      <c r="Y19" s="327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73"/>
      <c r="Q20" s="1536"/>
      <c r="R20" s="714"/>
      <c r="S20" s="715"/>
      <c r="T20" s="714"/>
      <c r="U20" s="715"/>
      <c r="V20" s="714"/>
      <c r="W20" s="715"/>
      <c r="X20" s="1539"/>
      <c r="Y20" s="327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3"/>
      <c r="Q21" s="1536" t="str">
        <f>B21</f>
        <v>基础设施水平</v>
      </c>
      <c r="R21" s="714" t="s">
        <v>17</v>
      </c>
      <c r="S21" s="715">
        <f>F21</f>
        <v>100</v>
      </c>
      <c r="T21" s="714" t="s">
        <v>17</v>
      </c>
      <c r="U21" s="715">
        <f>H21</f>
        <v>100</v>
      </c>
      <c r="V21" s="714" t="s">
        <v>17</v>
      </c>
      <c r="W21" s="715">
        <f>J21</f>
        <v>100</v>
      </c>
      <c r="X21" s="1539"/>
      <c r="Y21" s="327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73"/>
      <c r="Q22" s="1536"/>
      <c r="R22" s="714"/>
      <c r="S22" s="715"/>
      <c r="T22" s="714"/>
      <c r="U22" s="715"/>
      <c r="V22" s="714"/>
      <c r="W22" s="715"/>
      <c r="X22" s="1539"/>
      <c r="Y22" s="327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3"/>
      <c r="Q23" s="1536" t="str">
        <f>B23</f>
        <v>环境质量</v>
      </c>
      <c r="R23" s="714" t="s">
        <v>17</v>
      </c>
      <c r="S23" s="715">
        <f>F23</f>
        <v>100</v>
      </c>
      <c r="T23" s="714" t="s">
        <v>17</v>
      </c>
      <c r="U23" s="715">
        <f>H23</f>
        <v>100</v>
      </c>
      <c r="V23" s="714" t="s">
        <v>17</v>
      </c>
      <c r="W23" s="715">
        <f>J23</f>
        <v>100</v>
      </c>
      <c r="X23" s="1539"/>
      <c r="Y23" s="327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73"/>
      <c r="Q24" s="1536"/>
      <c r="R24" s="714"/>
      <c r="S24" s="715"/>
      <c r="T24" s="714"/>
      <c r="U24" s="715"/>
      <c r="V24" s="714"/>
      <c r="W24" s="715"/>
      <c r="X24" s="1539"/>
      <c r="Y24" s="327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3"/>
      <c r="Q25" s="1536">
        <f>B25</f>
        <v>111</v>
      </c>
      <c r="R25" s="714" t="s">
        <v>17</v>
      </c>
      <c r="S25" s="715">
        <f>F25</f>
        <v>100</v>
      </c>
      <c r="T25" s="714" t="s">
        <v>17</v>
      </c>
      <c r="U25" s="715">
        <f>H25</f>
        <v>100</v>
      </c>
      <c r="V25" s="714" t="s">
        <v>17</v>
      </c>
      <c r="W25" s="715">
        <f>J25</f>
        <v>100</v>
      </c>
      <c r="X25" s="1539"/>
      <c r="Y25" s="327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3"/>
      <c r="Q26" s="1536">
        <f t="shared" ref="Q26:Q40" si="11">B26</f>
        <v>111</v>
      </c>
      <c r="R26" s="714" t="s">
        <v>17</v>
      </c>
      <c r="S26" s="715">
        <f>F26</f>
        <v>100</v>
      </c>
      <c r="T26" s="714" t="s">
        <v>17</v>
      </c>
      <c r="U26" s="715">
        <f>H26</f>
        <v>100</v>
      </c>
      <c r="V26" s="714" t="s">
        <v>17</v>
      </c>
      <c r="W26" s="715">
        <f>J26</f>
        <v>100</v>
      </c>
      <c r="X26" s="1539"/>
      <c r="Y26" s="327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3"/>
      <c r="Q27" s="1527">
        <f t="shared" si="11"/>
        <v>111</v>
      </c>
      <c r="R27" s="710" t="s">
        <v>17</v>
      </c>
      <c r="S27" s="711">
        <f>F27</f>
        <v>100</v>
      </c>
      <c r="T27" s="710" t="s">
        <v>17</v>
      </c>
      <c r="U27" s="711">
        <f>H27</f>
        <v>100</v>
      </c>
      <c r="V27" s="710" t="s">
        <v>17</v>
      </c>
      <c r="W27" s="711">
        <f>J27</f>
        <v>100</v>
      </c>
      <c r="X27" s="712"/>
      <c r="Y27" s="327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3"/>
      <c r="Q28" s="1536">
        <f t="shared" si="11"/>
        <v>111</v>
      </c>
      <c r="R28" s="714" t="s">
        <v>17</v>
      </c>
      <c r="S28" s="715">
        <f t="shared" ref="S28:S40" si="12">F28</f>
        <v>100</v>
      </c>
      <c r="T28" s="714" t="s">
        <v>17</v>
      </c>
      <c r="U28" s="715">
        <f t="shared" ref="U28:U40" si="13">H28</f>
        <v>100</v>
      </c>
      <c r="V28" s="714" t="s">
        <v>17</v>
      </c>
      <c r="W28" s="715">
        <f t="shared" ref="W28:W40" si="14">J28</f>
        <v>100</v>
      </c>
      <c r="X28" s="1539"/>
      <c r="Y28" s="327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74" t="s">
        <v>2386</v>
      </c>
      <c r="Q29" s="1536" t="str">
        <f t="shared" si="11"/>
        <v>建筑类型</v>
      </c>
      <c r="R29" s="714" t="s">
        <v>17</v>
      </c>
      <c r="S29" s="715">
        <f t="shared" si="12"/>
        <v>100</v>
      </c>
      <c r="T29" s="714" t="s">
        <v>17</v>
      </c>
      <c r="U29" s="715">
        <f t="shared" si="13"/>
        <v>100</v>
      </c>
      <c r="V29" s="714" t="s">
        <v>17</v>
      </c>
      <c r="W29" s="715">
        <f t="shared" si="14"/>
        <v>100</v>
      </c>
      <c r="X29" s="1539"/>
      <c r="Y29" s="327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5"/>
      <c r="Q30" s="716" t="str">
        <f t="shared" si="11"/>
        <v>项目建筑规模</v>
      </c>
      <c r="R30" s="717" t="s">
        <v>17</v>
      </c>
      <c r="S30" s="718" t="e">
        <f t="shared" si="12"/>
        <v>#N/A</v>
      </c>
      <c r="T30" s="717" t="s">
        <v>17</v>
      </c>
      <c r="U30" s="718" t="e">
        <f t="shared" si="13"/>
        <v>#N/A</v>
      </c>
      <c r="V30" s="717" t="s">
        <v>17</v>
      </c>
      <c r="W30" s="718" t="e">
        <f t="shared" si="14"/>
        <v>#N/A</v>
      </c>
      <c r="X30" s="719"/>
      <c r="Y30" s="327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5"/>
      <c r="Q31" s="1536" t="str">
        <f t="shared" si="11"/>
        <v>建筑结构</v>
      </c>
      <c r="R31" s="714" t="s">
        <v>17</v>
      </c>
      <c r="S31" s="715">
        <f t="shared" si="12"/>
        <v>100</v>
      </c>
      <c r="T31" s="714" t="s">
        <v>17</v>
      </c>
      <c r="U31" s="715">
        <f t="shared" si="13"/>
        <v>100</v>
      </c>
      <c r="V31" s="714" t="s">
        <v>17</v>
      </c>
      <c r="W31" s="715">
        <f t="shared" si="14"/>
        <v>100</v>
      </c>
      <c r="X31" s="1539"/>
      <c r="Y31" s="327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5"/>
      <c r="Q32" s="1536" t="str">
        <f t="shared" si="11"/>
        <v>公共部分装修</v>
      </c>
      <c r="R32" s="714" t="s">
        <v>17</v>
      </c>
      <c r="S32" s="715">
        <f t="shared" si="12"/>
        <v>100</v>
      </c>
      <c r="T32" s="714" t="s">
        <v>17</v>
      </c>
      <c r="U32" s="715">
        <f t="shared" si="13"/>
        <v>100</v>
      </c>
      <c r="V32" s="714" t="s">
        <v>17</v>
      </c>
      <c r="W32" s="715">
        <f t="shared" si="14"/>
        <v>100</v>
      </c>
      <c r="X32" s="1539"/>
      <c r="Y32" s="327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5"/>
      <c r="Q33" s="1536" t="str">
        <f t="shared" si="11"/>
        <v>成新度</v>
      </c>
      <c r="R33" s="714" t="s">
        <v>17</v>
      </c>
      <c r="S33" s="715" t="e">
        <f t="shared" si="12"/>
        <v>#N/A</v>
      </c>
      <c r="T33" s="714" t="s">
        <v>17</v>
      </c>
      <c r="U33" s="715" t="e">
        <f t="shared" si="13"/>
        <v>#N/A</v>
      </c>
      <c r="V33" s="714" t="s">
        <v>17</v>
      </c>
      <c r="W33" s="715" t="e">
        <f t="shared" si="14"/>
        <v>#N/A</v>
      </c>
      <c r="X33" s="1539"/>
      <c r="Y33" s="327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5"/>
      <c r="Q34" s="1527" t="str">
        <f t="shared" si="11"/>
        <v>物业管理</v>
      </c>
      <c r="R34" s="710" t="s">
        <v>17</v>
      </c>
      <c r="S34" s="711">
        <f t="shared" si="12"/>
        <v>100</v>
      </c>
      <c r="T34" s="710" t="s">
        <v>17</v>
      </c>
      <c r="U34" s="711">
        <f t="shared" si="13"/>
        <v>100</v>
      </c>
      <c r="V34" s="710" t="s">
        <v>17</v>
      </c>
      <c r="W34" s="711">
        <f t="shared" si="14"/>
        <v>100</v>
      </c>
      <c r="X34" s="712"/>
      <c r="Y34" s="327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5" t="s">
        <v>2386</v>
      </c>
      <c r="Q35" s="1536" t="str">
        <f t="shared" si="11"/>
        <v>市政基础设施</v>
      </c>
      <c r="R35" s="714" t="s">
        <v>17</v>
      </c>
      <c r="S35" s="715">
        <f t="shared" si="12"/>
        <v>100</v>
      </c>
      <c r="T35" s="714" t="s">
        <v>17</v>
      </c>
      <c r="U35" s="715">
        <f t="shared" si="13"/>
        <v>100</v>
      </c>
      <c r="V35" s="714" t="s">
        <v>17</v>
      </c>
      <c r="W35" s="715">
        <f t="shared" si="14"/>
        <v>100</v>
      </c>
      <c r="X35" s="1539"/>
      <c r="Y35" s="327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5"/>
      <c r="Q36" s="1536" t="str">
        <f t="shared" si="11"/>
        <v>内部装修</v>
      </c>
      <c r="R36" s="714" t="s">
        <v>17</v>
      </c>
      <c r="S36" s="715">
        <f t="shared" si="12"/>
        <v>100</v>
      </c>
      <c r="T36" s="714" t="s">
        <v>17</v>
      </c>
      <c r="U36" s="715">
        <f t="shared" si="13"/>
        <v>100</v>
      </c>
      <c r="V36" s="714" t="s">
        <v>17</v>
      </c>
      <c r="W36" s="715">
        <f t="shared" si="14"/>
        <v>100</v>
      </c>
      <c r="X36" s="1539"/>
      <c r="Y36" s="327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5"/>
      <c r="Q37" s="1536" t="str">
        <f t="shared" si="11"/>
        <v>内部装修状况</v>
      </c>
      <c r="R37" s="714" t="s">
        <v>17</v>
      </c>
      <c r="S37" s="715">
        <f t="shared" si="12"/>
        <v>100</v>
      </c>
      <c r="T37" s="714" t="s">
        <v>17</v>
      </c>
      <c r="U37" s="715">
        <f t="shared" si="13"/>
        <v>100</v>
      </c>
      <c r="V37" s="714" t="s">
        <v>17</v>
      </c>
      <c r="W37" s="715">
        <f t="shared" si="14"/>
        <v>100</v>
      </c>
      <c r="X37" s="1539"/>
      <c r="Y37" s="327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5"/>
      <c r="Q38" s="716">
        <f t="shared" si="11"/>
        <v>111</v>
      </c>
      <c r="R38" s="717" t="s">
        <v>17</v>
      </c>
      <c r="S38" s="718">
        <f t="shared" si="12"/>
        <v>100</v>
      </c>
      <c r="T38" s="717" t="s">
        <v>17</v>
      </c>
      <c r="U38" s="718">
        <f t="shared" si="13"/>
        <v>100</v>
      </c>
      <c r="V38" s="717" t="s">
        <v>17</v>
      </c>
      <c r="W38" s="718">
        <f t="shared" si="14"/>
        <v>100</v>
      </c>
      <c r="X38" s="719"/>
      <c r="Y38" s="327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5"/>
      <c r="Q39" s="1536">
        <f t="shared" si="11"/>
        <v>111</v>
      </c>
      <c r="R39" s="714" t="s">
        <v>17</v>
      </c>
      <c r="S39" s="715">
        <f t="shared" si="12"/>
        <v>100</v>
      </c>
      <c r="T39" s="714" t="s">
        <v>17</v>
      </c>
      <c r="U39" s="715">
        <f t="shared" si="13"/>
        <v>100</v>
      </c>
      <c r="V39" s="714" t="s">
        <v>17</v>
      </c>
      <c r="W39" s="715">
        <f t="shared" si="14"/>
        <v>100</v>
      </c>
      <c r="X39" s="1539"/>
      <c r="Y39" s="327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9"/>
      <c r="Q40" s="1536">
        <f t="shared" si="11"/>
        <v>111</v>
      </c>
      <c r="R40" s="714" t="s">
        <v>17</v>
      </c>
      <c r="S40" s="715">
        <f t="shared" si="12"/>
        <v>100</v>
      </c>
      <c r="T40" s="714" t="s">
        <v>17</v>
      </c>
      <c r="U40" s="715">
        <f t="shared" si="13"/>
        <v>100</v>
      </c>
      <c r="V40" s="714" t="s">
        <v>17</v>
      </c>
      <c r="W40" s="715">
        <f t="shared" si="14"/>
        <v>100</v>
      </c>
      <c r="X40" s="1539"/>
      <c r="Y40" s="333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70" t="str">
        <f>A41</f>
        <v>成交单价（元/平方米）</v>
      </c>
      <c r="Q41" s="3270"/>
      <c r="R41" s="3335">
        <f>E41</f>
        <v>0</v>
      </c>
      <c r="S41" s="3335"/>
      <c r="T41" s="3335">
        <f>G41</f>
        <v>0</v>
      </c>
      <c r="U41" s="3335"/>
      <c r="V41" s="3335">
        <f>I41</f>
        <v>0</v>
      </c>
      <c r="W41" s="3335"/>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70" t="str">
        <f>A42</f>
        <v>比较价值（元/平方米）</v>
      </c>
      <c r="Q42" s="3270"/>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4" t="str">
        <f>A43</f>
        <v>估价对象XX用房的比较价值（楼面单价，元/平方米）</v>
      </c>
      <c r="Q43" s="3265"/>
      <c r="R43" s="3334" t="e">
        <f>IF(F1="售价",ROUND(IF(D42="简单平均",AVERAGE(R42:V42),R42*F42+T42*H42+V42*J42),0),ROUND(IF(D42="简单平均",AVERAGE(R42:V42),R42*F42+T42*H42+V42*J42),1))</f>
        <v>#DIV/0!</v>
      </c>
      <c r="S43" s="3334"/>
      <c r="T43" s="3334"/>
      <c r="U43" s="3334"/>
      <c r="V43" s="3334"/>
      <c r="W43" s="3334"/>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P75:Q96"/>
  <sheetViews>
    <sheetView topLeftCell="A85" zoomScale="90" zoomScaleNormal="90" workbookViewId="0">
      <selection activeCell="H121" sqref="H121"/>
    </sheetView>
  </sheetViews>
  <sheetFormatPr defaultRowHeight="13.5"/>
  <sheetData>
    <row r="75" spans="16:17">
      <c r="P75" s="3069" t="s">
        <v>3290</v>
      </c>
      <c r="Q75" s="3070">
        <v>398</v>
      </c>
    </row>
    <row r="82" spans="16:17">
      <c r="P82" s="3069" t="s">
        <v>3290</v>
      </c>
      <c r="Q82" s="3070">
        <v>398</v>
      </c>
    </row>
    <row r="89" spans="16:17">
      <c r="P89" s="3069" t="s">
        <v>3290</v>
      </c>
      <c r="Q89" s="3070">
        <v>402</v>
      </c>
    </row>
    <row r="96" spans="16:17">
      <c r="P96" s="3069" t="s">
        <v>3290</v>
      </c>
      <c r="Q96" s="3070">
        <v>302</v>
      </c>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16" zoomScale="80" zoomScaleNormal="60" zoomScaleSheetLayoutView="80" workbookViewId="0">
      <selection activeCell="I41" sqref="I4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t="s">
        <v>3072</v>
      </c>
      <c r="C1" s="1392" t="s">
        <v>2351</v>
      </c>
      <c r="D1" s="1393" t="s">
        <v>3072</v>
      </c>
      <c r="E1" s="1394"/>
      <c r="F1" s="2065" t="s">
        <v>3282</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1962</v>
      </c>
      <c r="C2" s="2067" t="s">
        <v>70</v>
      </c>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2382</v>
      </c>
      <c r="C3" s="360" t="s">
        <v>2465</v>
      </c>
      <c r="D3" s="359">
        <f>SUMIF('数据-汇总表'!$C19:$C33,D1,'数据-汇总表'!$E19:$E33)</f>
        <v>8236.73</v>
      </c>
      <c r="E3" s="360" t="s">
        <v>2529</v>
      </c>
      <c r="F3" s="359">
        <f>SUMIF('数据-取费表'!A5:A15,D1,'数据-取费表'!AH5:AH15)</f>
        <v>203</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267" t="s">
        <v>2467</v>
      </c>
      <c r="D4" s="3280"/>
      <c r="E4" s="3281" t="s">
        <v>2468</v>
      </c>
      <c r="F4" s="3282"/>
      <c r="G4" s="3267" t="s">
        <v>2469</v>
      </c>
      <c r="H4" s="3280"/>
      <c r="I4" s="3267" t="s">
        <v>2470</v>
      </c>
      <c r="J4" s="3280"/>
      <c r="K4" s="567" t="s">
        <v>2471</v>
      </c>
      <c r="L4" s="2942"/>
      <c r="M4" s="2943"/>
      <c r="N4" s="2943"/>
      <c r="O4" s="2943"/>
      <c r="P4" s="3283" t="s">
        <v>2472</v>
      </c>
      <c r="Q4" s="3284"/>
      <c r="R4" s="3289" t="s">
        <v>2468</v>
      </c>
      <c r="S4" s="3290"/>
      <c r="T4" s="3289" t="s">
        <v>2469</v>
      </c>
      <c r="U4" s="3290"/>
      <c r="V4" s="3276" t="s">
        <v>2470</v>
      </c>
      <c r="W4" s="3276"/>
      <c r="X4" s="1539"/>
      <c r="Y4" s="3289" t="s">
        <v>2472</v>
      </c>
      <c r="Z4" s="3290"/>
      <c r="AA4" s="3277" t="s">
        <v>2468</v>
      </c>
      <c r="AB4" s="3278" t="s">
        <v>2469</v>
      </c>
      <c r="AC4" s="3277" t="s">
        <v>2470</v>
      </c>
    </row>
    <row r="5" spans="1:29" ht="15">
      <c r="A5" s="364"/>
      <c r="B5" s="365"/>
      <c r="C5" s="3297" t="s">
        <v>2363</v>
      </c>
      <c r="D5" s="3298"/>
      <c r="E5" s="3304" t="s">
        <v>2364</v>
      </c>
      <c r="F5" s="3305"/>
      <c r="G5" s="3297" t="s">
        <v>2365</v>
      </c>
      <c r="H5" s="3298"/>
      <c r="I5" s="3297" t="s">
        <v>2366</v>
      </c>
      <c r="J5" s="3298"/>
      <c r="K5" s="567"/>
      <c r="L5" s="2942"/>
      <c r="M5" s="2943"/>
      <c r="N5" s="2943"/>
      <c r="O5" s="2943"/>
      <c r="P5" s="3285"/>
      <c r="Q5" s="3286"/>
      <c r="R5" s="3291"/>
      <c r="S5" s="3292"/>
      <c r="T5" s="3291"/>
      <c r="U5" s="3292"/>
      <c r="V5" s="3276"/>
      <c r="W5" s="3276"/>
      <c r="X5" s="1539"/>
      <c r="Y5" s="3291"/>
      <c r="Z5" s="3292"/>
      <c r="AA5" s="3278"/>
      <c r="AB5" s="3278"/>
      <c r="AC5" s="3278"/>
    </row>
    <row r="6" spans="1:29" ht="15.75" thickBot="1">
      <c r="A6" s="366"/>
      <c r="B6" s="367"/>
      <c r="C6" s="3295" t="s">
        <v>2367</v>
      </c>
      <c r="D6" s="3296"/>
      <c r="E6" s="3302" t="s">
        <v>2367</v>
      </c>
      <c r="F6" s="3303"/>
      <c r="G6" s="3295" t="s">
        <v>2367</v>
      </c>
      <c r="H6" s="3296"/>
      <c r="I6" s="3295" t="s">
        <v>2367</v>
      </c>
      <c r="J6" s="3296"/>
      <c r="K6" s="567" t="s">
        <v>2368</v>
      </c>
      <c r="L6" s="2942"/>
      <c r="M6" s="2943"/>
      <c r="N6" s="2943"/>
      <c r="O6" s="2943"/>
      <c r="P6" s="3287"/>
      <c r="Q6" s="3288"/>
      <c r="R6" s="3291"/>
      <c r="S6" s="3292"/>
      <c r="T6" s="3293"/>
      <c r="U6" s="3294"/>
      <c r="V6" s="3276"/>
      <c r="W6" s="3276"/>
      <c r="X6" s="1539"/>
      <c r="Y6" s="3293"/>
      <c r="Z6" s="3294"/>
      <c r="AA6" s="3279"/>
      <c r="AB6" s="3279"/>
      <c r="AC6" s="3279"/>
    </row>
    <row r="7" spans="1:29" s="113" customFormat="1" ht="15.75" thickBot="1">
      <c r="A7" s="368" t="s">
        <v>2369</v>
      </c>
      <c r="B7" s="369"/>
      <c r="C7" s="370">
        <f>'数据-取费表'!B2</f>
        <v>44313</v>
      </c>
      <c r="D7" s="371">
        <v>100</v>
      </c>
      <c r="E7" s="372">
        <f>C7</f>
        <v>44313</v>
      </c>
      <c r="F7" s="373">
        <f>SUMIF(48:48,YEAR(E7)&amp;"-"&amp;MONTH(E7),49:49)</f>
        <v>100</v>
      </c>
      <c r="G7" s="372">
        <f>E7</f>
        <v>44313</v>
      </c>
      <c r="H7" s="371">
        <f>SUMIF(48:48,YEAR(G7)&amp;"-"&amp;MONTH(G7),49:49)</f>
        <v>100</v>
      </c>
      <c r="I7" s="372">
        <f>G7</f>
        <v>44313</v>
      </c>
      <c r="J7" s="371">
        <f>SUMIF(48:48,YEAR(I7)&amp;"-"&amp;MONTH(I7),49:49)</f>
        <v>100</v>
      </c>
      <c r="K7" s="568"/>
      <c r="L7" s="2944"/>
      <c r="M7" s="2945"/>
      <c r="N7" s="2945"/>
      <c r="O7" s="2945"/>
      <c r="P7" s="3299" t="s">
        <v>2370</v>
      </c>
      <c r="Q7" s="3301"/>
      <c r="R7" s="710" t="s">
        <v>17</v>
      </c>
      <c r="S7" s="711">
        <f t="shared" ref="S7:S14" si="0">F7</f>
        <v>100</v>
      </c>
      <c r="T7" s="710" t="s">
        <v>17</v>
      </c>
      <c r="U7" s="711">
        <f t="shared" ref="U7:U14" si="1">H7</f>
        <v>100</v>
      </c>
      <c r="V7" s="710" t="s">
        <v>17</v>
      </c>
      <c r="W7" s="711">
        <f t="shared" ref="W7:W14" si="2">J7</f>
        <v>100</v>
      </c>
      <c r="X7" s="712"/>
      <c r="Y7" s="3299" t="s">
        <v>2370</v>
      </c>
      <c r="Z7" s="3300"/>
      <c r="AA7" s="713">
        <f>D7/F7</f>
        <v>1</v>
      </c>
      <c r="AB7" s="713">
        <f>D7/H7</f>
        <v>1</v>
      </c>
      <c r="AC7" s="713">
        <f>D7/J7</f>
        <v>1</v>
      </c>
    </row>
    <row r="8" spans="1:29" s="113" customFormat="1" ht="15.75" thickBot="1">
      <c r="A8" s="368" t="s">
        <v>2371</v>
      </c>
      <c r="B8" s="369"/>
      <c r="C8" s="374" t="s">
        <v>2473</v>
      </c>
      <c r="D8" s="371">
        <v>100</v>
      </c>
      <c r="E8" s="374" t="s">
        <v>3280</v>
      </c>
      <c r="F8" s="373">
        <f>SUMIF(51:51,E8,52:52)-SUMIF(51:51,C8,52:52)+100</f>
        <v>100</v>
      </c>
      <c r="G8" s="374" t="s">
        <v>3280</v>
      </c>
      <c r="H8" s="371">
        <f>SUMIF(51:51,G8,52:52)-SUMIF(51:51,C8,52:52)+100</f>
        <v>100</v>
      </c>
      <c r="I8" s="374" t="s">
        <v>3280</v>
      </c>
      <c r="J8" s="371">
        <f>SUMIF(51:51,I8,52:52)-SUMIF(51:51,C8,52:52)+100</f>
        <v>100</v>
      </c>
      <c r="K8" s="568"/>
      <c r="L8" s="2944"/>
      <c r="M8" s="2945"/>
      <c r="N8" s="2945"/>
      <c r="O8" s="2945"/>
      <c r="P8" s="3299" t="s">
        <v>2373</v>
      </c>
      <c r="Q8" s="3300"/>
      <c r="R8" s="710" t="s">
        <v>17</v>
      </c>
      <c r="S8" s="711">
        <f t="shared" si="0"/>
        <v>100</v>
      </c>
      <c r="T8" s="710" t="s">
        <v>17</v>
      </c>
      <c r="U8" s="711">
        <f t="shared" si="1"/>
        <v>100</v>
      </c>
      <c r="V8" s="710" t="s">
        <v>17</v>
      </c>
      <c r="W8" s="711">
        <f t="shared" si="2"/>
        <v>100</v>
      </c>
      <c r="X8" s="712"/>
      <c r="Y8" s="3299" t="s">
        <v>2373</v>
      </c>
      <c r="Z8" s="3300"/>
      <c r="AA8" s="713">
        <f t="shared" ref="AA8:AA36" si="3">D8/F8</f>
        <v>1</v>
      </c>
      <c r="AB8" s="713">
        <f t="shared" ref="AB8:AB36" si="4">D8/H8</f>
        <v>1</v>
      </c>
      <c r="AC8" s="713">
        <f t="shared" ref="AC8:AC36" si="5">D8/J8</f>
        <v>1</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72" t="s">
        <v>2381</v>
      </c>
      <c r="Q14" s="1536" t="str">
        <f t="shared" si="6"/>
        <v>交通便捷度</v>
      </c>
      <c r="R14" s="714" t="s">
        <v>17</v>
      </c>
      <c r="S14" s="715">
        <f t="shared" si="0"/>
        <v>100</v>
      </c>
      <c r="T14" s="714" t="s">
        <v>17</v>
      </c>
      <c r="U14" s="715">
        <f t="shared" si="1"/>
        <v>100</v>
      </c>
      <c r="V14" s="714" t="s">
        <v>17</v>
      </c>
      <c r="W14" s="715">
        <f t="shared" si="2"/>
        <v>100</v>
      </c>
      <c r="X14" s="1539"/>
      <c r="Y14" s="327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273"/>
      <c r="Q15" s="1536"/>
      <c r="R15" s="714"/>
      <c r="S15" s="715"/>
      <c r="T15" s="714"/>
      <c r="U15" s="715"/>
      <c r="V15" s="714"/>
      <c r="W15" s="715"/>
      <c r="X15" s="1539"/>
      <c r="Y15" s="327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73"/>
      <c r="Q16" s="1536" t="str">
        <f>B16</f>
        <v>公共配套设施</v>
      </c>
      <c r="R16" s="714" t="s">
        <v>17</v>
      </c>
      <c r="S16" s="715">
        <f>F16</f>
        <v>100</v>
      </c>
      <c r="T16" s="714" t="s">
        <v>17</v>
      </c>
      <c r="U16" s="715">
        <f>H16</f>
        <v>100</v>
      </c>
      <c r="V16" s="714" t="s">
        <v>17</v>
      </c>
      <c r="W16" s="715">
        <f>J16</f>
        <v>100</v>
      </c>
      <c r="X16" s="1539"/>
      <c r="Y16" s="327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273"/>
      <c r="Q17" s="1536"/>
      <c r="R17" s="714"/>
      <c r="S17" s="715"/>
      <c r="T17" s="714"/>
      <c r="U17" s="715"/>
      <c r="V17" s="714"/>
      <c r="W17" s="715"/>
      <c r="X17" s="1539"/>
      <c r="Y17" s="327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73"/>
      <c r="Q18" s="1536" t="str">
        <f>B18</f>
        <v>基础设施水平</v>
      </c>
      <c r="R18" s="714" t="s">
        <v>17</v>
      </c>
      <c r="S18" s="715">
        <f>F18</f>
        <v>100</v>
      </c>
      <c r="T18" s="714" t="s">
        <v>17</v>
      </c>
      <c r="U18" s="715">
        <f>H18</f>
        <v>100</v>
      </c>
      <c r="V18" s="714" t="s">
        <v>17</v>
      </c>
      <c r="W18" s="715">
        <f>J18</f>
        <v>100</v>
      </c>
      <c r="X18" s="1539"/>
      <c r="Y18" s="327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273"/>
      <c r="Q19" s="1536"/>
      <c r="R19" s="714"/>
      <c r="S19" s="715"/>
      <c r="T19" s="714"/>
      <c r="U19" s="715"/>
      <c r="V19" s="714"/>
      <c r="W19" s="715"/>
      <c r="X19" s="1539"/>
      <c r="Y19" s="327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73"/>
      <c r="Q20" s="1536" t="str">
        <f>B20</f>
        <v>自然及人文环境</v>
      </c>
      <c r="R20" s="714" t="s">
        <v>17</v>
      </c>
      <c r="S20" s="715">
        <f>F20</f>
        <v>100</v>
      </c>
      <c r="T20" s="714" t="s">
        <v>17</v>
      </c>
      <c r="U20" s="715">
        <f>H20</f>
        <v>100</v>
      </c>
      <c r="V20" s="714" t="s">
        <v>17</v>
      </c>
      <c r="W20" s="715">
        <f>J20</f>
        <v>100</v>
      </c>
      <c r="X20" s="1539"/>
      <c r="Y20" s="327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273"/>
      <c r="Q21" s="1536"/>
      <c r="R21" s="714"/>
      <c r="S21" s="715"/>
      <c r="T21" s="714"/>
      <c r="U21" s="715"/>
      <c r="V21" s="714"/>
      <c r="W21" s="715"/>
      <c r="X21" s="1539"/>
      <c r="Y21" s="327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73"/>
      <c r="Q22" s="1536" t="str">
        <f>B22</f>
        <v>楼层</v>
      </c>
      <c r="R22" s="714" t="s">
        <v>17</v>
      </c>
      <c r="S22" s="715">
        <f>F22</f>
        <v>100</v>
      </c>
      <c r="T22" s="714" t="s">
        <v>17</v>
      </c>
      <c r="U22" s="715">
        <f>H22</f>
        <v>100</v>
      </c>
      <c r="V22" s="714" t="s">
        <v>17</v>
      </c>
      <c r="W22" s="715">
        <f>J22</f>
        <v>100</v>
      </c>
      <c r="X22" s="1539"/>
      <c r="Y22" s="327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73"/>
      <c r="Q23" s="1536">
        <f>B23</f>
        <v>111</v>
      </c>
      <c r="R23" s="714" t="s">
        <v>17</v>
      </c>
      <c r="S23" s="715">
        <f>F23</f>
        <v>100</v>
      </c>
      <c r="T23" s="714" t="s">
        <v>17</v>
      </c>
      <c r="U23" s="715">
        <f>H23</f>
        <v>100</v>
      </c>
      <c r="V23" s="714" t="s">
        <v>17</v>
      </c>
      <c r="W23" s="715">
        <f>J23</f>
        <v>100</v>
      </c>
      <c r="X23" s="1539"/>
      <c r="Y23" s="327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73"/>
      <c r="Q24" s="1536">
        <f t="shared" ref="Q24:Q36" si="11">B24</f>
        <v>111</v>
      </c>
      <c r="R24" s="714" t="s">
        <v>17</v>
      </c>
      <c r="S24" s="715">
        <f>F24</f>
        <v>100</v>
      </c>
      <c r="T24" s="714" t="s">
        <v>17</v>
      </c>
      <c r="U24" s="715">
        <f>H24</f>
        <v>100</v>
      </c>
      <c r="V24" s="714" t="s">
        <v>17</v>
      </c>
      <c r="W24" s="715">
        <f>J24</f>
        <v>100</v>
      </c>
      <c r="X24" s="1539"/>
      <c r="Y24" s="327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73"/>
      <c r="Q25" s="1527">
        <f t="shared" si="11"/>
        <v>111</v>
      </c>
      <c r="R25" s="710" t="s">
        <v>17</v>
      </c>
      <c r="S25" s="711">
        <f>F25</f>
        <v>100</v>
      </c>
      <c r="T25" s="710" t="s">
        <v>17</v>
      </c>
      <c r="U25" s="711">
        <f>H25</f>
        <v>100</v>
      </c>
      <c r="V25" s="710" t="s">
        <v>17</v>
      </c>
      <c r="W25" s="711">
        <f>J25</f>
        <v>100</v>
      </c>
      <c r="X25" s="712"/>
      <c r="Y25" s="3273"/>
      <c r="Z25" s="55">
        <f>Q25</f>
        <v>111</v>
      </c>
      <c r="AA25" s="1537">
        <f>D25/F25</f>
        <v>1</v>
      </c>
      <c r="AB25" s="1537">
        <f>D25/H25</f>
        <v>1</v>
      </c>
      <c r="AC25" s="1537">
        <f>D25/J25</f>
        <v>1</v>
      </c>
    </row>
    <row r="26" spans="1:29" ht="28.5">
      <c r="A26" s="608" t="s">
        <v>2384</v>
      </c>
      <c r="B26" s="66" t="s">
        <v>2533</v>
      </c>
      <c r="C26" s="2158" t="str">
        <f>B1</f>
        <v>车库</v>
      </c>
      <c r="D26" s="407">
        <v>100</v>
      </c>
      <c r="E26" s="406" t="s">
        <v>3072</v>
      </c>
      <c r="F26" s="408">
        <f>SUMIF(79:79,E26,80:80)-SUMIF(79:79,C26,80:80)+100</f>
        <v>100</v>
      </c>
      <c r="G26" s="406" t="s">
        <v>3072</v>
      </c>
      <c r="H26" s="407">
        <f>SUMIF(79:79,G26,80:80)-SUMIF(79:79,C26,80:80)+100</f>
        <v>100</v>
      </c>
      <c r="I26" s="406" t="s">
        <v>3072</v>
      </c>
      <c r="J26" s="407">
        <f>SUMIF(79:79,I26,80:80)-SUMIF(79:79,C26,80:80)+100</f>
        <v>100</v>
      </c>
      <c r="K26" s="569">
        <v>2</v>
      </c>
      <c r="L26" s="2949"/>
      <c r="M26" s="2943"/>
      <c r="N26" s="2943"/>
      <c r="O26" s="2943"/>
      <c r="P26" s="327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7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75"/>
      <c r="Q27" s="716" t="str">
        <f t="shared" si="11"/>
        <v>项目停车位配比</v>
      </c>
      <c r="R27" s="717" t="s">
        <v>17</v>
      </c>
      <c r="S27" s="718">
        <f t="shared" si="12"/>
        <v>100</v>
      </c>
      <c r="T27" s="717" t="s">
        <v>17</v>
      </c>
      <c r="U27" s="718">
        <f t="shared" si="13"/>
        <v>100</v>
      </c>
      <c r="V27" s="717" t="s">
        <v>17</v>
      </c>
      <c r="W27" s="718">
        <f t="shared" si="14"/>
        <v>100</v>
      </c>
      <c r="X27" s="719"/>
      <c r="Y27" s="327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75"/>
      <c r="Q28" s="1536" t="str">
        <f t="shared" si="11"/>
        <v>公共部分装修</v>
      </c>
      <c r="R28" s="714" t="s">
        <v>17</v>
      </c>
      <c r="S28" s="715">
        <f t="shared" si="12"/>
        <v>100</v>
      </c>
      <c r="T28" s="714" t="s">
        <v>17</v>
      </c>
      <c r="U28" s="715">
        <f t="shared" si="13"/>
        <v>100</v>
      </c>
      <c r="V28" s="714" t="s">
        <v>17</v>
      </c>
      <c r="W28" s="715">
        <f t="shared" si="14"/>
        <v>100</v>
      </c>
      <c r="X28" s="1539"/>
      <c r="Y28" s="3275"/>
      <c r="Z28" s="1540" t="str">
        <f t="shared" si="15"/>
        <v>公共部分装修</v>
      </c>
      <c r="AA28" s="1537">
        <f t="shared" si="3"/>
        <v>1</v>
      </c>
      <c r="AB28" s="1537">
        <f t="shared" si="4"/>
        <v>1</v>
      </c>
      <c r="AC28" s="1537">
        <f t="shared" si="5"/>
        <v>1</v>
      </c>
    </row>
    <row r="29" spans="1:29" ht="15">
      <c r="A29" s="612"/>
      <c r="B29" s="610" t="s">
        <v>2536</v>
      </c>
      <c r="C29" s="433">
        <v>0.8</v>
      </c>
      <c r="D29" s="394">
        <v>100</v>
      </c>
      <c r="E29" s="433">
        <v>0.8</v>
      </c>
      <c r="F29" s="420">
        <f>LOOKUP(E29,86:86,87:87)-LOOKUP(C29,86:86,87:87)+100</f>
        <v>100</v>
      </c>
      <c r="G29" s="433">
        <v>0.8</v>
      </c>
      <c r="H29" s="420">
        <f>LOOKUP(G29,86:86,87:87)-LOOKUP(C29,86:86,87:87)+100</f>
        <v>100</v>
      </c>
      <c r="I29" s="433">
        <v>0.8</v>
      </c>
      <c r="J29" s="394">
        <f>LOOKUP(I29,86:86,87:87)-LOOKUP(C29,86:86,87:87)+100</f>
        <v>100</v>
      </c>
      <c r="K29" s="569">
        <v>2</v>
      </c>
      <c r="L29" s="2949"/>
      <c r="M29" s="2943"/>
      <c r="N29" s="2943"/>
      <c r="O29" s="2943"/>
      <c r="P29" s="3275"/>
      <c r="Q29" s="1536" t="str">
        <f t="shared" si="11"/>
        <v>成新率</v>
      </c>
      <c r="R29" s="714" t="s">
        <v>17</v>
      </c>
      <c r="S29" s="715">
        <f t="shared" si="12"/>
        <v>100</v>
      </c>
      <c r="T29" s="714" t="s">
        <v>17</v>
      </c>
      <c r="U29" s="715">
        <f t="shared" si="13"/>
        <v>100</v>
      </c>
      <c r="V29" s="714" t="s">
        <v>17</v>
      </c>
      <c r="W29" s="715">
        <f t="shared" si="14"/>
        <v>100</v>
      </c>
      <c r="X29" s="1539"/>
      <c r="Y29" s="3275"/>
      <c r="Z29" s="1540" t="str">
        <f t="shared" si="15"/>
        <v>成新率</v>
      </c>
      <c r="AA29" s="1537">
        <f t="shared" si="3"/>
        <v>1</v>
      </c>
      <c r="AB29" s="1537">
        <f t="shared" si="4"/>
        <v>1</v>
      </c>
      <c r="AC29" s="1537">
        <f t="shared" si="5"/>
        <v>1</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75"/>
      <c r="Q30" s="1536" t="str">
        <f t="shared" si="11"/>
        <v>物业等级</v>
      </c>
      <c r="R30" s="714" t="s">
        <v>17</v>
      </c>
      <c r="S30" s="715">
        <f t="shared" si="12"/>
        <v>100</v>
      </c>
      <c r="T30" s="714" t="s">
        <v>17</v>
      </c>
      <c r="U30" s="715">
        <f t="shared" si="13"/>
        <v>100</v>
      </c>
      <c r="V30" s="714" t="s">
        <v>17</v>
      </c>
      <c r="W30" s="715">
        <f t="shared" si="14"/>
        <v>100</v>
      </c>
      <c r="X30" s="1539"/>
      <c r="Y30" s="3275"/>
      <c r="Z30" s="1540" t="str">
        <f t="shared" si="15"/>
        <v>物业等级</v>
      </c>
      <c r="AA30" s="1537">
        <f t="shared" si="3"/>
        <v>1</v>
      </c>
      <c r="AB30" s="1537">
        <f t="shared" si="4"/>
        <v>1</v>
      </c>
      <c r="AC30" s="1537">
        <f t="shared" si="5"/>
        <v>1</v>
      </c>
    </row>
    <row r="31" spans="1:29" s="113" customFormat="1" ht="15">
      <c r="A31" s="614"/>
      <c r="B31" s="610" t="s">
        <v>2538</v>
      </c>
      <c r="C31" s="428">
        <v>30</v>
      </c>
      <c r="D31" s="132">
        <v>100</v>
      </c>
      <c r="E31" s="428">
        <v>30</v>
      </c>
      <c r="F31" s="420">
        <f>LOOKUP(E31,91:91,92:92)-LOOKUP(C31,91:91,92:92)+100</f>
        <v>100</v>
      </c>
      <c r="G31" s="428">
        <v>30</v>
      </c>
      <c r="H31" s="394">
        <f>LOOKUP(G31,91:91,92:92)-LOOKUP(C31,91:91,92:92)+100</f>
        <v>100</v>
      </c>
      <c r="I31" s="428">
        <v>30</v>
      </c>
      <c r="J31" s="394">
        <f>LOOKUP(I31,91:91,92:92)-LOOKUP(C31,91:91,92:92)+100</f>
        <v>100</v>
      </c>
      <c r="K31" s="569"/>
      <c r="L31" s="2944"/>
      <c r="M31" s="2945"/>
      <c r="N31" s="2945"/>
      <c r="O31" s="2945"/>
      <c r="P31" s="3275"/>
      <c r="Q31" s="1527" t="str">
        <f t="shared" si="11"/>
        <v>停车位面积</v>
      </c>
      <c r="R31" s="710" t="s">
        <v>17</v>
      </c>
      <c r="S31" s="711">
        <f t="shared" si="12"/>
        <v>100</v>
      </c>
      <c r="T31" s="710" t="s">
        <v>17</v>
      </c>
      <c r="U31" s="711">
        <f t="shared" si="13"/>
        <v>100</v>
      </c>
      <c r="V31" s="710" t="s">
        <v>17</v>
      </c>
      <c r="W31" s="711">
        <f t="shared" si="14"/>
        <v>100</v>
      </c>
      <c r="X31" s="712"/>
      <c r="Y31" s="3275"/>
      <c r="Z31" s="55" t="str">
        <f t="shared" si="15"/>
        <v>停车位面积</v>
      </c>
      <c r="AA31" s="713">
        <f t="shared" si="3"/>
        <v>1</v>
      </c>
      <c r="AB31" s="713">
        <f t="shared" si="4"/>
        <v>1</v>
      </c>
      <c r="AC31" s="713">
        <f t="shared" si="5"/>
        <v>1</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75" t="s">
        <v>2386</v>
      </c>
      <c r="Q32" s="1536" t="str">
        <f t="shared" si="11"/>
        <v>车位类型</v>
      </c>
      <c r="R32" s="714" t="s">
        <v>17</v>
      </c>
      <c r="S32" s="715">
        <f t="shared" si="12"/>
        <v>100</v>
      </c>
      <c r="T32" s="714" t="s">
        <v>17</v>
      </c>
      <c r="U32" s="715">
        <f t="shared" si="13"/>
        <v>100</v>
      </c>
      <c r="V32" s="714" t="s">
        <v>17</v>
      </c>
      <c r="W32" s="715">
        <f t="shared" si="14"/>
        <v>100</v>
      </c>
      <c r="X32" s="1539"/>
      <c r="Y32" s="327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75"/>
      <c r="Q33" s="1536" t="str">
        <f t="shared" si="11"/>
        <v>是否直接入户</v>
      </c>
      <c r="R33" s="714" t="s">
        <v>17</v>
      </c>
      <c r="S33" s="715">
        <f t="shared" si="12"/>
        <v>100</v>
      </c>
      <c r="T33" s="714" t="s">
        <v>17</v>
      </c>
      <c r="U33" s="715">
        <f t="shared" si="13"/>
        <v>100</v>
      </c>
      <c r="V33" s="714" t="s">
        <v>17</v>
      </c>
      <c r="W33" s="715">
        <f t="shared" si="14"/>
        <v>100</v>
      </c>
      <c r="X33" s="1539"/>
      <c r="Y33" s="327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75"/>
      <c r="Q34" s="1536">
        <f t="shared" si="11"/>
        <v>111</v>
      </c>
      <c r="R34" s="714" t="s">
        <v>17</v>
      </c>
      <c r="S34" s="715">
        <f t="shared" si="12"/>
        <v>100</v>
      </c>
      <c r="T34" s="714" t="s">
        <v>17</v>
      </c>
      <c r="U34" s="715">
        <f t="shared" si="13"/>
        <v>100</v>
      </c>
      <c r="V34" s="714" t="s">
        <v>17</v>
      </c>
      <c r="W34" s="715">
        <f t="shared" si="14"/>
        <v>100</v>
      </c>
      <c r="X34" s="1539"/>
      <c r="Y34" s="327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75"/>
      <c r="Q35" s="716">
        <f t="shared" si="11"/>
        <v>111</v>
      </c>
      <c r="R35" s="717" t="s">
        <v>17</v>
      </c>
      <c r="S35" s="718">
        <f t="shared" si="12"/>
        <v>100</v>
      </c>
      <c r="T35" s="717" t="s">
        <v>17</v>
      </c>
      <c r="U35" s="718">
        <f t="shared" si="13"/>
        <v>100</v>
      </c>
      <c r="V35" s="717" t="s">
        <v>17</v>
      </c>
      <c r="W35" s="718">
        <f t="shared" si="14"/>
        <v>100</v>
      </c>
      <c r="X35" s="719"/>
      <c r="Y35" s="327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75"/>
      <c r="Q36" s="1536">
        <f t="shared" si="11"/>
        <v>111</v>
      </c>
      <c r="R36" s="714" t="s">
        <v>17</v>
      </c>
      <c r="S36" s="715">
        <f t="shared" si="12"/>
        <v>100</v>
      </c>
      <c r="T36" s="714" t="s">
        <v>17</v>
      </c>
      <c r="U36" s="715">
        <f t="shared" si="13"/>
        <v>100</v>
      </c>
      <c r="V36" s="714" t="s">
        <v>17</v>
      </c>
      <c r="W36" s="715">
        <f t="shared" si="14"/>
        <v>100</v>
      </c>
      <c r="X36" s="1539"/>
      <c r="Y36" s="3275"/>
      <c r="Z36" s="1540">
        <f t="shared" si="15"/>
        <v>111</v>
      </c>
      <c r="AA36" s="1537">
        <f t="shared" si="3"/>
        <v>1</v>
      </c>
      <c r="AB36" s="1537">
        <f t="shared" si="4"/>
        <v>1</v>
      </c>
      <c r="AC36" s="1537">
        <f t="shared" si="5"/>
        <v>1</v>
      </c>
    </row>
    <row r="37" spans="1:29" ht="15">
      <c r="A37" s="438" t="s">
        <v>2541</v>
      </c>
      <c r="B37" s="2159" t="s">
        <v>2542</v>
      </c>
      <c r="C37" s="1316" t="s">
        <v>1</v>
      </c>
      <c r="D37" s="1317"/>
      <c r="E37" s="1318">
        <v>100000</v>
      </c>
      <c r="F37" s="1319"/>
      <c r="G37" s="1320">
        <v>90000</v>
      </c>
      <c r="H37" s="1321"/>
      <c r="I37" s="1318">
        <v>100000</v>
      </c>
      <c r="J37" s="1321"/>
      <c r="K37" s="576"/>
      <c r="L37" s="2951"/>
      <c r="M37" s="2952"/>
      <c r="N37" s="2943"/>
      <c r="O37" s="2952"/>
      <c r="P37" s="3270" t="str">
        <f>A37</f>
        <v>成交单价</v>
      </c>
      <c r="Q37" s="3270"/>
      <c r="R37" s="3335">
        <f>E37</f>
        <v>100000</v>
      </c>
      <c r="S37" s="3335"/>
      <c r="T37" s="3335">
        <f>G37</f>
        <v>90000</v>
      </c>
      <c r="U37" s="3335"/>
      <c r="V37" s="3335">
        <f>I37</f>
        <v>100000</v>
      </c>
      <c r="W37" s="3335"/>
      <c r="X37" s="699"/>
      <c r="Y37" s="721"/>
      <c r="Z37" s="699"/>
      <c r="AA37" s="699"/>
      <c r="AB37" s="699"/>
      <c r="AC37" s="699"/>
    </row>
    <row r="38" spans="1:29" ht="15.75" thickBot="1">
      <c r="A38" s="445" t="s">
        <v>2543</v>
      </c>
      <c r="B38" s="446" t="str">
        <f>B37</f>
        <v>元/车位</v>
      </c>
      <c r="C38" s="1322">
        <f>R39</f>
        <v>96667</v>
      </c>
      <c r="D38" s="2538" t="s">
        <v>2881</v>
      </c>
      <c r="E38" s="1323">
        <f>R38</f>
        <v>100000</v>
      </c>
      <c r="F38" s="2539"/>
      <c r="G38" s="1322">
        <f>T38</f>
        <v>90000</v>
      </c>
      <c r="H38" s="2539"/>
      <c r="I38" s="1323">
        <f>V38</f>
        <v>100000</v>
      </c>
      <c r="J38" s="2539"/>
      <c r="K38" s="2541">
        <f>F38+H38+J38</f>
        <v>0</v>
      </c>
      <c r="L38" s="2951"/>
      <c r="M38" s="2952"/>
      <c r="N38" s="2952"/>
      <c r="O38" s="2952"/>
      <c r="P38" s="3270" t="str">
        <f>A38</f>
        <v>比较价值（元/平方米）</v>
      </c>
      <c r="Q38" s="3270"/>
      <c r="R38" s="3335">
        <f>IF(F1="售价",ROUND(PRODUCT(R37,AA7:AA36),0),ROUND(PRODUCT(R37,AA7:AA36),1))</f>
        <v>100000</v>
      </c>
      <c r="S38" s="3335"/>
      <c r="T38" s="3335">
        <f>IF(F1="售价",ROUND(PRODUCT(T37,AB7:AB36),0),ROUND(PRODUCT(T37,AB7:AB36),1))</f>
        <v>90000</v>
      </c>
      <c r="U38" s="3335"/>
      <c r="V38" s="3335">
        <f>IF(F1="售价",ROUND(PRODUCT(V37,AC7:AC36),0),ROUND(PRODUCT(V37,AC7:AC36),1))</f>
        <v>100000</v>
      </c>
      <c r="W38" s="3335"/>
      <c r="X38" s="699"/>
      <c r="Y38" s="699"/>
      <c r="Z38" s="699"/>
      <c r="AA38" s="699"/>
      <c r="AB38" s="699"/>
      <c r="AC38" s="699"/>
    </row>
    <row r="39" spans="1:29" ht="15.75" thickBot="1">
      <c r="A39" s="449" t="s">
        <v>2544</v>
      </c>
      <c r="B39" s="450"/>
      <c r="C39" s="1325">
        <f>R39</f>
        <v>96667</v>
      </c>
      <c r="D39" s="1325"/>
      <c r="E39" s="1325"/>
      <c r="F39" s="1325"/>
      <c r="G39" s="1325"/>
      <c r="H39" s="1325"/>
      <c r="I39" s="1325"/>
      <c r="J39" s="1325"/>
      <c r="K39" s="577"/>
      <c r="L39" s="2951"/>
      <c r="M39" s="2952"/>
      <c r="N39" s="2952"/>
      <c r="O39" s="2952"/>
      <c r="P39" s="3264" t="str">
        <f>A39</f>
        <v>估价对象XX用房的比较价值（楼面单价，元/平方米）</v>
      </c>
      <c r="Q39" s="3265"/>
      <c r="R39" s="3357">
        <f>IF(F1="售价",ROUND(IF(D38="简单平均",AVERAGE(R38:W38),R38*F38+T38*H38+V38*J38),0),ROUND(IF(D38="简单平均",AVERAGE(R38:V38),R38*F38+T38*H38+V38*J38),1))</f>
        <v>96667</v>
      </c>
      <c r="S39" s="3357"/>
      <c r="T39" s="3357"/>
      <c r="U39" s="3357"/>
      <c r="V39" s="3357"/>
      <c r="W39" s="335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f>IF(E38&lt;G38,G38/E38-1,E38/G38-1)</f>
        <v>0.11111111111111116</v>
      </c>
      <c r="F43" s="457" t="str">
        <f>IF(OR(E43&gt;=0.2,E43&lt;=-0.2),"超过20%","")</f>
        <v/>
      </c>
      <c r="G43" s="456">
        <f>IF(G38&lt;I38,I38/G38-1,G38/I38-1)</f>
        <v>0.11111111111111116</v>
      </c>
      <c r="H43" s="457" t="str">
        <f>IF(OR(G43&gt;=0.2,G43&lt;=-0.2),"超过20%","")</f>
        <v/>
      </c>
      <c r="I43" s="456">
        <f>IF(I38&lt;E38,E38/I38-1,I38/E38-1)</f>
        <v>0</v>
      </c>
      <c r="J43" s="457"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f>IF(E37&lt;G37,G37/E37-1,E37/G37-1)</f>
        <v>0.11111111111111116</v>
      </c>
      <c r="F44" s="457" t="str">
        <f>IF(OR(E44&gt;=0.3,E44&lt;=-0.3),"超过30%","")</f>
        <v/>
      </c>
      <c r="G44" s="456">
        <f>IF(G37&lt;I37,I37/G37-1,G37/I37-1)</f>
        <v>0.11111111111111116</v>
      </c>
      <c r="H44" s="457" t="str">
        <f>IF(OR(G44&gt;=0.3,G44&lt;=-0.3),"超过30%","")</f>
        <v/>
      </c>
      <c r="I44" s="456">
        <f>IF(I37&lt;E37,E37/I37-1,I37/E37-1)</f>
        <v>0</v>
      </c>
      <c r="J44" s="457"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t="str">
        <f>C26</f>
        <v>车库</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0(含)-20</v>
      </c>
      <c r="D90" s="535" t="str">
        <f t="shared" ref="D90:L90" si="21">D91&amp;"(含)"&amp;"-"&amp;E91</f>
        <v>20(含)-40</v>
      </c>
      <c r="E90" s="535" t="str">
        <f t="shared" si="21"/>
        <v>40(含)-60</v>
      </c>
      <c r="F90" s="535" t="str">
        <f t="shared" si="21"/>
        <v>60(含)-80</v>
      </c>
      <c r="G90" s="535" t="str">
        <f t="shared" si="21"/>
        <v>80(含)-100</v>
      </c>
      <c r="H90" s="535" t="str">
        <f t="shared" si="21"/>
        <v>100(含)-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v>0</v>
      </c>
      <c r="D91" s="552">
        <v>20</v>
      </c>
      <c r="E91" s="552">
        <v>40</v>
      </c>
      <c r="F91" s="552">
        <v>60</v>
      </c>
      <c r="G91" s="552">
        <v>80</v>
      </c>
      <c r="H91" s="552">
        <v>100</v>
      </c>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v>100</v>
      </c>
      <c r="D92" s="493">
        <v>102</v>
      </c>
      <c r="E92" s="493">
        <v>104</v>
      </c>
      <c r="F92" s="493">
        <v>106</v>
      </c>
      <c r="G92" s="493">
        <v>108</v>
      </c>
      <c r="H92" s="493">
        <v>110</v>
      </c>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267" t="s">
        <v>2467</v>
      </c>
      <c r="D4" s="3280"/>
      <c r="E4" s="3281" t="s">
        <v>2468</v>
      </c>
      <c r="F4" s="3282"/>
      <c r="G4" s="3267" t="s">
        <v>2469</v>
      </c>
      <c r="H4" s="3280"/>
      <c r="I4" s="3267" t="s">
        <v>2470</v>
      </c>
      <c r="J4" s="3280"/>
      <c r="K4" s="567" t="s">
        <v>2471</v>
      </c>
      <c r="L4" s="2942"/>
      <c r="M4" s="2943"/>
      <c r="N4" s="2943"/>
      <c r="O4" s="2943"/>
      <c r="P4" s="3283" t="s">
        <v>2472</v>
      </c>
      <c r="Q4" s="3284"/>
      <c r="R4" s="3289" t="s">
        <v>2468</v>
      </c>
      <c r="S4" s="3290"/>
      <c r="T4" s="3289" t="s">
        <v>2469</v>
      </c>
      <c r="U4" s="3290"/>
      <c r="V4" s="3276" t="s">
        <v>2470</v>
      </c>
      <c r="W4" s="3276"/>
      <c r="X4" s="1539"/>
      <c r="Y4" s="3289" t="s">
        <v>2472</v>
      </c>
      <c r="Z4" s="3290"/>
      <c r="AA4" s="3277" t="s">
        <v>2468</v>
      </c>
      <c r="AB4" s="3278" t="s">
        <v>2469</v>
      </c>
      <c r="AC4" s="3277" t="s">
        <v>2470</v>
      </c>
    </row>
    <row r="5" spans="1:29" ht="15">
      <c r="A5" s="364"/>
      <c r="B5" s="365"/>
      <c r="C5" s="3297" t="s">
        <v>2363</v>
      </c>
      <c r="D5" s="3298"/>
      <c r="E5" s="3304" t="s">
        <v>2364</v>
      </c>
      <c r="F5" s="3305"/>
      <c r="G5" s="3297" t="s">
        <v>2365</v>
      </c>
      <c r="H5" s="3298"/>
      <c r="I5" s="3297" t="s">
        <v>2366</v>
      </c>
      <c r="J5" s="3298"/>
      <c r="K5" s="567"/>
      <c r="L5" s="2942"/>
      <c r="M5" s="2943"/>
      <c r="N5" s="2943"/>
      <c r="O5" s="2943"/>
      <c r="P5" s="3285"/>
      <c r="Q5" s="3286"/>
      <c r="R5" s="3291"/>
      <c r="S5" s="3292"/>
      <c r="T5" s="3291"/>
      <c r="U5" s="3292"/>
      <c r="V5" s="3276"/>
      <c r="W5" s="3276"/>
      <c r="X5" s="1539"/>
      <c r="Y5" s="3291"/>
      <c r="Z5" s="3292"/>
      <c r="AA5" s="3278"/>
      <c r="AB5" s="3278"/>
      <c r="AC5" s="3278"/>
    </row>
    <row r="6" spans="1:29" ht="15.75" thickBot="1">
      <c r="A6" s="366"/>
      <c r="B6" s="367"/>
      <c r="C6" s="3295" t="s">
        <v>2367</v>
      </c>
      <c r="D6" s="3296"/>
      <c r="E6" s="3302" t="s">
        <v>2367</v>
      </c>
      <c r="F6" s="3303"/>
      <c r="G6" s="3295" t="s">
        <v>2367</v>
      </c>
      <c r="H6" s="3296"/>
      <c r="I6" s="3295" t="s">
        <v>2367</v>
      </c>
      <c r="J6" s="3296"/>
      <c r="K6" s="567" t="s">
        <v>2368</v>
      </c>
      <c r="L6" s="2942"/>
      <c r="M6" s="2943"/>
      <c r="N6" s="2943"/>
      <c r="O6" s="2943"/>
      <c r="P6" s="3287"/>
      <c r="Q6" s="3288"/>
      <c r="R6" s="3291"/>
      <c r="S6" s="3292"/>
      <c r="T6" s="3293"/>
      <c r="U6" s="3294"/>
      <c r="V6" s="3276"/>
      <c r="W6" s="3276"/>
      <c r="X6" s="1539"/>
      <c r="Y6" s="3293"/>
      <c r="Z6" s="3294"/>
      <c r="AA6" s="3279"/>
      <c r="AB6" s="3279"/>
      <c r="AC6" s="3279"/>
    </row>
    <row r="7" spans="1:29" s="113" customFormat="1" ht="15.75" thickBot="1">
      <c r="A7" s="368" t="s">
        <v>2369</v>
      </c>
      <c r="B7" s="369"/>
      <c r="C7" s="370">
        <f>'数据-取费表'!B2</f>
        <v>44313</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299" t="s">
        <v>2370</v>
      </c>
      <c r="Q7" s="3301"/>
      <c r="R7" s="710" t="s">
        <v>17</v>
      </c>
      <c r="S7" s="711">
        <f t="shared" ref="S7:S14" si="0">F7</f>
        <v>0</v>
      </c>
      <c r="T7" s="710" t="s">
        <v>17</v>
      </c>
      <c r="U7" s="711">
        <f t="shared" ref="U7:U14" si="1">H7</f>
        <v>0</v>
      </c>
      <c r="V7" s="710" t="s">
        <v>17</v>
      </c>
      <c r="W7" s="711">
        <f t="shared" ref="W7:W14" si="2">J7</f>
        <v>0</v>
      </c>
      <c r="X7" s="712"/>
      <c r="Y7" s="3299" t="s">
        <v>2370</v>
      </c>
      <c r="Z7" s="330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27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72" t="s">
        <v>2381</v>
      </c>
      <c r="Q14" s="1536" t="str">
        <f t="shared" si="6"/>
        <v>交通便捷度</v>
      </c>
      <c r="R14" s="714" t="s">
        <v>17</v>
      </c>
      <c r="S14" s="715">
        <f t="shared" si="0"/>
        <v>100</v>
      </c>
      <c r="T14" s="714" t="s">
        <v>17</v>
      </c>
      <c r="U14" s="715">
        <f t="shared" si="1"/>
        <v>100</v>
      </c>
      <c r="V14" s="714" t="s">
        <v>17</v>
      </c>
      <c r="W14" s="715">
        <f t="shared" si="2"/>
        <v>100</v>
      </c>
      <c r="X14" s="1539"/>
      <c r="Y14" s="327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273"/>
      <c r="Q15" s="1536"/>
      <c r="R15" s="714"/>
      <c r="S15" s="715"/>
      <c r="T15" s="714"/>
      <c r="U15" s="715"/>
      <c r="V15" s="714"/>
      <c r="W15" s="715"/>
      <c r="X15" s="1539"/>
      <c r="Y15" s="327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73"/>
      <c r="Q16" s="1536" t="str">
        <f>B16</f>
        <v>公共配套设施</v>
      </c>
      <c r="R16" s="714" t="s">
        <v>17</v>
      </c>
      <c r="S16" s="715">
        <f>F16</f>
        <v>100</v>
      </c>
      <c r="T16" s="714" t="s">
        <v>17</v>
      </c>
      <c r="U16" s="715">
        <f>H16</f>
        <v>100</v>
      </c>
      <c r="V16" s="714" t="s">
        <v>17</v>
      </c>
      <c r="W16" s="715">
        <f>J16</f>
        <v>100</v>
      </c>
      <c r="X16" s="1539"/>
      <c r="Y16" s="327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273"/>
      <c r="Q17" s="1536"/>
      <c r="R17" s="714"/>
      <c r="S17" s="715"/>
      <c r="T17" s="714"/>
      <c r="U17" s="715"/>
      <c r="V17" s="714"/>
      <c r="W17" s="715"/>
      <c r="X17" s="1539"/>
      <c r="Y17" s="327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73"/>
      <c r="Q18" s="1536" t="str">
        <f>B18</f>
        <v>基础设施水平</v>
      </c>
      <c r="R18" s="714" t="s">
        <v>17</v>
      </c>
      <c r="S18" s="715">
        <f>F18</f>
        <v>100</v>
      </c>
      <c r="T18" s="714" t="s">
        <v>17</v>
      </c>
      <c r="U18" s="715">
        <f>H18</f>
        <v>100</v>
      </c>
      <c r="V18" s="714" t="s">
        <v>17</v>
      </c>
      <c r="W18" s="715">
        <f>J18</f>
        <v>100</v>
      </c>
      <c r="X18" s="1539"/>
      <c r="Y18" s="327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273"/>
      <c r="Q19" s="1536"/>
      <c r="R19" s="714"/>
      <c r="S19" s="715"/>
      <c r="T19" s="714"/>
      <c r="U19" s="715"/>
      <c r="V19" s="714"/>
      <c r="W19" s="715"/>
      <c r="X19" s="1539"/>
      <c r="Y19" s="327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73"/>
      <c r="Q20" s="1536" t="str">
        <f>B20</f>
        <v>自然及人文环境</v>
      </c>
      <c r="R20" s="714" t="s">
        <v>17</v>
      </c>
      <c r="S20" s="715">
        <f>F20</f>
        <v>100</v>
      </c>
      <c r="T20" s="714" t="s">
        <v>17</v>
      </c>
      <c r="U20" s="715">
        <f>H20</f>
        <v>100</v>
      </c>
      <c r="V20" s="714" t="s">
        <v>17</v>
      </c>
      <c r="W20" s="715">
        <f>J20</f>
        <v>100</v>
      </c>
      <c r="X20" s="1539"/>
      <c r="Y20" s="327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273"/>
      <c r="Q21" s="1536"/>
      <c r="R21" s="714"/>
      <c r="S21" s="715"/>
      <c r="T21" s="714"/>
      <c r="U21" s="715"/>
      <c r="V21" s="714"/>
      <c r="W21" s="715"/>
      <c r="X21" s="1539"/>
      <c r="Y21" s="327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73"/>
      <c r="Q22" s="1536" t="str">
        <f>B22</f>
        <v>楼层</v>
      </c>
      <c r="R22" s="714" t="s">
        <v>17</v>
      </c>
      <c r="S22" s="715">
        <f>F22</f>
        <v>100</v>
      </c>
      <c r="T22" s="714" t="s">
        <v>17</v>
      </c>
      <c r="U22" s="715">
        <f>H22</f>
        <v>100</v>
      </c>
      <c r="V22" s="714" t="s">
        <v>17</v>
      </c>
      <c r="W22" s="715">
        <f>J22</f>
        <v>100</v>
      </c>
      <c r="X22" s="1539"/>
      <c r="Y22" s="327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73"/>
      <c r="Q23" s="1536">
        <f>B23</f>
        <v>111</v>
      </c>
      <c r="R23" s="714" t="s">
        <v>17</v>
      </c>
      <c r="S23" s="715">
        <f>F23</f>
        <v>100</v>
      </c>
      <c r="T23" s="714" t="s">
        <v>17</v>
      </c>
      <c r="U23" s="715">
        <f>H23</f>
        <v>100</v>
      </c>
      <c r="V23" s="714" t="s">
        <v>17</v>
      </c>
      <c r="W23" s="715">
        <f>J23</f>
        <v>100</v>
      </c>
      <c r="X23" s="1539"/>
      <c r="Y23" s="327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73"/>
      <c r="Q24" s="1536">
        <f t="shared" ref="Q24:Q34" si="11">B24</f>
        <v>111</v>
      </c>
      <c r="R24" s="714" t="s">
        <v>17</v>
      </c>
      <c r="S24" s="715">
        <f>F24</f>
        <v>100</v>
      </c>
      <c r="T24" s="714" t="s">
        <v>17</v>
      </c>
      <c r="U24" s="715">
        <f>H24</f>
        <v>100</v>
      </c>
      <c r="V24" s="714" t="s">
        <v>17</v>
      </c>
      <c r="W24" s="715">
        <f>J24</f>
        <v>100</v>
      </c>
      <c r="X24" s="1539"/>
      <c r="Y24" s="327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273"/>
      <c r="Q25" s="1527">
        <f t="shared" si="11"/>
        <v>111</v>
      </c>
      <c r="R25" s="710" t="s">
        <v>17</v>
      </c>
      <c r="S25" s="711">
        <f>F25</f>
        <v>100</v>
      </c>
      <c r="T25" s="710" t="s">
        <v>17</v>
      </c>
      <c r="U25" s="711">
        <f>H25</f>
        <v>100</v>
      </c>
      <c r="V25" s="710" t="s">
        <v>17</v>
      </c>
      <c r="W25" s="711">
        <f>J25</f>
        <v>100</v>
      </c>
      <c r="X25" s="712"/>
      <c r="Y25" s="327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27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7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75"/>
      <c r="Q27" s="716" t="str">
        <f t="shared" si="11"/>
        <v>成新率</v>
      </c>
      <c r="R27" s="717" t="s">
        <v>17</v>
      </c>
      <c r="S27" s="718" t="e">
        <f t="shared" si="12"/>
        <v>#N/A</v>
      </c>
      <c r="T27" s="717" t="s">
        <v>17</v>
      </c>
      <c r="U27" s="718" t="e">
        <f t="shared" si="13"/>
        <v>#N/A</v>
      </c>
      <c r="V27" s="717" t="s">
        <v>17</v>
      </c>
      <c r="W27" s="718" t="e">
        <f t="shared" si="14"/>
        <v>#N/A</v>
      </c>
      <c r="X27" s="719"/>
      <c r="Y27" s="327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75"/>
      <c r="Q28" s="1536" t="str">
        <f t="shared" si="11"/>
        <v>物业等级</v>
      </c>
      <c r="R28" s="714" t="s">
        <v>17</v>
      </c>
      <c r="S28" s="715">
        <f t="shared" si="12"/>
        <v>100</v>
      </c>
      <c r="T28" s="714" t="s">
        <v>17</v>
      </c>
      <c r="U28" s="715">
        <f t="shared" si="13"/>
        <v>100</v>
      </c>
      <c r="V28" s="714" t="s">
        <v>17</v>
      </c>
      <c r="W28" s="715">
        <f t="shared" si="14"/>
        <v>100</v>
      </c>
      <c r="X28" s="1539"/>
      <c r="Y28" s="327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75"/>
      <c r="Q29" s="1536" t="str">
        <f t="shared" si="11"/>
        <v>有无电梯</v>
      </c>
      <c r="R29" s="714" t="s">
        <v>17</v>
      </c>
      <c r="S29" s="715">
        <f t="shared" si="12"/>
        <v>100</v>
      </c>
      <c r="T29" s="714" t="s">
        <v>17</v>
      </c>
      <c r="U29" s="715">
        <f t="shared" si="13"/>
        <v>100</v>
      </c>
      <c r="V29" s="714" t="s">
        <v>17</v>
      </c>
      <c r="W29" s="715">
        <f t="shared" si="14"/>
        <v>100</v>
      </c>
      <c r="X29" s="1539"/>
      <c r="Y29" s="327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75"/>
      <c r="Q30" s="1536" t="str">
        <f t="shared" si="11"/>
        <v>建筑面积</v>
      </c>
      <c r="R30" s="714" t="s">
        <v>17</v>
      </c>
      <c r="S30" s="715" t="e">
        <f t="shared" si="12"/>
        <v>#N/A</v>
      </c>
      <c r="T30" s="714" t="s">
        <v>17</v>
      </c>
      <c r="U30" s="715" t="e">
        <f t="shared" si="13"/>
        <v>#N/A</v>
      </c>
      <c r="V30" s="714" t="s">
        <v>17</v>
      </c>
      <c r="W30" s="715" t="e">
        <f t="shared" si="14"/>
        <v>#N/A</v>
      </c>
      <c r="X30" s="1539"/>
      <c r="Y30" s="327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75"/>
      <c r="Q31" s="1527" t="str">
        <f t="shared" si="11"/>
        <v>是否封闭</v>
      </c>
      <c r="R31" s="710" t="s">
        <v>17</v>
      </c>
      <c r="S31" s="711">
        <f t="shared" si="12"/>
        <v>100</v>
      </c>
      <c r="T31" s="710" t="s">
        <v>17</v>
      </c>
      <c r="U31" s="711">
        <f t="shared" si="13"/>
        <v>100</v>
      </c>
      <c r="V31" s="710" t="s">
        <v>17</v>
      </c>
      <c r="W31" s="711">
        <f t="shared" si="14"/>
        <v>100</v>
      </c>
      <c r="X31" s="712"/>
      <c r="Y31" s="327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75" t="s">
        <v>2386</v>
      </c>
      <c r="Q32" s="1536">
        <f t="shared" si="11"/>
        <v>111</v>
      </c>
      <c r="R32" s="714" t="s">
        <v>17</v>
      </c>
      <c r="S32" s="715">
        <f t="shared" si="12"/>
        <v>100</v>
      </c>
      <c r="T32" s="714" t="s">
        <v>17</v>
      </c>
      <c r="U32" s="715">
        <f t="shared" si="13"/>
        <v>100</v>
      </c>
      <c r="V32" s="714" t="s">
        <v>17</v>
      </c>
      <c r="W32" s="715">
        <f t="shared" si="14"/>
        <v>100</v>
      </c>
      <c r="X32" s="1539"/>
      <c r="Y32" s="327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75"/>
      <c r="Q33" s="1536">
        <f t="shared" si="11"/>
        <v>111</v>
      </c>
      <c r="R33" s="714" t="s">
        <v>17</v>
      </c>
      <c r="S33" s="715">
        <f t="shared" si="12"/>
        <v>100</v>
      </c>
      <c r="T33" s="714" t="s">
        <v>17</v>
      </c>
      <c r="U33" s="715">
        <f t="shared" si="13"/>
        <v>100</v>
      </c>
      <c r="V33" s="714" t="s">
        <v>17</v>
      </c>
      <c r="W33" s="715">
        <f t="shared" si="14"/>
        <v>100</v>
      </c>
      <c r="X33" s="1539"/>
      <c r="Y33" s="327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275"/>
      <c r="Q34" s="1536">
        <f t="shared" si="11"/>
        <v>111</v>
      </c>
      <c r="R34" s="714" t="s">
        <v>17</v>
      </c>
      <c r="S34" s="715">
        <f t="shared" si="12"/>
        <v>100</v>
      </c>
      <c r="T34" s="714" t="s">
        <v>17</v>
      </c>
      <c r="U34" s="715">
        <f t="shared" si="13"/>
        <v>100</v>
      </c>
      <c r="V34" s="714" t="s">
        <v>17</v>
      </c>
      <c r="W34" s="715">
        <f t="shared" si="14"/>
        <v>100</v>
      </c>
      <c r="X34" s="1539"/>
      <c r="Y34" s="327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270" t="str">
        <f>A35</f>
        <v>成交单价（元/平方米）</v>
      </c>
      <c r="Q35" s="3270"/>
      <c r="R35" s="3335">
        <f>E35</f>
        <v>0</v>
      </c>
      <c r="S35" s="3335"/>
      <c r="T35" s="3335">
        <f>G35</f>
        <v>0</v>
      </c>
      <c r="U35" s="3335"/>
      <c r="V35" s="3335">
        <f>I35</f>
        <v>0</v>
      </c>
      <c r="W35" s="3335"/>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270" t="str">
        <f>A36</f>
        <v>比较价值（元/平方米）</v>
      </c>
      <c r="Q36" s="3270"/>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264" t="str">
        <f>A37</f>
        <v>估价对象XX用房的比较价值（楼面单价，元/平方米）</v>
      </c>
      <c r="Q37" s="3265"/>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267" t="s">
        <v>2467</v>
      </c>
      <c r="D4" s="3280"/>
      <c r="E4" s="3281" t="s">
        <v>2468</v>
      </c>
      <c r="F4" s="3282"/>
      <c r="G4" s="3267" t="s">
        <v>2469</v>
      </c>
      <c r="H4" s="3280"/>
      <c r="I4" s="3267" t="s">
        <v>2470</v>
      </c>
      <c r="J4" s="3280"/>
      <c r="K4" s="567" t="s">
        <v>2471</v>
      </c>
      <c r="L4" s="2942"/>
      <c r="M4" s="2943"/>
      <c r="N4" s="2943"/>
      <c r="O4" s="2943"/>
      <c r="P4" s="3283" t="s">
        <v>2472</v>
      </c>
      <c r="Q4" s="3284"/>
      <c r="R4" s="3289" t="s">
        <v>2468</v>
      </c>
      <c r="S4" s="3290"/>
      <c r="T4" s="3289" t="s">
        <v>2469</v>
      </c>
      <c r="U4" s="3290"/>
      <c r="V4" s="3276" t="s">
        <v>2470</v>
      </c>
      <c r="W4" s="3276"/>
      <c r="X4" s="1539"/>
      <c r="Y4" s="3289" t="s">
        <v>2472</v>
      </c>
      <c r="Z4" s="3290"/>
      <c r="AA4" s="3277" t="s">
        <v>2468</v>
      </c>
      <c r="AB4" s="3278" t="s">
        <v>2469</v>
      </c>
      <c r="AC4" s="3277" t="s">
        <v>2470</v>
      </c>
    </row>
    <row r="5" spans="1:29" ht="15">
      <c r="A5" s="364"/>
      <c r="B5" s="365"/>
      <c r="C5" s="3297" t="s">
        <v>2363</v>
      </c>
      <c r="D5" s="3298"/>
      <c r="E5" s="3304" t="s">
        <v>2364</v>
      </c>
      <c r="F5" s="3305"/>
      <c r="G5" s="3297" t="s">
        <v>2365</v>
      </c>
      <c r="H5" s="3298"/>
      <c r="I5" s="3297" t="s">
        <v>2366</v>
      </c>
      <c r="J5" s="3298"/>
      <c r="K5" s="567"/>
      <c r="L5" s="2942"/>
      <c r="M5" s="2943"/>
      <c r="N5" s="2943"/>
      <c r="O5" s="2943"/>
      <c r="P5" s="3285"/>
      <c r="Q5" s="3286"/>
      <c r="R5" s="3291"/>
      <c r="S5" s="3292"/>
      <c r="T5" s="3291"/>
      <c r="U5" s="3292"/>
      <c r="V5" s="3276"/>
      <c r="W5" s="3276"/>
      <c r="X5" s="1539"/>
      <c r="Y5" s="3291"/>
      <c r="Z5" s="3292"/>
      <c r="AA5" s="3278"/>
      <c r="AB5" s="3278"/>
      <c r="AC5" s="3278"/>
    </row>
    <row r="6" spans="1:29" ht="15.75" thickBot="1">
      <c r="A6" s="366"/>
      <c r="B6" s="367"/>
      <c r="C6" s="3358" t="s">
        <v>2618</v>
      </c>
      <c r="D6" s="3359"/>
      <c r="E6" s="3360" t="s">
        <v>2618</v>
      </c>
      <c r="F6" s="3361"/>
      <c r="G6" s="3358" t="s">
        <v>2618</v>
      </c>
      <c r="H6" s="3359"/>
      <c r="I6" s="3358" t="s">
        <v>2618</v>
      </c>
      <c r="J6" s="3359"/>
      <c r="K6" s="567" t="s">
        <v>2368</v>
      </c>
      <c r="L6" s="2942"/>
      <c r="M6" s="2943"/>
      <c r="N6" s="2943"/>
      <c r="O6" s="2943"/>
      <c r="P6" s="3287"/>
      <c r="Q6" s="3288"/>
      <c r="R6" s="3291"/>
      <c r="S6" s="3292"/>
      <c r="T6" s="3293"/>
      <c r="U6" s="3294"/>
      <c r="V6" s="3276"/>
      <c r="W6" s="3276"/>
      <c r="X6" s="1539"/>
      <c r="Y6" s="3293"/>
      <c r="Z6" s="3294"/>
      <c r="AA6" s="3279"/>
      <c r="AB6" s="3279"/>
      <c r="AC6" s="3279"/>
    </row>
    <row r="7" spans="1:29" s="113" customFormat="1" ht="15.75" thickBot="1">
      <c r="A7" s="368" t="s">
        <v>2369</v>
      </c>
      <c r="B7" s="369"/>
      <c r="C7" s="370">
        <f>'数据-取费表'!B2</f>
        <v>44313</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299" t="s">
        <v>2370</v>
      </c>
      <c r="Q7" s="3301"/>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27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6"/>
      <c r="M10" s="2947"/>
      <c r="N10" s="2947"/>
      <c r="O10" s="3000"/>
      <c r="P10" s="3270"/>
      <c r="Q10" s="1527" t="str">
        <f t="shared" si="6"/>
        <v>土地使用年限（年）</v>
      </c>
      <c r="R10" s="710" t="s">
        <v>17</v>
      </c>
      <c r="S10" s="711">
        <f t="shared" si="0"/>
        <v>105</v>
      </c>
      <c r="T10" s="710" t="s">
        <v>17</v>
      </c>
      <c r="U10" s="711">
        <f t="shared" si="1"/>
        <v>105</v>
      </c>
      <c r="V10" s="710" t="s">
        <v>17</v>
      </c>
      <c r="W10" s="711">
        <f t="shared" si="2"/>
        <v>105</v>
      </c>
      <c r="X10" s="712"/>
      <c r="Y10" s="3164"/>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72" t="s">
        <v>2381</v>
      </c>
      <c r="Q15" s="1536" t="str">
        <f t="shared" si="6"/>
        <v>产业集聚程度</v>
      </c>
      <c r="R15" s="714" t="s">
        <v>17</v>
      </c>
      <c r="S15" s="715">
        <f t="shared" si="0"/>
        <v>100</v>
      </c>
      <c r="T15" s="714" t="s">
        <v>17</v>
      </c>
      <c r="U15" s="715">
        <f t="shared" si="1"/>
        <v>100</v>
      </c>
      <c r="V15" s="714" t="s">
        <v>17</v>
      </c>
      <c r="W15" s="715">
        <f t="shared" si="2"/>
        <v>100</v>
      </c>
      <c r="X15" s="1539"/>
      <c r="Y15" s="327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273"/>
      <c r="Q16" s="1536"/>
      <c r="R16" s="714"/>
      <c r="S16" s="715"/>
      <c r="T16" s="714"/>
      <c r="U16" s="715"/>
      <c r="V16" s="714"/>
      <c r="W16" s="715"/>
      <c r="X16" s="1539"/>
      <c r="Y16" s="327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73"/>
      <c r="Q17" s="1536" t="str">
        <f>B17</f>
        <v>交通便捷度</v>
      </c>
      <c r="R17" s="714" t="s">
        <v>17</v>
      </c>
      <c r="S17" s="715">
        <f>F17</f>
        <v>100</v>
      </c>
      <c r="T17" s="714" t="s">
        <v>17</v>
      </c>
      <c r="U17" s="715">
        <f>H17</f>
        <v>100</v>
      </c>
      <c r="V17" s="714" t="s">
        <v>17</v>
      </c>
      <c r="W17" s="715">
        <f>J17</f>
        <v>100</v>
      </c>
      <c r="X17" s="1539"/>
      <c r="Y17" s="327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273"/>
      <c r="Q18" s="1536"/>
      <c r="R18" s="714"/>
      <c r="S18" s="715"/>
      <c r="T18" s="714"/>
      <c r="U18" s="715"/>
      <c r="V18" s="714"/>
      <c r="W18" s="715"/>
      <c r="X18" s="1539"/>
      <c r="Y18" s="327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73"/>
      <c r="Q19" s="1536" t="str">
        <f t="shared" ref="Q19:Q33" si="8">B19</f>
        <v>区域土地利用方向</v>
      </c>
      <c r="R19" s="714" t="s">
        <v>17</v>
      </c>
      <c r="S19" s="715">
        <f>F19</f>
        <v>100</v>
      </c>
      <c r="T19" s="714" t="s">
        <v>17</v>
      </c>
      <c r="U19" s="715">
        <f>H19</f>
        <v>100</v>
      </c>
      <c r="V19" s="714" t="s">
        <v>17</v>
      </c>
      <c r="W19" s="715">
        <f>J19</f>
        <v>100</v>
      </c>
      <c r="X19" s="1539"/>
      <c r="Y19" s="327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273"/>
      <c r="Q20" s="1536"/>
      <c r="R20" s="714"/>
      <c r="S20" s="715"/>
      <c r="T20" s="714"/>
      <c r="U20" s="715"/>
      <c r="V20" s="714"/>
      <c r="W20" s="715"/>
      <c r="X20" s="1539"/>
      <c r="Y20" s="327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73"/>
      <c r="Q21" s="1536" t="str">
        <f t="shared" si="8"/>
        <v>环境状况</v>
      </c>
      <c r="R21" s="714" t="s">
        <v>17</v>
      </c>
      <c r="S21" s="715">
        <f>F21</f>
        <v>100</v>
      </c>
      <c r="T21" s="714" t="s">
        <v>17</v>
      </c>
      <c r="U21" s="715">
        <f>H21</f>
        <v>100</v>
      </c>
      <c r="V21" s="714" t="s">
        <v>17</v>
      </c>
      <c r="W21" s="715">
        <f>J21</f>
        <v>100</v>
      </c>
      <c r="X21" s="1539"/>
      <c r="Y21" s="327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273"/>
      <c r="Q22" s="1536"/>
      <c r="R22" s="714"/>
      <c r="S22" s="715"/>
      <c r="T22" s="714"/>
      <c r="U22" s="715"/>
      <c r="V22" s="714"/>
      <c r="W22" s="715"/>
      <c r="X22" s="1539"/>
      <c r="Y22" s="327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73"/>
      <c r="Q23" s="1527" t="str">
        <f t="shared" si="8"/>
        <v>公共配套设施</v>
      </c>
      <c r="R23" s="710" t="s">
        <v>17</v>
      </c>
      <c r="S23" s="711">
        <f>F23</f>
        <v>100</v>
      </c>
      <c r="T23" s="710" t="s">
        <v>17</v>
      </c>
      <c r="U23" s="711">
        <f>H23</f>
        <v>100</v>
      </c>
      <c r="V23" s="710" t="s">
        <v>17</v>
      </c>
      <c r="W23" s="711">
        <f>J23</f>
        <v>100</v>
      </c>
      <c r="X23" s="712"/>
      <c r="Y23" s="327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273"/>
      <c r="Q24" s="1527"/>
      <c r="R24" s="710"/>
      <c r="S24" s="711"/>
      <c r="T24" s="710"/>
      <c r="U24" s="711"/>
      <c r="V24" s="710"/>
      <c r="W24" s="711"/>
      <c r="X24" s="712"/>
      <c r="Y24" s="327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73"/>
      <c r="Q25" s="1527" t="str">
        <f t="shared" ref="Q25" si="9">B25</f>
        <v>基础设施水平</v>
      </c>
      <c r="R25" s="710" t="s">
        <v>17</v>
      </c>
      <c r="S25" s="711">
        <f>F25</f>
        <v>100</v>
      </c>
      <c r="T25" s="710" t="s">
        <v>17</v>
      </c>
      <c r="U25" s="711">
        <f>H25</f>
        <v>100</v>
      </c>
      <c r="V25" s="710" t="s">
        <v>17</v>
      </c>
      <c r="W25" s="711">
        <f>J25</f>
        <v>100</v>
      </c>
      <c r="X25" s="712"/>
      <c r="Y25" s="327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273"/>
      <c r="Q26" s="1527"/>
      <c r="R26" s="710"/>
      <c r="S26" s="711"/>
      <c r="T26" s="710"/>
      <c r="U26" s="711"/>
      <c r="V26" s="710"/>
      <c r="W26" s="711"/>
      <c r="X26" s="712"/>
      <c r="Y26" s="327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7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7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73"/>
      <c r="Q28" s="1536" t="str">
        <f t="shared" si="8"/>
        <v>毗邻道路的类型与等级</v>
      </c>
      <c r="R28" s="714" t="s">
        <v>17</v>
      </c>
      <c r="S28" s="715">
        <f t="shared" si="10"/>
        <v>100</v>
      </c>
      <c r="T28" s="714" t="s">
        <v>17</v>
      </c>
      <c r="U28" s="715">
        <f t="shared" si="11"/>
        <v>100</v>
      </c>
      <c r="V28" s="714" t="s">
        <v>17</v>
      </c>
      <c r="W28" s="715">
        <f t="shared" si="12"/>
        <v>100</v>
      </c>
      <c r="X28" s="1539"/>
      <c r="Y28" s="327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273"/>
      <c r="Q29" s="1536"/>
      <c r="R29" s="714"/>
      <c r="S29" s="715"/>
      <c r="T29" s="714"/>
      <c r="U29" s="715"/>
      <c r="V29" s="714"/>
      <c r="W29" s="715"/>
      <c r="X29" s="1539"/>
      <c r="Y29" s="327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73"/>
      <c r="Q30" s="1536" t="str">
        <f t="shared" si="8"/>
        <v>土地级别</v>
      </c>
      <c r="R30" s="714" t="s">
        <v>17</v>
      </c>
      <c r="S30" s="715">
        <f t="shared" si="10"/>
        <v>100</v>
      </c>
      <c r="T30" s="714" t="s">
        <v>17</v>
      </c>
      <c r="U30" s="715">
        <f t="shared" si="11"/>
        <v>100</v>
      </c>
      <c r="V30" s="714" t="s">
        <v>17</v>
      </c>
      <c r="W30" s="715">
        <f t="shared" si="12"/>
        <v>100</v>
      </c>
      <c r="X30" s="1539"/>
      <c r="Y30" s="327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73"/>
      <c r="Q31" s="1536">
        <f t="shared" si="8"/>
        <v>111</v>
      </c>
      <c r="R31" s="714" t="s">
        <v>17</v>
      </c>
      <c r="S31" s="715">
        <f t="shared" si="10"/>
        <v>100</v>
      </c>
      <c r="T31" s="714" t="s">
        <v>17</v>
      </c>
      <c r="U31" s="715">
        <f t="shared" si="11"/>
        <v>100</v>
      </c>
      <c r="V31" s="714" t="s">
        <v>17</v>
      </c>
      <c r="W31" s="715">
        <f t="shared" si="12"/>
        <v>100</v>
      </c>
      <c r="X31" s="1539"/>
      <c r="Y31" s="327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74" t="s">
        <v>2386</v>
      </c>
      <c r="Q32" s="1536">
        <f t="shared" si="8"/>
        <v>111</v>
      </c>
      <c r="R32" s="714" t="s">
        <v>17</v>
      </c>
      <c r="S32" s="715">
        <f t="shared" si="10"/>
        <v>100</v>
      </c>
      <c r="T32" s="714" t="s">
        <v>17</v>
      </c>
      <c r="U32" s="715">
        <f t="shared" si="11"/>
        <v>100</v>
      </c>
      <c r="V32" s="714" t="s">
        <v>17</v>
      </c>
      <c r="W32" s="715">
        <f t="shared" si="12"/>
        <v>100</v>
      </c>
      <c r="X32" s="1539"/>
      <c r="Y32" s="327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75"/>
      <c r="Q33" s="1536">
        <f t="shared" si="8"/>
        <v>111</v>
      </c>
      <c r="R33" s="717" t="s">
        <v>17</v>
      </c>
      <c r="S33" s="718">
        <f t="shared" si="10"/>
        <v>100</v>
      </c>
      <c r="T33" s="717" t="s">
        <v>17</v>
      </c>
      <c r="U33" s="718">
        <f t="shared" si="11"/>
        <v>100</v>
      </c>
      <c r="V33" s="717" t="s">
        <v>17</v>
      </c>
      <c r="W33" s="718">
        <f t="shared" si="12"/>
        <v>100</v>
      </c>
      <c r="X33" s="719"/>
      <c r="Y33" s="327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75"/>
      <c r="Q34" s="1536" t="str">
        <f>B34</f>
        <v>宗地面积</v>
      </c>
      <c r="R34" s="714" t="s">
        <v>17</v>
      </c>
      <c r="S34" s="715" t="e">
        <f t="shared" si="10"/>
        <v>#N/A</v>
      </c>
      <c r="T34" s="714" t="s">
        <v>17</v>
      </c>
      <c r="U34" s="715" t="e">
        <f t="shared" si="11"/>
        <v>#N/A</v>
      </c>
      <c r="V34" s="714" t="s">
        <v>17</v>
      </c>
      <c r="W34" s="715" t="e">
        <f t="shared" si="12"/>
        <v>#N/A</v>
      </c>
      <c r="X34" s="1539"/>
      <c r="Y34" s="327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75"/>
      <c r="Q35" s="1536" t="str">
        <f t="shared" ref="Q35:Q40" si="14">B35</f>
        <v>宗地形状</v>
      </c>
      <c r="R35" s="714" t="s">
        <v>17</v>
      </c>
      <c r="S35" s="715">
        <f t="shared" si="10"/>
        <v>100</v>
      </c>
      <c r="T35" s="714" t="s">
        <v>17</v>
      </c>
      <c r="U35" s="715">
        <f t="shared" si="11"/>
        <v>100</v>
      </c>
      <c r="V35" s="714" t="s">
        <v>17</v>
      </c>
      <c r="W35" s="715">
        <f t="shared" si="12"/>
        <v>100</v>
      </c>
      <c r="X35" s="1539"/>
      <c r="Y35" s="327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275"/>
      <c r="Q36" s="1536" t="str">
        <f t="shared" si="14"/>
        <v>宗地开发程度</v>
      </c>
      <c r="R36" s="710" t="s">
        <v>17</v>
      </c>
      <c r="S36" s="711">
        <f t="shared" si="10"/>
        <v>100</v>
      </c>
      <c r="T36" s="710" t="s">
        <v>17</v>
      </c>
      <c r="U36" s="711">
        <f t="shared" si="11"/>
        <v>100</v>
      </c>
      <c r="V36" s="710" t="s">
        <v>17</v>
      </c>
      <c r="W36" s="711">
        <f t="shared" si="12"/>
        <v>100</v>
      </c>
      <c r="X36" s="712"/>
      <c r="Y36" s="327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75" t="s">
        <v>2386</v>
      </c>
      <c r="Q37" s="1536" t="str">
        <f t="shared" si="14"/>
        <v>工程地质条件</v>
      </c>
      <c r="R37" s="714" t="s">
        <v>17</v>
      </c>
      <c r="S37" s="715">
        <f t="shared" si="10"/>
        <v>100</v>
      </c>
      <c r="T37" s="714" t="s">
        <v>17</v>
      </c>
      <c r="U37" s="715">
        <f t="shared" si="11"/>
        <v>100</v>
      </c>
      <c r="V37" s="714" t="s">
        <v>17</v>
      </c>
      <c r="W37" s="715">
        <f t="shared" si="12"/>
        <v>100</v>
      </c>
      <c r="X37" s="1539"/>
      <c r="Y37" s="327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75"/>
      <c r="Q38" s="1536">
        <f t="shared" si="14"/>
        <v>111</v>
      </c>
      <c r="R38" s="714" t="s">
        <v>17</v>
      </c>
      <c r="S38" s="715">
        <f t="shared" si="10"/>
        <v>100</v>
      </c>
      <c r="T38" s="714" t="s">
        <v>17</v>
      </c>
      <c r="U38" s="715">
        <f t="shared" si="11"/>
        <v>100</v>
      </c>
      <c r="V38" s="714" t="s">
        <v>17</v>
      </c>
      <c r="W38" s="715">
        <f t="shared" si="12"/>
        <v>100</v>
      </c>
      <c r="X38" s="1539"/>
      <c r="Y38" s="327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75"/>
      <c r="Q39" s="1536">
        <f t="shared" si="14"/>
        <v>111</v>
      </c>
      <c r="R39" s="714" t="s">
        <v>17</v>
      </c>
      <c r="S39" s="715">
        <f t="shared" si="10"/>
        <v>100</v>
      </c>
      <c r="T39" s="714" t="s">
        <v>17</v>
      </c>
      <c r="U39" s="715">
        <f t="shared" si="11"/>
        <v>100</v>
      </c>
      <c r="V39" s="714" t="s">
        <v>17</v>
      </c>
      <c r="W39" s="715">
        <f t="shared" si="12"/>
        <v>100</v>
      </c>
      <c r="X39" s="1539"/>
      <c r="Y39" s="327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75"/>
      <c r="Q40" s="1536">
        <f t="shared" si="14"/>
        <v>111</v>
      </c>
      <c r="R40" s="717" t="s">
        <v>17</v>
      </c>
      <c r="S40" s="718">
        <f t="shared" si="10"/>
        <v>100</v>
      </c>
      <c r="T40" s="717" t="s">
        <v>17</v>
      </c>
      <c r="U40" s="718">
        <f t="shared" si="11"/>
        <v>100</v>
      </c>
      <c r="V40" s="717" t="s">
        <v>17</v>
      </c>
      <c r="W40" s="718">
        <f t="shared" si="12"/>
        <v>100</v>
      </c>
      <c r="X40" s="719"/>
      <c r="Y40" s="327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270" t="str">
        <f>A41</f>
        <v>成交单价</v>
      </c>
      <c r="Q41" s="3270"/>
      <c r="R41" s="3276">
        <f>E41</f>
        <v>0</v>
      </c>
      <c r="S41" s="3276"/>
      <c r="T41" s="3276">
        <f>G41</f>
        <v>0</v>
      </c>
      <c r="U41" s="3276"/>
      <c r="V41" s="3276">
        <f>I41</f>
        <v>0</v>
      </c>
      <c r="W41" s="3276"/>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270" t="str">
        <f>A42</f>
        <v>比较价值（元/平方米）</v>
      </c>
      <c r="Q42" s="3270"/>
      <c r="R42" s="3263" t="e">
        <f>ROUND(PRODUCT(R41,AA7:AA40),0)</f>
        <v>#DIV/0!</v>
      </c>
      <c r="S42" s="3263"/>
      <c r="T42" s="3263" t="e">
        <f>ROUND(PRODUCT(T41,AB7:AB40),0)</f>
        <v>#DIV/0!</v>
      </c>
      <c r="U42" s="3263"/>
      <c r="V42" s="3263" t="e">
        <f>ROUND(PRODUCT(V41,AC7:AC40),0)</f>
        <v>#DIV/0!</v>
      </c>
      <c r="W42" s="326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264" t="str">
        <f>A43</f>
        <v>估价对象XX用房的比较价值（楼面单价，元/平方米）</v>
      </c>
      <c r="Q43" s="3265"/>
      <c r="R43" s="3266" t="e">
        <f>ROUND(IF(D42="简单平均",AVERAGE(R42:W42),R42*F42+T42*H42+V42*J42),0)</f>
        <v>#DIV/0!</v>
      </c>
      <c r="S43" s="3266"/>
      <c r="T43" s="3266"/>
      <c r="U43" s="3266"/>
      <c r="V43" s="3266"/>
      <c r="W43" s="326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267" t="s">
        <v>2585</v>
      </c>
      <c r="H50" s="3268"/>
      <c r="I50" s="1540" t="s">
        <v>2622</v>
      </c>
      <c r="J50" s="1540">
        <f>项目基本情况!F35</f>
        <v>0</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0</v>
      </c>
      <c r="F51" s="647" t="e">
        <f t="shared" ref="F51:F60" si="15">ROUND(B51*E51/10000,0)</f>
        <v>#DIV/0!</v>
      </c>
      <c r="G51" s="3269"/>
      <c r="H51" s="3270"/>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271"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271"/>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271"/>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271"/>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8236.73</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V4" sqref="V4:W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5"/>
      <c r="B4" s="3366"/>
      <c r="C4" s="3366"/>
      <c r="D4" s="3367"/>
      <c r="E4" s="3367"/>
      <c r="F4" s="3367"/>
      <c r="G4" s="3367"/>
      <c r="H4" s="3367"/>
      <c r="I4" s="3367"/>
      <c r="J4" s="3368"/>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9"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370"/>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2" t="s">
        <v>2661</v>
      </c>
      <c r="X8" s="336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0"/>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4"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0"/>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0"/>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4"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9"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1"/>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364"/>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71"/>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372"/>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369" t="s">
        <v>2704</v>
      </c>
      <c r="B16" s="2209" t="s">
        <v>2705</v>
      </c>
      <c r="C16" s="2371" t="e">
        <f>ROUND(IF(F17="与级别开发程度一致",0,(G17-E17)/C17),0)</f>
        <v>#DIV/0!</v>
      </c>
      <c r="D16" s="3385" t="s">
        <v>2709</v>
      </c>
      <c r="E16" s="3386"/>
      <c r="F16" s="3385" t="s">
        <v>2706</v>
      </c>
      <c r="G16" s="3386"/>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373"/>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44313</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t="e">
        <f>IF(B21="容积率修正",IF(G3&lt;=10,D22,J22),C23)</f>
        <v>#DIV/0!</v>
      </c>
      <c r="D21" s="2265"/>
      <c r="E21" s="2265"/>
      <c r="F21" s="2265"/>
      <c r="G21" s="2265"/>
      <c r="H21" s="2265"/>
      <c r="I21" s="2265"/>
      <c r="J21" s="2266"/>
      <c r="K21" s="1287"/>
      <c r="L21" s="3017"/>
      <c r="M21" s="3017"/>
      <c r="N21" s="2267" t="s">
        <v>2725</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2729</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7"/>
      <c r="M24" s="3017"/>
      <c r="N24" s="2277" t="s">
        <v>2734</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2"/>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7"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3"/>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3"/>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4"/>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4" t="s">
        <v>2792</v>
      </c>
      <c r="B90" s="3374"/>
      <c r="C90" s="3374"/>
      <c r="D90" s="3374"/>
      <c r="E90" s="3374"/>
      <c r="F90" s="3374"/>
      <c r="G90" s="3374"/>
      <c r="H90" s="3374"/>
      <c r="I90" s="3374"/>
      <c r="J90" s="3374"/>
      <c r="K90" s="2343"/>
      <c r="L90" s="2343"/>
      <c r="M90" s="2343"/>
      <c r="N90" s="2343"/>
    </row>
    <row r="91" spans="1:37">
      <c r="A91" s="3376" t="s">
        <v>2793</v>
      </c>
      <c r="B91" s="3376" t="s">
        <v>2794</v>
      </c>
      <c r="C91" s="2297" t="s">
        <v>2795</v>
      </c>
      <c r="D91" s="2298"/>
      <c r="E91" s="2298"/>
      <c r="F91" s="2298"/>
      <c r="G91" s="2298"/>
      <c r="H91" s="2298"/>
      <c r="I91" s="2298"/>
      <c r="J91" s="2344"/>
      <c r="K91" s="2345"/>
      <c r="L91" s="2345"/>
      <c r="M91" s="2345"/>
      <c r="N91" s="2345"/>
    </row>
    <row r="92" spans="1:37">
      <c r="A92" s="3376"/>
      <c r="B92" s="3376"/>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7"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8"/>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7"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378"/>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378"/>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378"/>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378"/>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378"/>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378"/>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378"/>
      <c r="B108" s="3380"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9"/>
      <c r="B109" s="3381"/>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75" t="s">
        <v>2800</v>
      </c>
      <c r="B110" s="3375"/>
      <c r="C110" s="3375"/>
      <c r="D110" s="3375"/>
      <c r="E110" s="3375"/>
      <c r="F110" s="3375"/>
      <c r="G110" s="3375"/>
      <c r="H110" s="3375"/>
      <c r="I110" s="3375"/>
      <c r="J110" s="3375"/>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V4" sqref="V4: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t="e">
        <f ca="1">SUMIF(B6:B13,"&lt;&gt;#ref!",B6:B13)</f>
        <v>#DIV/0!</v>
      </c>
      <c r="C2" s="2361" t="s">
        <v>2816</v>
      </c>
      <c r="D2" s="2361" t="s">
        <v>2817</v>
      </c>
      <c r="E2" s="2836">
        <f ca="1">SUMIF(E6:E13,"&lt;&gt;#ref!",E6:E13)</f>
        <v>0</v>
      </c>
      <c r="F2" s="3022"/>
      <c r="G2" s="3022"/>
      <c r="H2" s="3022"/>
      <c r="I2" s="3022"/>
      <c r="J2" s="3022"/>
      <c r="K2" s="3022"/>
      <c r="L2" s="3022"/>
      <c r="M2" s="3022"/>
      <c r="N2" s="3022"/>
      <c r="O2" s="3022"/>
      <c r="P2" s="3022"/>
    </row>
    <row r="3" spans="1:16" ht="15.75">
      <c r="A3" s="2361" t="s">
        <v>2818</v>
      </c>
      <c r="B3" s="2826" t="e">
        <f ca="1">ROUND(B2*10000/E2,0)</f>
        <v>#DIV/0!</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61"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8"/>
      <c r="B4" s="3075" t="s">
        <v>1595</v>
      </c>
      <c r="C4" s="3075"/>
      <c r="D4" s="3075"/>
      <c r="E4" s="1678"/>
    </row>
    <row r="5" spans="1:5" ht="16.5" thickTop="1">
      <c r="A5" s="1676"/>
      <c r="B5" s="3073" t="s">
        <v>1587</v>
      </c>
      <c r="C5" s="1679" t="s">
        <v>1588</v>
      </c>
      <c r="D5" s="959">
        <f ca="1">结果表!H101</f>
        <v>1615</v>
      </c>
      <c r="E5" s="1676"/>
    </row>
    <row r="6" spans="1:5" ht="15.75">
      <c r="A6" s="1676"/>
      <c r="B6" s="3073"/>
      <c r="C6" s="1679" t="s">
        <v>1589</v>
      </c>
      <c r="D6" s="959" t="str">
        <f ca="1">NUMBERSTRING(INT(D5*10000),2)&amp;"元整"</f>
        <v>壹仟陆佰壹拾伍万元整</v>
      </c>
      <c r="E6" s="1676"/>
    </row>
    <row r="7" spans="1:5" ht="15.75">
      <c r="A7" s="1676"/>
      <c r="B7" s="3078"/>
      <c r="C7" s="1680" t="s">
        <v>1590</v>
      </c>
      <c r="D7" s="960">
        <f ca="1">结果表!H102</f>
        <v>1961</v>
      </c>
      <c r="E7" s="1676"/>
    </row>
    <row r="8" spans="1:5" ht="15.75">
      <c r="A8" s="1676"/>
      <c r="B8" s="3079" t="str">
        <f>结果表!E103</f>
        <v>2.估价师知悉的法定优先受偿款</v>
      </c>
      <c r="C8" s="1681" t="s">
        <v>1591</v>
      </c>
      <c r="D8" s="960">
        <f>结果表!H103</f>
        <v>0</v>
      </c>
      <c r="E8" s="1676"/>
    </row>
    <row r="9" spans="1:5" ht="15.75">
      <c r="A9" s="1676"/>
      <c r="B9" s="308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2" t="str">
        <f>结果表!E107</f>
        <v>3.房地产抵押价值</v>
      </c>
      <c r="C13" s="1684" t="s">
        <v>1588</v>
      </c>
      <c r="D13" s="962">
        <f ca="1">结果表!H107</f>
        <v>1615</v>
      </c>
      <c r="E13" s="1676"/>
    </row>
    <row r="14" spans="1:5" ht="15.75">
      <c r="A14" s="1676"/>
      <c r="B14" s="3073"/>
      <c r="C14" s="1679" t="s">
        <v>1589</v>
      </c>
      <c r="D14" s="959" t="str">
        <f ca="1">NUMBERSTRING(INT(D13*10000),2)&amp;"元整"</f>
        <v>壹仟陆佰壹拾伍万元整</v>
      </c>
      <c r="E14" s="1676"/>
    </row>
    <row r="15" spans="1:5" ht="15">
      <c r="A15" s="1676"/>
      <c r="B15" s="3078"/>
      <c r="C15" s="1680" t="s">
        <v>1599</v>
      </c>
      <c r="D15" s="968">
        <f ca="1">结果表!H108</f>
        <v>1961</v>
      </c>
      <c r="E15" s="1676"/>
    </row>
    <row r="16" spans="1:5" ht="15">
      <c r="A16" s="1676"/>
      <c r="B16" s="3079" t="str">
        <f>结果表!E109</f>
        <v>——</v>
      </c>
      <c r="C16" s="1684" t="s">
        <v>1600</v>
      </c>
      <c r="D16" s="1685" t="str">
        <f>结果表!H109</f>
        <v>——</v>
      </c>
      <c r="E16" s="1676"/>
    </row>
    <row r="17" spans="1:5" ht="15.75">
      <c r="A17" s="1676"/>
      <c r="B17" s="3080"/>
      <c r="C17" s="1679" t="s">
        <v>1601</v>
      </c>
      <c r="D17" s="959" t="e">
        <f>NUMBERSTRING(INT(D16*10000),2)&amp;"元整"</f>
        <v>#VALUE!</v>
      </c>
      <c r="E17" s="1676"/>
    </row>
    <row r="18" spans="1:5" ht="15">
      <c r="A18" s="1676"/>
      <c r="B18" s="3081"/>
      <c r="C18" s="1680" t="s">
        <v>1590</v>
      </c>
      <c r="D18" s="968" t="str">
        <f>结果表!H110</f>
        <v>——</v>
      </c>
      <c r="E18" s="1676"/>
    </row>
    <row r="19" spans="1:5" ht="15.75">
      <c r="A19" s="1676"/>
      <c r="B19" s="3072" t="str">
        <f>结果表!E111</f>
        <v>——</v>
      </c>
      <c r="C19" s="1684" t="s">
        <v>1588</v>
      </c>
      <c r="D19" s="960" t="str">
        <f>结果表!H111</f>
        <v>——</v>
      </c>
      <c r="E19" s="1676"/>
    </row>
    <row r="20" spans="1:5" ht="15.75">
      <c r="A20" s="1676"/>
      <c r="B20" s="3073"/>
      <c r="C20" s="1679" t="s">
        <v>1601</v>
      </c>
      <c r="D20" s="959" t="e">
        <f>NUMBERSTRING(INT(D19*10000),2)&amp;"元整"</f>
        <v>#VALUE!</v>
      </c>
      <c r="E20" s="1676"/>
    </row>
    <row r="21" spans="1:5" ht="15.75" thickBot="1">
      <c r="A21" s="1676"/>
      <c r="B21" s="307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7"/>
  <sheetViews>
    <sheetView zoomScale="80" zoomScaleNormal="80" workbookViewId="0">
      <selection activeCell="V4" sqref="V4: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4" t="s">
        <v>1117</v>
      </c>
      <c r="C1" s="3394"/>
      <c r="D1" s="3394"/>
      <c r="E1" s="3394"/>
      <c r="F1" s="3394"/>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90">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90"/>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90"/>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9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90"/>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90"/>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9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90"/>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90"/>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91"/>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9">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90"/>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90"/>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91"/>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9">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90"/>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90"/>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91"/>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9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9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9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9">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90"/>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90"/>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91"/>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9">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90">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90">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91">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9">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90">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90">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91">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9">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90">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90">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91">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9">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90">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90">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91">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9">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90">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90">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91">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9">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90">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90">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91">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9">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90">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90">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91">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9">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90">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90">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91">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9">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90">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90">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91">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9">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90">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90">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91">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383" activePane="bottomLeft" state="frozen"/>
      <selection activeCell="C50" sqref="C50"/>
      <selection pane="bottomLeft" activeCell="I527" sqref="I52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403" t="s">
        <v>2826</v>
      </c>
      <c r="D1" s="3404"/>
      <c r="E1" s="3404"/>
      <c r="F1" s="3404"/>
      <c r="G1" s="3404"/>
      <c r="H1" s="3404"/>
      <c r="I1" s="3404"/>
      <c r="J1" s="3404"/>
      <c r="K1" s="3404"/>
      <c r="L1" s="3404"/>
      <c r="M1" s="3404"/>
      <c r="N1" s="3404"/>
      <c r="O1" s="3404"/>
      <c r="P1" s="3404"/>
      <c r="Q1" s="3404"/>
      <c r="R1" s="3404"/>
      <c r="S1" s="3405"/>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28313</v>
      </c>
      <c r="C2" s="2" t="s">
        <v>133</v>
      </c>
      <c r="D2" s="205"/>
      <c r="E2" s="205"/>
      <c r="F2" s="205"/>
      <c r="G2" s="205"/>
    </row>
    <row r="3" spans="1:7" s="206" customFormat="1" ht="18" customHeight="1" thickBot="1">
      <c r="A3" s="209" t="s">
        <v>85</v>
      </c>
      <c r="B3" s="210">
        <f ca="1">ROUND(B2*10000/'数据-汇总表'!E3,0)</f>
        <v>34374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140</v>
      </c>
      <c r="F9" s="227"/>
      <c r="G9" s="232"/>
    </row>
    <row r="10" spans="1:7" s="220" customFormat="1" ht="13.5" customHeight="1">
      <c r="A10" s="887" t="s">
        <v>801</v>
      </c>
      <c r="B10" s="230" t="s">
        <v>94</v>
      </c>
      <c r="C10" s="231">
        <f>ROUND(D10*E10/10000,0)</f>
        <v>115</v>
      </c>
      <c r="D10" s="954">
        <f>'数据-汇总表'!E6</f>
        <v>8236.73</v>
      </c>
      <c r="E10" s="231">
        <f>'数据-取费表'!B28</f>
        <v>140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165</v>
      </c>
      <c r="D19" s="958">
        <f>'数据-汇总表'!E3</f>
        <v>8236.73</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1865</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15</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1060</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26078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2317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2059</v>
      </c>
      <c r="D34" s="223"/>
      <c r="E34" s="226"/>
      <c r="F34" s="263">
        <f>IF('数据-取费表'!B24=0,1,'数据-取费表'!N16)</f>
        <v>1</v>
      </c>
      <c r="G34" s="225" t="s">
        <v>116</v>
      </c>
    </row>
    <row r="35" spans="1:7" ht="13.5" customHeight="1">
      <c r="A35" s="888" t="s">
        <v>796</v>
      </c>
      <c r="B35" s="221" t="s">
        <v>60</v>
      </c>
      <c r="C35" s="226">
        <f>ROUND(C34*F35,0)</f>
        <v>62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165</v>
      </c>
      <c r="D37" s="223">
        <f>'数据-汇总表'!E3</f>
        <v>8236.73</v>
      </c>
      <c r="E37" s="255">
        <f>'数据-取费表'!B35</f>
        <v>200</v>
      </c>
      <c r="F37" s="265"/>
      <c r="G37" s="267" t="s">
        <v>119</v>
      </c>
    </row>
    <row r="38" spans="1:7" ht="13.5" customHeight="1">
      <c r="A38" s="888" t="s">
        <v>799</v>
      </c>
      <c r="B38" s="221" t="s">
        <v>63</v>
      </c>
      <c r="C38" s="226">
        <f>ROUND(C34*F38,0)</f>
        <v>31</v>
      </c>
      <c r="D38" s="226"/>
      <c r="E38" s="226"/>
      <c r="F38" s="265">
        <f>'数据-取费表'!B36</f>
        <v>1.4999999999999999E-2</v>
      </c>
      <c r="G38" s="225" t="s">
        <v>117</v>
      </c>
    </row>
    <row r="39" spans="1:7" s="220" customFormat="1" ht="13.5" customHeight="1">
      <c r="A39" s="885" t="s">
        <v>783</v>
      </c>
      <c r="B39" s="216" t="s">
        <v>104</v>
      </c>
      <c r="C39" s="238">
        <f>ROUND(C33*F20,0)</f>
        <v>46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103</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101</v>
      </c>
      <c r="D42" s="244"/>
      <c r="E42" s="244"/>
      <c r="F42" s="245"/>
      <c r="G42" s="3260" t="s">
        <v>121</v>
      </c>
    </row>
    <row r="43" spans="1:7" ht="13.5" customHeight="1">
      <c r="A43" s="888" t="s">
        <v>792</v>
      </c>
      <c r="B43" s="221" t="s">
        <v>1032</v>
      </c>
      <c r="C43" s="244">
        <f ca="1">ROUND(IF('数据-取费表'!B22&lt;=1,C39*F22*'数据-取费表'!B21/2,C39*(POWER((1+F22),'数据-取费表'!B21/2)-1)),0)</f>
        <v>2</v>
      </c>
      <c r="D43" s="244"/>
      <c r="E43" s="244"/>
      <c r="F43" s="245"/>
      <c r="G43" s="3261"/>
    </row>
    <row r="44" spans="1:7" ht="13.5" customHeight="1">
      <c r="A44" s="888" t="s">
        <v>793</v>
      </c>
      <c r="B44" s="221" t="s">
        <v>1034</v>
      </c>
      <c r="C44" s="244">
        <f ca="1">ROUND(IF('数据-取费表'!B22&lt;=1,C40*F22*'数据-取费表'!B21/2,C40*(POWER((1+F22),'数据-取费表'!B21/2)-1)),4)</f>
        <v>8.9999999999999998E-4</v>
      </c>
      <c r="D44" s="244"/>
      <c r="E44" s="244"/>
      <c r="F44" s="245"/>
      <c r="G44" s="3262"/>
    </row>
    <row r="45" spans="1:7" s="220" customFormat="1" ht="13.5" customHeight="1">
      <c r="A45" s="885" t="s">
        <v>786</v>
      </c>
      <c r="B45" s="250" t="s">
        <v>112</v>
      </c>
      <c r="C45" s="251">
        <f>C46</f>
        <v>118</v>
      </c>
      <c r="D45" s="241">
        <f>C47</f>
        <v>1E-3</v>
      </c>
      <c r="E45" s="242" t="s">
        <v>129</v>
      </c>
      <c r="F45" s="252"/>
      <c r="G45" s="253" t="s">
        <v>1040</v>
      </c>
    </row>
    <row r="46" spans="1:7" s="220" customFormat="1" ht="13.5" customHeight="1">
      <c r="A46" s="888" t="s">
        <v>794</v>
      </c>
      <c r="B46" s="254" t="s">
        <v>1033</v>
      </c>
      <c r="C46" s="255">
        <f>ROUND((C33+C39)*F27,0)</f>
        <v>118</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2794</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2235</v>
      </c>
      <c r="D51" s="238"/>
      <c r="E51" s="238"/>
      <c r="F51" s="270"/>
      <c r="G51" s="240" t="s">
        <v>64</v>
      </c>
    </row>
    <row r="52" spans="1:7" s="214" customFormat="1" ht="16.5" thickBot="1">
      <c r="A52" s="271" t="s">
        <v>65</v>
      </c>
      <c r="B52" s="272"/>
      <c r="C52" s="273">
        <f ca="1">C31+C51</f>
        <v>28313</v>
      </c>
      <c r="D52" s="272"/>
      <c r="E52" s="272"/>
      <c r="F52" s="272"/>
      <c r="G52" s="274"/>
    </row>
    <row r="55" spans="1:7" ht="15">
      <c r="B55" s="276" t="s">
        <v>66</v>
      </c>
      <c r="C55" s="277"/>
    </row>
    <row r="56" spans="1:7">
      <c r="B56" s="279" t="s">
        <v>67</v>
      </c>
      <c r="C56" s="280">
        <f ca="1">ROUND(C51/C52,3)</f>
        <v>7.9000000000000001E-2</v>
      </c>
    </row>
    <row r="57" spans="1:7">
      <c r="B57" s="279" t="s">
        <v>68</v>
      </c>
      <c r="C57" s="281">
        <f ca="1">1-C56</f>
        <v>0.92100000000000004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44313</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3061</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205"/>
  <sheetViews>
    <sheetView topLeftCell="A182" workbookViewId="0">
      <selection activeCell="D185" sqref="D185"/>
    </sheetView>
  </sheetViews>
  <sheetFormatPr defaultRowHeight="13.5"/>
  <sheetData>
    <row r="1" spans="1:3">
      <c r="A1" s="3058" t="s">
        <v>3064</v>
      </c>
      <c r="B1" s="3058" t="s">
        <v>3065</v>
      </c>
      <c r="C1" s="3058" t="s">
        <v>3066</v>
      </c>
    </row>
    <row r="2" spans="1:3">
      <c r="A2">
        <v>1</v>
      </c>
      <c r="C2">
        <v>39.869999999999997</v>
      </c>
    </row>
    <row r="3" spans="1:3">
      <c r="A3">
        <v>2</v>
      </c>
      <c r="C3">
        <v>43.33</v>
      </c>
    </row>
    <row r="4" spans="1:3">
      <c r="A4">
        <v>3</v>
      </c>
      <c r="C4">
        <v>88.4</v>
      </c>
    </row>
    <row r="5" spans="1:3">
      <c r="A5">
        <v>4</v>
      </c>
      <c r="C5">
        <v>40.39</v>
      </c>
    </row>
    <row r="6" spans="1:3">
      <c r="A6">
        <v>5</v>
      </c>
      <c r="C6">
        <v>41.54</v>
      </c>
    </row>
    <row r="7" spans="1:3">
      <c r="A7">
        <v>6</v>
      </c>
      <c r="C7">
        <v>86.67</v>
      </c>
    </row>
    <row r="8" spans="1:3">
      <c r="A8">
        <v>7</v>
      </c>
      <c r="C8">
        <v>27.73</v>
      </c>
    </row>
    <row r="9" spans="1:3">
      <c r="A9">
        <v>8</v>
      </c>
      <c r="C9">
        <v>25.93</v>
      </c>
    </row>
    <row r="10" spans="1:3">
      <c r="A10">
        <v>9</v>
      </c>
      <c r="C10">
        <v>25.65</v>
      </c>
    </row>
    <row r="11" spans="1:3">
      <c r="A11">
        <v>10</v>
      </c>
      <c r="C11">
        <v>43.33</v>
      </c>
    </row>
    <row r="12" spans="1:3">
      <c r="A12">
        <v>11</v>
      </c>
      <c r="C12">
        <v>41.77</v>
      </c>
    </row>
    <row r="13" spans="1:3">
      <c r="A13">
        <v>12</v>
      </c>
      <c r="C13">
        <v>42.29</v>
      </c>
    </row>
    <row r="14" spans="1:3">
      <c r="A14">
        <v>13</v>
      </c>
      <c r="C14">
        <v>28.29</v>
      </c>
    </row>
    <row r="15" spans="1:3">
      <c r="A15">
        <v>14</v>
      </c>
      <c r="C15">
        <v>44.37</v>
      </c>
    </row>
    <row r="16" spans="1:3">
      <c r="A16">
        <v>15</v>
      </c>
      <c r="C16">
        <v>40.56</v>
      </c>
    </row>
    <row r="17" spans="1:3">
      <c r="A17">
        <v>16</v>
      </c>
      <c r="C17">
        <v>41.6</v>
      </c>
    </row>
    <row r="18" spans="1:3">
      <c r="A18">
        <v>17</v>
      </c>
      <c r="C18">
        <v>41.6</v>
      </c>
    </row>
    <row r="19" spans="1:3">
      <c r="A19">
        <v>18</v>
      </c>
      <c r="C19">
        <v>41.6</v>
      </c>
    </row>
    <row r="20" spans="1:3">
      <c r="A20">
        <v>19</v>
      </c>
      <c r="C20">
        <v>29.28</v>
      </c>
    </row>
    <row r="21" spans="1:3">
      <c r="A21">
        <v>20</v>
      </c>
      <c r="C21">
        <v>38.65</v>
      </c>
    </row>
    <row r="22" spans="1:3">
      <c r="A22">
        <v>21</v>
      </c>
      <c r="C22">
        <v>48.88</v>
      </c>
    </row>
    <row r="23" spans="1:3">
      <c r="A23">
        <v>22</v>
      </c>
      <c r="C23">
        <v>31.89</v>
      </c>
    </row>
    <row r="24" spans="1:3">
      <c r="A24">
        <v>23</v>
      </c>
      <c r="C24">
        <v>44.72</v>
      </c>
    </row>
    <row r="25" spans="1:3">
      <c r="A25">
        <v>24</v>
      </c>
      <c r="C25">
        <v>25.79</v>
      </c>
    </row>
    <row r="26" spans="1:3">
      <c r="A26">
        <v>25</v>
      </c>
      <c r="C26" s="3058">
        <v>27.45</v>
      </c>
    </row>
    <row r="27" spans="1:3">
      <c r="A27">
        <v>26</v>
      </c>
      <c r="C27" s="3058">
        <v>28.12</v>
      </c>
    </row>
    <row r="28" spans="1:3">
      <c r="A28">
        <v>27</v>
      </c>
      <c r="C28" s="3058">
        <v>42.47</v>
      </c>
    </row>
    <row r="29" spans="1:3">
      <c r="A29">
        <v>28</v>
      </c>
      <c r="C29" s="3058">
        <v>90.13</v>
      </c>
    </row>
    <row r="30" spans="1:3">
      <c r="A30">
        <v>29</v>
      </c>
      <c r="C30" s="3058">
        <v>44.37</v>
      </c>
    </row>
    <row r="31" spans="1:3">
      <c r="A31">
        <v>30</v>
      </c>
      <c r="C31" s="3058">
        <v>24.96</v>
      </c>
    </row>
    <row r="32" spans="1:3">
      <c r="A32">
        <v>31</v>
      </c>
      <c r="C32" s="3058">
        <v>29.95</v>
      </c>
    </row>
    <row r="33" spans="1:3">
      <c r="A33">
        <v>32</v>
      </c>
      <c r="C33" s="3058">
        <v>45.07</v>
      </c>
    </row>
    <row r="34" spans="1:3">
      <c r="A34">
        <v>33</v>
      </c>
      <c r="C34" s="3058">
        <v>40.729999999999997</v>
      </c>
    </row>
    <row r="35" spans="1:3">
      <c r="A35">
        <v>34</v>
      </c>
      <c r="C35" s="3058">
        <v>25.93</v>
      </c>
    </row>
    <row r="36" spans="1:3">
      <c r="A36">
        <v>35</v>
      </c>
      <c r="C36" s="3058">
        <v>42.47</v>
      </c>
    </row>
    <row r="37" spans="1:3">
      <c r="A37">
        <v>36</v>
      </c>
      <c r="C37" s="3058">
        <v>46.8</v>
      </c>
    </row>
    <row r="38" spans="1:3">
      <c r="A38">
        <v>37</v>
      </c>
      <c r="C38" s="3058">
        <v>56.85</v>
      </c>
    </row>
    <row r="39" spans="1:3">
      <c r="A39">
        <v>38</v>
      </c>
      <c r="C39" s="3058">
        <v>38.65</v>
      </c>
    </row>
    <row r="40" spans="1:3">
      <c r="A40">
        <v>39</v>
      </c>
      <c r="C40" s="3058">
        <v>38.130000000000003</v>
      </c>
    </row>
    <row r="41" spans="1:3">
      <c r="A41">
        <v>40</v>
      </c>
      <c r="C41" s="3058">
        <v>41.6</v>
      </c>
    </row>
    <row r="42" spans="1:3">
      <c r="A42">
        <v>41</v>
      </c>
      <c r="C42" s="3058">
        <v>41.6</v>
      </c>
    </row>
    <row r="43" spans="1:3">
      <c r="A43">
        <v>42</v>
      </c>
      <c r="C43" s="3058">
        <v>51.13</v>
      </c>
    </row>
    <row r="44" spans="1:3">
      <c r="A44">
        <v>43</v>
      </c>
      <c r="C44" s="3058">
        <v>29.54</v>
      </c>
    </row>
    <row r="45" spans="1:3">
      <c r="A45">
        <v>44</v>
      </c>
      <c r="C45" s="3058">
        <v>57.41</v>
      </c>
    </row>
    <row r="46" spans="1:3">
      <c r="A46">
        <v>45</v>
      </c>
      <c r="C46" s="3058">
        <v>45.93</v>
      </c>
    </row>
    <row r="47" spans="1:3">
      <c r="A47">
        <v>46</v>
      </c>
      <c r="C47" s="3058">
        <v>42.47</v>
      </c>
    </row>
    <row r="48" spans="1:3">
      <c r="A48">
        <v>47</v>
      </c>
      <c r="C48" s="3058">
        <v>26.76</v>
      </c>
    </row>
    <row r="49" spans="1:3">
      <c r="A49">
        <v>48</v>
      </c>
      <c r="C49" s="3058">
        <v>93.6</v>
      </c>
    </row>
    <row r="50" spans="1:3">
      <c r="A50">
        <v>49</v>
      </c>
      <c r="C50" s="3058">
        <v>29.4</v>
      </c>
    </row>
    <row r="51" spans="1:3">
      <c r="A51">
        <v>50</v>
      </c>
      <c r="C51" s="3058">
        <v>27.73</v>
      </c>
    </row>
    <row r="52" spans="1:3">
      <c r="A52">
        <v>51</v>
      </c>
      <c r="C52" s="3058">
        <v>55.47</v>
      </c>
    </row>
    <row r="53" spans="1:3">
      <c r="A53">
        <v>52</v>
      </c>
      <c r="C53" s="3058">
        <v>83.89</v>
      </c>
    </row>
    <row r="54" spans="1:3">
      <c r="A54">
        <v>53</v>
      </c>
      <c r="C54" s="3058">
        <v>44.72</v>
      </c>
    </row>
    <row r="55" spans="1:3">
      <c r="A55">
        <v>54</v>
      </c>
      <c r="C55" s="3058">
        <v>45.76</v>
      </c>
    </row>
    <row r="56" spans="1:3">
      <c r="A56">
        <v>55</v>
      </c>
      <c r="C56" s="3058">
        <v>29.12</v>
      </c>
    </row>
    <row r="57" spans="1:3">
      <c r="A57">
        <v>56</v>
      </c>
      <c r="C57" s="3058">
        <v>29.81</v>
      </c>
    </row>
    <row r="58" spans="1:3">
      <c r="A58">
        <v>57</v>
      </c>
      <c r="C58" s="3058">
        <v>24.96</v>
      </c>
    </row>
    <row r="59" spans="1:3">
      <c r="A59">
        <v>58</v>
      </c>
      <c r="C59" s="3058">
        <v>45.07</v>
      </c>
    </row>
    <row r="60" spans="1:3">
      <c r="A60">
        <v>59</v>
      </c>
      <c r="C60" s="3058">
        <v>40.770000000000003</v>
      </c>
    </row>
    <row r="61" spans="1:3">
      <c r="A61">
        <v>60</v>
      </c>
      <c r="C61" s="3058">
        <v>29.81</v>
      </c>
    </row>
    <row r="62" spans="1:3">
      <c r="A62">
        <v>61</v>
      </c>
      <c r="C62" s="3058">
        <v>29.57</v>
      </c>
    </row>
    <row r="63" spans="1:3">
      <c r="A63">
        <v>62</v>
      </c>
      <c r="C63" s="3058">
        <v>55.47</v>
      </c>
    </row>
    <row r="64" spans="1:3">
      <c r="A64">
        <v>63</v>
      </c>
      <c r="C64" s="3058">
        <v>30.51</v>
      </c>
    </row>
    <row r="65" spans="1:3">
      <c r="A65">
        <v>64</v>
      </c>
      <c r="C65" s="3058">
        <v>41.25</v>
      </c>
    </row>
    <row r="66" spans="1:3">
      <c r="A66">
        <v>65</v>
      </c>
      <c r="C66" s="3058">
        <v>41.6</v>
      </c>
    </row>
    <row r="67" spans="1:3">
      <c r="A67">
        <v>66</v>
      </c>
      <c r="C67" s="3058">
        <v>41.6</v>
      </c>
    </row>
    <row r="68" spans="1:3">
      <c r="A68">
        <v>67</v>
      </c>
      <c r="C68" s="3058">
        <v>42.64</v>
      </c>
    </row>
    <row r="69" spans="1:3">
      <c r="A69">
        <v>68</v>
      </c>
      <c r="C69" s="3058">
        <v>32.75</v>
      </c>
    </row>
    <row r="70" spans="1:3">
      <c r="A70">
        <v>69</v>
      </c>
      <c r="C70" s="3058">
        <v>26.5</v>
      </c>
    </row>
    <row r="71" spans="1:3">
      <c r="A71">
        <v>70</v>
      </c>
      <c r="C71" s="3058">
        <v>26.5</v>
      </c>
    </row>
    <row r="72" spans="1:3">
      <c r="A72">
        <v>71</v>
      </c>
      <c r="C72" s="3058">
        <v>29.81</v>
      </c>
    </row>
    <row r="73" spans="1:3">
      <c r="A73">
        <v>72</v>
      </c>
      <c r="C73" s="3058">
        <v>28.84</v>
      </c>
    </row>
    <row r="74" spans="1:3">
      <c r="A74">
        <v>73</v>
      </c>
      <c r="C74" s="3058">
        <v>28.43</v>
      </c>
    </row>
    <row r="75" spans="1:3">
      <c r="A75">
        <v>74</v>
      </c>
      <c r="C75" s="3058">
        <v>27.73</v>
      </c>
    </row>
    <row r="76" spans="1:3">
      <c r="A76">
        <v>75</v>
      </c>
      <c r="C76" s="3058">
        <v>45.76</v>
      </c>
    </row>
    <row r="77" spans="1:3">
      <c r="A77">
        <v>76</v>
      </c>
      <c r="C77" s="3058">
        <v>43.33</v>
      </c>
    </row>
    <row r="78" spans="1:3">
      <c r="A78">
        <v>77</v>
      </c>
      <c r="C78" s="3058">
        <v>24.96</v>
      </c>
    </row>
    <row r="79" spans="1:3">
      <c r="A79">
        <v>78</v>
      </c>
      <c r="C79" s="3058">
        <v>42.47</v>
      </c>
    </row>
    <row r="80" spans="1:3">
      <c r="A80">
        <v>79</v>
      </c>
      <c r="C80" s="3058">
        <v>46.8</v>
      </c>
    </row>
    <row r="81" spans="1:3">
      <c r="A81">
        <v>80</v>
      </c>
      <c r="C81" s="3058">
        <v>39.869999999999997</v>
      </c>
    </row>
    <row r="82" spans="1:3">
      <c r="A82">
        <v>81</v>
      </c>
      <c r="C82" s="3058">
        <v>46.8</v>
      </c>
    </row>
    <row r="83" spans="1:3">
      <c r="A83">
        <v>82</v>
      </c>
      <c r="C83" s="3058">
        <v>39.869999999999997</v>
      </c>
    </row>
    <row r="84" spans="1:3">
      <c r="A84">
        <v>83</v>
      </c>
      <c r="C84" s="3058">
        <v>41.6</v>
      </c>
    </row>
    <row r="85" spans="1:3">
      <c r="A85">
        <v>84</v>
      </c>
      <c r="C85" s="3058">
        <v>41.6</v>
      </c>
    </row>
    <row r="86" spans="1:3">
      <c r="A86">
        <v>85</v>
      </c>
      <c r="C86" s="3058">
        <v>41.6</v>
      </c>
    </row>
    <row r="87" spans="1:3">
      <c r="A87">
        <v>86</v>
      </c>
      <c r="C87" s="3058">
        <v>38.130000000000003</v>
      </c>
    </row>
    <row r="88" spans="1:3">
      <c r="A88">
        <v>87</v>
      </c>
      <c r="C88" s="3058">
        <v>38.479999999999997</v>
      </c>
    </row>
    <row r="89" spans="1:3">
      <c r="A89">
        <v>88</v>
      </c>
      <c r="C89" s="3058">
        <v>29.81</v>
      </c>
    </row>
    <row r="90" spans="1:3">
      <c r="A90">
        <v>89</v>
      </c>
      <c r="C90" s="3058">
        <v>49.84</v>
      </c>
    </row>
    <row r="91" spans="1:3">
      <c r="A91">
        <v>90</v>
      </c>
      <c r="C91" s="3058">
        <v>44.2</v>
      </c>
    </row>
    <row r="92" spans="1:3">
      <c r="A92">
        <v>91</v>
      </c>
      <c r="C92" s="3058">
        <v>84.07</v>
      </c>
    </row>
    <row r="93" spans="1:3">
      <c r="A93">
        <v>92</v>
      </c>
      <c r="C93" s="3058">
        <v>41.26</v>
      </c>
    </row>
    <row r="94" spans="1:3">
      <c r="A94">
        <v>93</v>
      </c>
      <c r="C94" s="3058">
        <v>79.7</v>
      </c>
    </row>
    <row r="95" spans="1:3">
      <c r="A95">
        <v>94</v>
      </c>
      <c r="C95" s="3058">
        <v>42.99</v>
      </c>
    </row>
    <row r="96" spans="1:3">
      <c r="A96">
        <v>95</v>
      </c>
      <c r="C96" s="3058">
        <v>26.35</v>
      </c>
    </row>
    <row r="97" spans="1:3">
      <c r="A97">
        <v>96</v>
      </c>
      <c r="C97" s="3058">
        <v>29.81</v>
      </c>
    </row>
    <row r="98" spans="1:3">
      <c r="A98">
        <v>97</v>
      </c>
      <c r="C98" s="3058">
        <v>43.33</v>
      </c>
    </row>
    <row r="99" spans="1:3">
      <c r="A99">
        <v>98</v>
      </c>
      <c r="C99" s="3058">
        <v>45.41</v>
      </c>
    </row>
    <row r="100" spans="1:3">
      <c r="A100">
        <v>99</v>
      </c>
      <c r="C100" s="3058">
        <v>39.85</v>
      </c>
    </row>
    <row r="101" spans="1:3">
      <c r="A101">
        <v>100</v>
      </c>
      <c r="C101" s="3058">
        <v>31.89</v>
      </c>
    </row>
    <row r="102" spans="1:3">
      <c r="A102">
        <v>101</v>
      </c>
      <c r="C102" s="3058">
        <v>45.93</v>
      </c>
    </row>
    <row r="103" spans="1:3">
      <c r="A103">
        <v>102</v>
      </c>
      <c r="C103" s="3058">
        <v>38.479999999999997</v>
      </c>
    </row>
    <row r="104" spans="1:3">
      <c r="A104">
        <v>103</v>
      </c>
      <c r="C104" s="3058">
        <v>26.9</v>
      </c>
    </row>
    <row r="105" spans="1:3">
      <c r="A105">
        <v>104</v>
      </c>
      <c r="C105" s="3058">
        <v>49.57</v>
      </c>
    </row>
    <row r="106" spans="1:3">
      <c r="A106">
        <v>105</v>
      </c>
      <c r="C106" s="3058">
        <v>26.69</v>
      </c>
    </row>
    <row r="107" spans="1:3">
      <c r="A107">
        <v>106</v>
      </c>
      <c r="C107" s="3058">
        <v>41.6</v>
      </c>
    </row>
    <row r="108" spans="1:3">
      <c r="A108">
        <v>107</v>
      </c>
      <c r="C108" s="3058">
        <v>32.75</v>
      </c>
    </row>
    <row r="109" spans="1:3">
      <c r="A109">
        <v>108</v>
      </c>
      <c r="C109" s="3058">
        <v>27.73</v>
      </c>
    </row>
    <row r="110" spans="1:3">
      <c r="A110">
        <v>109</v>
      </c>
      <c r="C110" s="3058">
        <v>40.93</v>
      </c>
    </row>
    <row r="111" spans="1:3">
      <c r="A111">
        <v>110</v>
      </c>
      <c r="C111" s="3058">
        <v>30.23</v>
      </c>
    </row>
    <row r="112" spans="1:3">
      <c r="A112">
        <v>111</v>
      </c>
      <c r="C112" s="3058">
        <v>30.96</v>
      </c>
    </row>
    <row r="113" spans="1:3">
      <c r="A113">
        <v>112</v>
      </c>
      <c r="C113" s="3058">
        <v>41.25</v>
      </c>
    </row>
    <row r="114" spans="1:3">
      <c r="A114">
        <v>113</v>
      </c>
      <c r="C114" s="3058">
        <v>27.46</v>
      </c>
    </row>
    <row r="115" spans="1:3">
      <c r="A115">
        <v>114</v>
      </c>
      <c r="C115" s="3058">
        <v>28.84</v>
      </c>
    </row>
    <row r="116" spans="1:3">
      <c r="A116">
        <v>115</v>
      </c>
      <c r="C116" s="3058">
        <v>25.65</v>
      </c>
    </row>
    <row r="117" spans="1:3">
      <c r="A117">
        <v>116</v>
      </c>
      <c r="C117" s="3058">
        <v>43.33</v>
      </c>
    </row>
    <row r="118" spans="1:3">
      <c r="A118">
        <v>117</v>
      </c>
      <c r="C118" s="3058">
        <v>24.96</v>
      </c>
    </row>
    <row r="119" spans="1:3">
      <c r="A119">
        <v>118</v>
      </c>
      <c r="C119" s="3058">
        <v>46.8</v>
      </c>
    </row>
    <row r="120" spans="1:3">
      <c r="A120">
        <v>119</v>
      </c>
      <c r="C120" s="3058">
        <v>46.8</v>
      </c>
    </row>
    <row r="121" spans="1:3">
      <c r="A121">
        <v>120</v>
      </c>
      <c r="C121" s="3058">
        <v>40.729999999999997</v>
      </c>
    </row>
    <row r="122" spans="1:3">
      <c r="A122">
        <v>121</v>
      </c>
      <c r="C122" s="3058">
        <v>40.35</v>
      </c>
    </row>
    <row r="123" spans="1:3">
      <c r="A123">
        <v>122</v>
      </c>
      <c r="C123" s="3058">
        <v>24.96</v>
      </c>
    </row>
    <row r="124" spans="1:3">
      <c r="A124">
        <v>123</v>
      </c>
      <c r="C124" s="3058">
        <v>47.32</v>
      </c>
    </row>
    <row r="125" spans="1:3">
      <c r="A125">
        <v>124</v>
      </c>
      <c r="C125" s="3058">
        <v>39.869999999999997</v>
      </c>
    </row>
    <row r="126" spans="1:3">
      <c r="A126">
        <v>125</v>
      </c>
      <c r="C126" s="3058">
        <v>29.28</v>
      </c>
    </row>
    <row r="127" spans="1:3">
      <c r="A127">
        <v>126</v>
      </c>
      <c r="C127" s="3058">
        <v>29.57</v>
      </c>
    </row>
    <row r="128" spans="1:3">
      <c r="A128">
        <v>127</v>
      </c>
      <c r="C128" s="3058">
        <v>27.73</v>
      </c>
    </row>
    <row r="129" spans="1:3">
      <c r="A129">
        <v>128</v>
      </c>
      <c r="C129" s="3058">
        <v>42.99</v>
      </c>
    </row>
    <row r="130" spans="1:3">
      <c r="A130">
        <v>129</v>
      </c>
      <c r="C130" s="3058">
        <v>47.04</v>
      </c>
    </row>
    <row r="131" spans="1:3">
      <c r="A131">
        <v>130</v>
      </c>
      <c r="C131" s="3058">
        <v>45.93</v>
      </c>
    </row>
    <row r="132" spans="1:3">
      <c r="A132">
        <v>131</v>
      </c>
      <c r="C132" s="3058">
        <v>40.21</v>
      </c>
    </row>
    <row r="133" spans="1:3">
      <c r="A133">
        <v>132</v>
      </c>
      <c r="C133" s="3058">
        <v>52.69</v>
      </c>
    </row>
    <row r="134" spans="1:3">
      <c r="A134">
        <v>133</v>
      </c>
      <c r="C134" s="3058">
        <v>70.72</v>
      </c>
    </row>
    <row r="135" spans="1:3">
      <c r="A135">
        <v>134</v>
      </c>
      <c r="C135" s="3058">
        <v>32.06</v>
      </c>
    </row>
    <row r="136" spans="1:3">
      <c r="A136">
        <v>135</v>
      </c>
      <c r="C136" s="3058">
        <v>39</v>
      </c>
    </row>
    <row r="137" spans="1:3">
      <c r="A137">
        <v>136</v>
      </c>
      <c r="C137" s="3058">
        <v>29.4</v>
      </c>
    </row>
    <row r="138" spans="1:3">
      <c r="A138">
        <v>137</v>
      </c>
      <c r="C138" s="3058">
        <v>45.07</v>
      </c>
    </row>
    <row r="139" spans="1:3">
      <c r="A139">
        <v>138</v>
      </c>
      <c r="C139" s="3058">
        <v>27.46</v>
      </c>
    </row>
    <row r="140" spans="1:3">
      <c r="A140">
        <v>139</v>
      </c>
      <c r="C140" s="3058">
        <v>27.04</v>
      </c>
    </row>
    <row r="141" spans="1:3">
      <c r="A141">
        <v>140</v>
      </c>
      <c r="C141" s="3058">
        <v>30.51</v>
      </c>
    </row>
    <row r="142" spans="1:3">
      <c r="A142">
        <v>141</v>
      </c>
      <c r="C142" s="3058">
        <v>39.869999999999997</v>
      </c>
    </row>
    <row r="143" spans="1:3">
      <c r="A143">
        <v>142</v>
      </c>
      <c r="C143" s="3058">
        <v>41.25</v>
      </c>
    </row>
    <row r="144" spans="1:3">
      <c r="A144">
        <v>143</v>
      </c>
      <c r="C144" s="3058">
        <v>29.12</v>
      </c>
    </row>
    <row r="145" spans="1:3">
      <c r="A145">
        <v>144</v>
      </c>
      <c r="C145" s="3058">
        <v>41.6</v>
      </c>
    </row>
    <row r="146" spans="1:3">
      <c r="A146">
        <v>145</v>
      </c>
      <c r="C146" s="3058">
        <v>47.84</v>
      </c>
    </row>
    <row r="147" spans="1:3">
      <c r="A147">
        <v>146</v>
      </c>
      <c r="C147" s="3058">
        <v>78</v>
      </c>
    </row>
    <row r="148" spans="1:3">
      <c r="A148">
        <v>147</v>
      </c>
      <c r="C148" s="3058">
        <v>41.95</v>
      </c>
    </row>
    <row r="149" spans="1:3">
      <c r="A149">
        <v>148</v>
      </c>
      <c r="C149" s="3058">
        <v>45.41</v>
      </c>
    </row>
    <row r="150" spans="1:3">
      <c r="A150">
        <v>149</v>
      </c>
      <c r="C150" s="3058">
        <v>41.6</v>
      </c>
    </row>
    <row r="151" spans="1:3">
      <c r="A151">
        <v>150</v>
      </c>
      <c r="C151" s="3058">
        <v>39.869999999999997</v>
      </c>
    </row>
    <row r="152" spans="1:3">
      <c r="A152">
        <v>151</v>
      </c>
      <c r="C152" s="3058">
        <v>43.64</v>
      </c>
    </row>
    <row r="153" spans="1:3">
      <c r="A153">
        <v>152</v>
      </c>
      <c r="C153" s="3058">
        <v>44.55</v>
      </c>
    </row>
    <row r="154" spans="1:3">
      <c r="A154">
        <v>153</v>
      </c>
      <c r="C154" s="3058">
        <v>27.73</v>
      </c>
    </row>
    <row r="155" spans="1:3">
      <c r="A155">
        <v>154</v>
      </c>
      <c r="C155" s="3058">
        <v>72.45</v>
      </c>
    </row>
    <row r="156" spans="1:3">
      <c r="A156">
        <v>155</v>
      </c>
      <c r="C156" s="3058">
        <v>25.79</v>
      </c>
    </row>
    <row r="157" spans="1:3">
      <c r="A157">
        <v>156</v>
      </c>
      <c r="C157" s="3058">
        <v>40.659999999999997</v>
      </c>
    </row>
    <row r="158" spans="1:3">
      <c r="A158">
        <v>157</v>
      </c>
      <c r="C158" s="3058">
        <v>26.5</v>
      </c>
    </row>
    <row r="159" spans="1:3">
      <c r="A159">
        <v>158</v>
      </c>
      <c r="C159" s="3058">
        <v>84.93</v>
      </c>
    </row>
    <row r="160" spans="1:3">
      <c r="A160">
        <v>159</v>
      </c>
      <c r="C160" s="3058">
        <v>27.73</v>
      </c>
    </row>
    <row r="161" spans="1:3">
      <c r="A161">
        <v>160</v>
      </c>
      <c r="C161" s="3058">
        <v>42.85</v>
      </c>
    </row>
    <row r="162" spans="1:3">
      <c r="A162">
        <v>161</v>
      </c>
      <c r="C162" s="3058">
        <v>97.07</v>
      </c>
    </row>
    <row r="163" spans="1:3">
      <c r="A163">
        <v>162</v>
      </c>
      <c r="C163" s="3058">
        <v>42.47</v>
      </c>
    </row>
    <row r="164" spans="1:3">
      <c r="A164">
        <v>163</v>
      </c>
      <c r="C164" s="3058">
        <v>45.93</v>
      </c>
    </row>
    <row r="165" spans="1:3">
      <c r="A165">
        <v>164</v>
      </c>
      <c r="C165" s="3058">
        <v>39.869999999999997</v>
      </c>
    </row>
    <row r="166" spans="1:3">
      <c r="A166">
        <v>165</v>
      </c>
      <c r="C166" s="3058">
        <v>40.729999999999997</v>
      </c>
    </row>
    <row r="167" spans="1:3">
      <c r="A167">
        <v>166</v>
      </c>
      <c r="C167" s="3058">
        <v>28.01</v>
      </c>
    </row>
    <row r="168" spans="1:3">
      <c r="A168">
        <v>167</v>
      </c>
      <c r="C168" s="3058">
        <v>45.76</v>
      </c>
    </row>
    <row r="169" spans="1:3">
      <c r="A169">
        <v>168</v>
      </c>
      <c r="C169" s="3058">
        <v>48.53</v>
      </c>
    </row>
    <row r="170" spans="1:3">
      <c r="A170">
        <v>169</v>
      </c>
      <c r="C170" s="3058">
        <v>48.53</v>
      </c>
    </row>
    <row r="171" spans="1:3">
      <c r="A171">
        <v>170</v>
      </c>
      <c r="C171" s="3058">
        <v>42.81</v>
      </c>
    </row>
    <row r="172" spans="1:3">
      <c r="A172">
        <v>171</v>
      </c>
      <c r="C172" s="3058">
        <v>49.47</v>
      </c>
    </row>
    <row r="173" spans="1:3">
      <c r="A173">
        <v>172</v>
      </c>
      <c r="C173" s="3058">
        <v>28.28</v>
      </c>
    </row>
    <row r="174" spans="1:3">
      <c r="A174">
        <v>173</v>
      </c>
      <c r="C174" s="3058">
        <v>28.14</v>
      </c>
    </row>
    <row r="175" spans="1:3">
      <c r="A175">
        <v>174</v>
      </c>
      <c r="C175" s="3058">
        <v>42.47</v>
      </c>
    </row>
    <row r="176" spans="1:3">
      <c r="A176">
        <v>175</v>
      </c>
      <c r="C176" s="3058">
        <v>36.92</v>
      </c>
    </row>
    <row r="177" spans="1:3">
      <c r="A177">
        <v>176</v>
      </c>
      <c r="C177" s="3058">
        <v>41.08</v>
      </c>
    </row>
    <row r="178" spans="1:3">
      <c r="A178">
        <v>177</v>
      </c>
      <c r="C178" s="3058">
        <v>41.6</v>
      </c>
    </row>
    <row r="179" spans="1:3">
      <c r="A179">
        <v>178</v>
      </c>
      <c r="C179" s="3058">
        <v>28.7</v>
      </c>
    </row>
    <row r="180" spans="1:3">
      <c r="A180">
        <v>179</v>
      </c>
      <c r="C180" s="3058">
        <v>28.28</v>
      </c>
    </row>
    <row r="181" spans="1:3">
      <c r="A181">
        <v>180</v>
      </c>
      <c r="C181" s="3058">
        <v>28.14</v>
      </c>
    </row>
    <row r="182" spans="1:3">
      <c r="A182">
        <v>181</v>
      </c>
      <c r="C182" s="3058">
        <v>38.450000000000003</v>
      </c>
    </row>
    <row r="183" spans="1:3">
      <c r="A183">
        <v>182</v>
      </c>
      <c r="C183" s="3058">
        <v>42.81</v>
      </c>
    </row>
    <row r="184" spans="1:3">
      <c r="A184">
        <v>183</v>
      </c>
      <c r="C184" s="3058">
        <v>44.72</v>
      </c>
    </row>
    <row r="185" spans="1:3">
      <c r="A185">
        <v>184</v>
      </c>
      <c r="C185" s="3058">
        <v>28.14</v>
      </c>
    </row>
    <row r="186" spans="1:3">
      <c r="A186">
        <v>185</v>
      </c>
      <c r="C186" s="3058">
        <v>44.55</v>
      </c>
    </row>
    <row r="187" spans="1:3">
      <c r="A187">
        <v>186</v>
      </c>
      <c r="C187" s="3058">
        <v>42.47</v>
      </c>
    </row>
    <row r="188" spans="1:3">
      <c r="A188">
        <v>187</v>
      </c>
      <c r="C188" s="3058">
        <v>40.729999999999997</v>
      </c>
    </row>
    <row r="189" spans="1:3">
      <c r="A189">
        <v>188</v>
      </c>
      <c r="C189" s="3058">
        <v>50.34</v>
      </c>
    </row>
    <row r="190" spans="1:3">
      <c r="A190">
        <v>189</v>
      </c>
      <c r="C190" s="3058">
        <v>28.14</v>
      </c>
    </row>
    <row r="191" spans="1:3">
      <c r="A191">
        <v>190</v>
      </c>
      <c r="C191" s="3058">
        <v>28.84</v>
      </c>
    </row>
    <row r="192" spans="1:3">
      <c r="A192">
        <v>191</v>
      </c>
      <c r="C192" s="3058">
        <v>46.42</v>
      </c>
    </row>
    <row r="193" spans="1:3">
      <c r="A193">
        <v>192</v>
      </c>
      <c r="C193" s="3058">
        <v>48.2</v>
      </c>
    </row>
    <row r="194" spans="1:3">
      <c r="A194">
        <v>193</v>
      </c>
      <c r="C194" s="3058">
        <v>28.14</v>
      </c>
    </row>
    <row r="195" spans="1:3">
      <c r="A195">
        <v>194</v>
      </c>
      <c r="C195" s="3058">
        <v>43.51</v>
      </c>
    </row>
    <row r="196" spans="1:3">
      <c r="A196">
        <v>195</v>
      </c>
      <c r="C196" s="3058">
        <v>28.28</v>
      </c>
    </row>
    <row r="197" spans="1:3">
      <c r="A197">
        <v>196</v>
      </c>
      <c r="C197" s="3058">
        <v>40.39</v>
      </c>
    </row>
    <row r="198" spans="1:3">
      <c r="A198">
        <v>197</v>
      </c>
      <c r="C198" s="3058">
        <v>48.19</v>
      </c>
    </row>
    <row r="199" spans="1:3">
      <c r="A199">
        <v>198</v>
      </c>
      <c r="C199" s="3058">
        <v>27.46</v>
      </c>
    </row>
    <row r="200" spans="1:3">
      <c r="A200">
        <v>199</v>
      </c>
      <c r="C200" s="3058">
        <v>28.57</v>
      </c>
    </row>
    <row r="201" spans="1:3">
      <c r="A201">
        <v>200</v>
      </c>
      <c r="C201" s="3058">
        <v>39.869999999999997</v>
      </c>
    </row>
    <row r="202" spans="1:3">
      <c r="A202">
        <v>201</v>
      </c>
      <c r="C202" s="3058">
        <v>43.33</v>
      </c>
    </row>
    <row r="203" spans="1:3">
      <c r="A203">
        <v>202</v>
      </c>
      <c r="C203" s="3058">
        <v>45.59</v>
      </c>
    </row>
    <row r="204" spans="1:3">
      <c r="A204">
        <v>203</v>
      </c>
      <c r="C204" s="3058">
        <v>30.93</v>
      </c>
    </row>
    <row r="205" spans="1:3">
      <c r="A205" s="3058" t="s">
        <v>3067</v>
      </c>
      <c r="C205">
        <f>SUM(C2:C204)</f>
        <v>8236.73</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19" workbookViewId="0">
      <selection activeCell="J43" sqref="J4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963" t="s">
        <v>1603</v>
      </c>
      <c r="E3" s="963" t="s">
        <v>1609</v>
      </c>
      <c r="F3" s="963" t="s">
        <v>1603</v>
      </c>
      <c r="G3" s="963" t="s">
        <v>1604</v>
      </c>
      <c r="H3" s="963" t="s">
        <v>1603</v>
      </c>
      <c r="I3" s="963" t="s">
        <v>1604</v>
      </c>
    </row>
    <row r="4" spans="1:9" ht="30">
      <c r="A4" s="1690" t="str">
        <f>项目基本情况!S2</f>
        <v>成都市武侯区晋阳路169号2栋-1层、-2层地下车库房地产</v>
      </c>
      <c r="B4" s="963">
        <f>项目基本情况!C17</f>
        <v>8236.73</v>
      </c>
      <c r="C4" s="963">
        <f>项目基本情况!C18</f>
        <v>0</v>
      </c>
      <c r="D4" s="963">
        <f ca="1">结果表!D118</f>
        <v>-30506</v>
      </c>
      <c r="E4" s="963">
        <f ca="1">结果表!E118</f>
        <v>-37036</v>
      </c>
      <c r="F4" s="963">
        <f ca="1">结果表!F118</f>
        <v>32121</v>
      </c>
      <c r="G4" s="963">
        <f ca="1">结果表!G118</f>
        <v>38997</v>
      </c>
      <c r="H4" s="963">
        <f ca="1">结果表!H118</f>
        <v>1615</v>
      </c>
      <c r="I4" s="963">
        <f ca="1">结果表!I118</f>
        <v>1961</v>
      </c>
    </row>
    <row r="5" spans="1:9" ht="30" customHeight="1">
      <c r="A5" s="3086" t="s">
        <v>1605</v>
      </c>
      <c r="B5" s="3086"/>
      <c r="C5" s="3086"/>
      <c r="D5" s="3087" t="e">
        <f ca="1">结果表!D119</f>
        <v>#NUM!</v>
      </c>
      <c r="E5" s="3087"/>
      <c r="F5" s="3087" t="str">
        <f ca="1">结果表!F119</f>
        <v>叁亿贰仟壹佰贰拾壹万元整</v>
      </c>
      <c r="G5" s="3087"/>
      <c r="H5" s="3087" t="str">
        <f ca="1">结果表!H119</f>
        <v>壹仟陆佰壹拾伍万元整</v>
      </c>
      <c r="I5" s="3087"/>
    </row>
    <row r="6" spans="1:9" ht="15.75">
      <c r="A6" s="3085" t="str">
        <f>结果表!A120</f>
        <v>估价师知悉的法定优先受偿款</v>
      </c>
      <c r="B6" s="3085"/>
      <c r="C6" s="3085"/>
      <c r="D6" s="3085">
        <f>结果表!D120</f>
        <v>0</v>
      </c>
      <c r="E6" s="3085"/>
      <c r="F6" s="3085"/>
      <c r="G6" s="3085"/>
      <c r="H6" s="3085"/>
      <c r="I6" s="3085"/>
    </row>
    <row r="7" spans="1:9" ht="15">
      <c r="A7" s="3086" t="s">
        <v>1605</v>
      </c>
      <c r="B7" s="3086"/>
      <c r="C7" s="3086"/>
      <c r="D7" s="3088" t="str">
        <f>结果表!D121</f>
        <v>零元整</v>
      </c>
      <c r="E7" s="3089"/>
      <c r="F7" s="3089"/>
      <c r="G7" s="3089"/>
      <c r="H7" s="3089"/>
      <c r="I7" s="3090"/>
    </row>
    <row r="8" spans="1:9" ht="15.75">
      <c r="A8" s="3085" t="str">
        <f>结果表!A122</f>
        <v>房地产抵押价值</v>
      </c>
      <c r="B8" s="3085"/>
      <c r="C8" s="3085"/>
      <c r="D8" s="3085">
        <f ca="1">结果表!D122</f>
        <v>1615</v>
      </c>
      <c r="E8" s="3085"/>
      <c r="F8" s="3085"/>
      <c r="G8" s="3085"/>
      <c r="H8" s="3085"/>
      <c r="I8" s="3085"/>
    </row>
    <row r="9" spans="1:9" ht="15">
      <c r="A9" s="3086" t="s">
        <v>1605</v>
      </c>
      <c r="B9" s="3086"/>
      <c r="C9" s="3086"/>
      <c r="D9" s="3087" t="str">
        <f ca="1">结果表!D123</f>
        <v>壹仟陆佰壹拾伍万元整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1605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8"/>
      <c r="C12" s="3098"/>
      <c r="D12" s="3098"/>
    </row>
    <row r="13" spans="1:4" ht="30" customHeight="1">
      <c r="A13" s="3093" t="str">
        <f>IF(项目基本情况!B8="抵押","3.抵押双方在办理抵押登记手续时，应使用本公司出具的正式《房地产评估报告》，特提醒报告使用者注意。","——")</f>
        <v>——</v>
      </c>
      <c r="B13" s="3098"/>
      <c r="C13" s="3098"/>
      <c r="D13" s="3098"/>
    </row>
    <row r="14" spans="1:4" ht="15.75" customHeight="1">
      <c r="A14" s="3093" t="str">
        <f>IF(项目基本情况!B8="抵押","4.本次评估估价师所知悉的法定优先受偿款情况说明如下：","——")</f>
        <v>——</v>
      </c>
      <c r="B14" s="3098"/>
      <c r="C14" s="3098"/>
      <c r="D14" s="3098"/>
    </row>
    <row r="15" spans="1:4" ht="42" customHeight="1">
      <c r="A15" s="3093" t="str">
        <f>IF(项目基本情况!B8="抵押","（1）"&amp;CONCATENATE(项目基本情况!L20,项目基本情况!L21,项目基本情况!L22),"——")</f>
        <v>——</v>
      </c>
      <c r="B15" s="3093"/>
      <c r="C15" s="3093"/>
      <c r="D15" s="3093"/>
    </row>
    <row r="16" spans="1:4" ht="30" customHeight="1">
      <c r="A16" s="3095" t="s">
        <v>1621</v>
      </c>
      <c r="B16" s="3095"/>
      <c r="C16" s="3095"/>
      <c r="D16" s="3095"/>
    </row>
    <row r="17" spans="1:4" ht="144" customHeight="1">
      <c r="A17" s="3095" t="s">
        <v>1622</v>
      </c>
      <c r="B17" s="3095"/>
      <c r="C17" s="3095"/>
      <c r="D17" s="3095"/>
    </row>
    <row r="18" spans="1:4" ht="15.75" customHeight="1">
      <c r="A18" s="3093" t="str">
        <f>IF(项目基本情况!B8="抵押",结果表!K120,"——")</f>
        <v>——</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6"/>
      <c r="C21" s="3096"/>
      <c r="D21" s="3096"/>
    </row>
    <row r="22" spans="1:4" ht="18.75" customHeight="1">
      <c r="A22" s="3097" t="s">
        <v>1623</v>
      </c>
      <c r="B22" s="3097"/>
      <c r="C22" s="3097"/>
      <c r="D22" s="309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7" t="s">
        <v>1634</v>
      </c>
      <c r="B15" s="3102" t="s">
        <v>136</v>
      </c>
      <c r="C15" s="3103"/>
    </row>
    <row r="16" spans="1:7" ht="13.5">
      <c r="A16" s="3108"/>
      <c r="B16" s="3102" t="s">
        <v>69</v>
      </c>
      <c r="C16" s="3103"/>
    </row>
    <row r="17" spans="1:3" ht="13.5">
      <c r="A17" s="3108"/>
      <c r="B17" s="3105" t="s">
        <v>1635</v>
      </c>
      <c r="C17" s="1717" t="s">
        <v>1634</v>
      </c>
    </row>
    <row r="18" spans="1:3" ht="13.5">
      <c r="A18" s="3108"/>
      <c r="B18" s="3105"/>
      <c r="C18" s="1717" t="s">
        <v>1636</v>
      </c>
    </row>
    <row r="19" spans="1:3" ht="13.5">
      <c r="A19" s="3108"/>
      <c r="B19" s="3105"/>
      <c r="C19" s="1717" t="s">
        <v>1637</v>
      </c>
    </row>
    <row r="20" spans="1:3" ht="13.5">
      <c r="A20" s="3109"/>
      <c r="B20" s="3104" t="s">
        <v>1638</v>
      </c>
      <c r="C20" s="3103"/>
    </row>
    <row r="21" spans="1:3" ht="13.5">
      <c r="A21" s="1718" t="s">
        <v>1639</v>
      </c>
      <c r="B21" s="1719"/>
      <c r="C21" s="1720"/>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7" t="s">
        <v>1645</v>
      </c>
    </row>
    <row r="26" spans="1:3" ht="13.5">
      <c r="A26" s="3106"/>
      <c r="B26" s="3105"/>
      <c r="C26" s="1717" t="s">
        <v>1646</v>
      </c>
    </row>
    <row r="27" spans="1:3" ht="13.5">
      <c r="A27" s="3106"/>
      <c r="B27" s="3105"/>
      <c r="C27" s="1717" t="s">
        <v>1647</v>
      </c>
    </row>
    <row r="28" spans="1:3" ht="13.5">
      <c r="A28" s="3106"/>
      <c r="B28" s="3105"/>
      <c r="C28" s="1717" t="s">
        <v>1648</v>
      </c>
    </row>
    <row r="29" spans="1:3" ht="13.5">
      <c r="A29" s="3106"/>
      <c r="B29" s="3105"/>
      <c r="C29" s="1717" t="s">
        <v>1649</v>
      </c>
    </row>
    <row r="30" spans="1:3" ht="13.5">
      <c r="A30" s="3106"/>
      <c r="B30" s="3105"/>
      <c r="C30" s="1717" t="s">
        <v>1650</v>
      </c>
    </row>
    <row r="31" spans="1:3" ht="13.5">
      <c r="A31" s="3106"/>
      <c r="B31" s="3105"/>
      <c r="C31" s="1717" t="s">
        <v>1651</v>
      </c>
    </row>
    <row r="32" spans="1:3" ht="13.5">
      <c r="A32" s="3106"/>
      <c r="B32" s="3105"/>
      <c r="C32" s="1717" t="s">
        <v>1652</v>
      </c>
    </row>
    <row r="33" spans="1:3" ht="13.5">
      <c r="A33" s="3106"/>
      <c r="B33" s="310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44333</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f ca="1">IF(C13&lt;B2,"已过期",1120020033)</f>
        <v>1120020033</v>
      </c>
      <c r="C13" s="2568">
        <v>44339</v>
      </c>
      <c r="D13" s="2569" t="str">
        <f t="shared" ca="1" si="0"/>
        <v>刘敬东（注册号：1120020033）</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0" t="s">
        <v>2903</v>
      </c>
      <c r="B17" s="3110"/>
      <c r="C17" s="3110"/>
      <c r="D17" s="3110"/>
      <c r="E17" s="3110"/>
      <c r="F17" s="3110"/>
      <c r="G17" s="3110"/>
      <c r="H17" s="3110"/>
    </row>
    <row r="18" spans="1:8" ht="24" customHeight="1">
      <c r="A18" s="3111" t="s">
        <v>2904</v>
      </c>
      <c r="B18" s="3111"/>
      <c r="C18" s="3111"/>
      <c r="D18" s="2566"/>
      <c r="E18" s="3112" t="s">
        <v>2905</v>
      </c>
      <c r="F18" s="3111"/>
      <c r="G18" s="3111"/>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Sheet0</vt:lpstr>
      <vt:lpstr>收益法</vt:lpstr>
      <vt:lpstr>收益法 (元)</vt:lpstr>
      <vt:lpstr>收益法（汇总）</vt:lpstr>
      <vt:lpstr>酒店收入计算</vt:lpstr>
      <vt:lpstr>比较法-住宅</vt:lpstr>
      <vt:lpstr>比较法-商业</vt:lpstr>
      <vt:lpstr>比较法-办公</vt:lpstr>
      <vt:lpstr>比较法-工业</vt:lpstr>
      <vt:lpstr>案例</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清单</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2021-05-17T03:24:24Z</dcterms:modified>
</cp:coreProperties>
</file>