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结果表 (2)" sheetId="83" state="hidden" r:id="rId19"/>
    <sheet name="成本法" sheetId="68" r:id="rId20"/>
    <sheet name="成本法 (元)" sheetId="69" state="hidden" r:id="rId21"/>
    <sheet name="假设开发法" sheetId="12" state="hidden" r:id="rId22"/>
    <sheet name="收益法" sheetId="15" r:id="rId23"/>
    <sheet name="收益法(车库)" sheetId="80" r:id="rId24"/>
    <sheet name="收益法（汇总）" sheetId="70" r:id="rId25"/>
    <sheet name="基准地价修正" sheetId="43" r:id="rId26"/>
    <sheet name="土地比较法-住宅、综合" sheetId="39" r:id="rId27"/>
    <sheet name="土地案例" sheetId="84" r:id="rId28"/>
    <sheet name="结果表(车库)" sheetId="82" r:id="rId29"/>
    <sheet name="成本法(车库)" sheetId="81" r:id="rId30"/>
    <sheet name="收益法 (元)" sheetId="67" state="hidden" r:id="rId31"/>
    <sheet name="收益法-酒店模型" sheetId="77" state="hidden" r:id="rId32"/>
    <sheet name="比较法-住宅" sheetId="21" state="hidden" r:id="rId33"/>
    <sheet name="比较法-商业" sheetId="33" state="hidden" r:id="rId34"/>
    <sheet name="比较法-办公" sheetId="34"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r:id="rId45"/>
    <sheet name="因素修正幅度" sheetId="65" state="hidden" r:id="rId46"/>
    <sheet name="区片价（范围）" sheetId="75" state="hidden" r:id="rId47"/>
    <sheet name="地价-分区" sheetId="79" r:id="rId48"/>
    <sheet name="地价" sheetId="71" state="hidden" r:id="rId49"/>
    <sheet name="存贷款利率" sheetId="73" r:id="rId50"/>
  </sheets>
  <externalReferences>
    <externalReference r:id="rId51"/>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6"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9">成本法!$A$1:$G$57</definedName>
    <definedName name="_xlnm.Print_Area" localSheetId="20">'成本法 (元)'!$A$1:$G$57</definedName>
    <definedName name="_xlnm.Print_Area" localSheetId="29">'成本法(车库)'!$A$1:$G$57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5">基准地价修正!$A$1:$J$44,基准地价修正!$A$47:$H$101,基准地价修正!$R$1:$V$16</definedName>
    <definedName name="_xlnm.Print_Area" localSheetId="21">假设开发法!$A$1:$K$32</definedName>
    <definedName name="_xlnm.Print_Area" localSheetId="17">结果表!$A$1:$I$127</definedName>
    <definedName name="_xlnm.Print_Area" localSheetId="18">'结果表 (2)'!$A$1:$I$127</definedName>
    <definedName name="_xlnm.Print_Area" localSheetId="28">'结果表(车库)'!$A$1:$I$127</definedName>
    <definedName name="_xlnm.Print_Area" localSheetId="22">收益法!$A$1:$F$43,收益法!$H$3:$M$29,收益法!$A$46:$F$71,收益法!$I$46:$N$65</definedName>
    <definedName name="_xlnm.Print_Area" localSheetId="30">'收益法 (元)'!$A$1:$F$43,'收益法 (元)'!$H$3:$M$29,'收益法 (元)'!$A$45:$F$71,'收益法 (元)'!$I$46:$N$65</definedName>
    <definedName name="_xlnm.Print_Area" localSheetId="23">'收益法(车库)'!$A$1:$F$43,'收益法(车库)'!$H$3:$M$29,'收益法(车库)'!$A$46:$F$71,'收益法(车库)'!$I$46:$N$65</definedName>
    <definedName name="_xlnm.Print_Area" localSheetId="24">'收益法（汇总）'!$A$1:$F$13</definedName>
    <definedName name="_xlnm.Print_Area" localSheetId="13">'数据-汇总表'!$A$1:$P$32</definedName>
    <definedName name="_xlnm.Print_Area" localSheetId="38">'土地比较法-工业'!$A$1:$K$61,'土地比较法-工业'!$A$64:$M$121</definedName>
    <definedName name="_xlnm.Print_Area" localSheetId="2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V7" i="1" l="1"/>
  <c r="M25" i="9"/>
  <c r="M23" i="9"/>
  <c r="M26" i="9"/>
  <c r="M24" i="9"/>
  <c r="K26" i="9"/>
  <c r="K25" i="9"/>
  <c r="K24" i="9"/>
  <c r="K23" i="9"/>
  <c r="I46" i="39"/>
  <c r="G46" i="39"/>
  <c r="E46" i="39"/>
  <c r="I38" i="39"/>
  <c r="G38" i="39"/>
  <c r="E38" i="39"/>
  <c r="C38" i="39"/>
  <c r="C11" i="39"/>
  <c r="E70" i="39"/>
  <c r="F70" i="39" s="1"/>
  <c r="G70" i="39" s="1"/>
  <c r="H70" i="39" s="1"/>
  <c r="I70" i="39" s="1"/>
  <c r="J70" i="39" s="1"/>
  <c r="K70" i="39" s="1"/>
  <c r="L70" i="39" s="1"/>
  <c r="M70" i="39" s="1"/>
  <c r="D70" i="39"/>
  <c r="I7" i="39"/>
  <c r="G7" i="39"/>
  <c r="E7" i="39"/>
  <c r="I5" i="39"/>
  <c r="G5" i="39"/>
  <c r="E5" i="39"/>
  <c r="D41" i="43"/>
  <c r="D40" i="43"/>
  <c r="U28" i="1"/>
  <c r="T28" i="1"/>
  <c r="V28" i="1"/>
  <c r="V21" i="1"/>
  <c r="V22" i="1"/>
  <c r="V23" i="1"/>
  <c r="V24" i="1"/>
  <c r="V25" i="1"/>
  <c r="V26" i="1"/>
  <c r="V27" i="1"/>
  <c r="M27" i="9" l="1"/>
  <c r="D29" i="9"/>
  <c r="A126" i="83"/>
  <c r="A120" i="83"/>
  <c r="A118" i="83"/>
  <c r="H112" i="83"/>
  <c r="H111" i="83"/>
  <c r="D126" i="83" s="1"/>
  <c r="D127" i="83" s="1"/>
  <c r="E111" i="83"/>
  <c r="E109" i="83"/>
  <c r="A124" i="83" s="1"/>
  <c r="E107" i="83"/>
  <c r="A122" i="83" s="1"/>
  <c r="H106" i="83"/>
  <c r="H103" i="83" s="1"/>
  <c r="D120" i="83" s="1"/>
  <c r="H105" i="83"/>
  <c r="H104" i="83"/>
  <c r="D101" i="83"/>
  <c r="C101" i="83"/>
  <c r="D93" i="83"/>
  <c r="C91" i="83"/>
  <c r="E90" i="83"/>
  <c r="D89" i="83"/>
  <c r="C89" i="83"/>
  <c r="C87" i="83" s="1"/>
  <c r="D78" i="83"/>
  <c r="H77" i="83"/>
  <c r="D77" i="83"/>
  <c r="C77" i="83" s="1"/>
  <c r="C76" i="83"/>
  <c r="C74" i="83" s="1"/>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M19" i="83"/>
  <c r="C118" i="83" s="1"/>
  <c r="L19" i="83"/>
  <c r="M18" i="83"/>
  <c r="B118" i="83" s="1"/>
  <c r="L18" i="83"/>
  <c r="C18" i="83"/>
  <c r="D18" i="83" s="1"/>
  <c r="D17" i="83"/>
  <c r="C17" i="83"/>
  <c r="L4" i="83"/>
  <c r="K4" i="83"/>
  <c r="A2" i="83"/>
  <c r="H1" i="83"/>
  <c r="D3" i="34"/>
  <c r="I48" i="34"/>
  <c r="G48" i="34"/>
  <c r="A126" i="82"/>
  <c r="A120" i="82"/>
  <c r="C118" i="82"/>
  <c r="A118" i="82"/>
  <c r="H112" i="82"/>
  <c r="H111" i="82"/>
  <c r="D126" i="82" s="1"/>
  <c r="D127" i="82" s="1"/>
  <c r="E111" i="82"/>
  <c r="E109" i="82"/>
  <c r="A124" i="82" s="1"/>
  <c r="E107" i="82"/>
  <c r="A122" i="82" s="1"/>
  <c r="H106" i="82"/>
  <c r="H103" i="82" s="1"/>
  <c r="D120" i="82" s="1"/>
  <c r="H105" i="82"/>
  <c r="H104" i="82"/>
  <c r="D101" i="82"/>
  <c r="C101" i="82"/>
  <c r="D93" i="82"/>
  <c r="C91" i="82"/>
  <c r="E90" i="82"/>
  <c r="D89" i="82"/>
  <c r="C89" i="82"/>
  <c r="C87" i="82"/>
  <c r="C92" i="82" s="1"/>
  <c r="D78" i="82"/>
  <c r="H77" i="82"/>
  <c r="D77" i="82"/>
  <c r="C77" i="82"/>
  <c r="C76" i="82"/>
  <c r="C74" i="82" s="1"/>
  <c r="D68" i="82"/>
  <c r="F59" i="82"/>
  <c r="O55" i="82" s="1"/>
  <c r="E59" i="82"/>
  <c r="N56" i="82"/>
  <c r="M56" i="82"/>
  <c r="K56" i="82"/>
  <c r="J56" i="82"/>
  <c r="J57" i="82" s="1"/>
  <c r="J59" i="82" s="1"/>
  <c r="J61" i="82" s="1"/>
  <c r="F56" i="82"/>
  <c r="O54" i="82" s="1"/>
  <c r="N55" i="82"/>
  <c r="K55" i="82"/>
  <c r="J55" i="82"/>
  <c r="I55" i="82"/>
  <c r="F55" i="82"/>
  <c r="O53" i="82" s="1"/>
  <c r="N54" i="82"/>
  <c r="F54" i="82"/>
  <c r="N53" i="82"/>
  <c r="F53" i="82"/>
  <c r="F52" i="82"/>
  <c r="K49" i="82"/>
  <c r="F48" i="82"/>
  <c r="O52" i="82" s="1"/>
  <c r="E48" i="82"/>
  <c r="N52" i="82" s="1"/>
  <c r="D48" i="82"/>
  <c r="M52" i="82" s="1"/>
  <c r="M47" i="82"/>
  <c r="F33" i="82"/>
  <c r="D27" i="82"/>
  <c r="C25" i="82"/>
  <c r="C24" i="82"/>
  <c r="M19" i="82"/>
  <c r="L19" i="82"/>
  <c r="M18" i="82"/>
  <c r="B118" i="82" s="1"/>
  <c r="L18" i="82"/>
  <c r="D17" i="82"/>
  <c r="C17" i="82"/>
  <c r="L4" i="82"/>
  <c r="K4" i="82"/>
  <c r="A2" i="82"/>
  <c r="H1" i="82"/>
  <c r="C48" i="81"/>
  <c r="G41" i="81"/>
  <c r="F38" i="81"/>
  <c r="E37" i="81"/>
  <c r="F36" i="81"/>
  <c r="F35" i="81"/>
  <c r="F34" i="81"/>
  <c r="F30" i="81"/>
  <c r="F48" i="81" s="1"/>
  <c r="C30" i="81"/>
  <c r="G22" i="81"/>
  <c r="F21" i="81"/>
  <c r="F40" i="81" s="1"/>
  <c r="F20" i="81"/>
  <c r="F39" i="81" s="1"/>
  <c r="E19" i="81"/>
  <c r="C19" i="81"/>
  <c r="E10" i="81"/>
  <c r="E9" i="81"/>
  <c r="F7" i="81"/>
  <c r="G1" i="81"/>
  <c r="V19" i="1"/>
  <c r="V20" i="1"/>
  <c r="N10" i="6"/>
  <c r="L10" i="6"/>
  <c r="N9" i="6"/>
  <c r="L9" i="6"/>
  <c r="I7" i="34"/>
  <c r="G7" i="34"/>
  <c r="E7" i="34"/>
  <c r="D42" i="43"/>
  <c r="G44" i="43"/>
  <c r="D33" i="43"/>
  <c r="AH7" i="1"/>
  <c r="P74" i="80"/>
  <c r="Q72" i="80"/>
  <c r="F60" i="80"/>
  <c r="Q59" i="80"/>
  <c r="K59" i="80"/>
  <c r="P61" i="80" s="1"/>
  <c r="F59" i="80"/>
  <c r="Q58" i="80"/>
  <c r="Q51" i="80"/>
  <c r="J50" i="80"/>
  <c r="J51" i="80" s="1"/>
  <c r="M47" i="80"/>
  <c r="D46" i="80"/>
  <c r="F34" i="80"/>
  <c r="F62" i="80" s="1"/>
  <c r="F33" i="80"/>
  <c r="F61" i="80" s="1"/>
  <c r="F32" i="80"/>
  <c r="F31" i="80"/>
  <c r="F28" i="80"/>
  <c r="C28" i="80"/>
  <c r="F23" i="80"/>
  <c r="D24" i="80" s="1"/>
  <c r="D23" i="80"/>
  <c r="D22" i="80"/>
  <c r="F21" i="80"/>
  <c r="M20" i="80"/>
  <c r="F20" i="80"/>
  <c r="M19" i="80"/>
  <c r="M18" i="80"/>
  <c r="F18" i="80"/>
  <c r="M17" i="80"/>
  <c r="F17" i="80"/>
  <c r="F15" i="80"/>
  <c r="G1" i="80"/>
  <c r="T19" i="1"/>
  <c r="N21" i="1"/>
  <c r="N6" i="1" s="1"/>
  <c r="N19" i="1"/>
  <c r="L7" i="1"/>
  <c r="B58" i="1"/>
  <c r="G19" i="6"/>
  <c r="G20" i="6"/>
  <c r="F19" i="6"/>
  <c r="M13" i="3"/>
  <c r="F13" i="4"/>
  <c r="E2" i="81"/>
  <c r="D35" i="82"/>
  <c r="D10" i="81"/>
  <c r="F8" i="80"/>
  <c r="C76" i="80"/>
  <c r="D34" i="82"/>
  <c r="D35" i="83"/>
  <c r="D34" i="83"/>
  <c r="N7" i="1" l="1"/>
  <c r="Y7" i="1" s="1"/>
  <c r="Y6" i="1"/>
  <c r="C18" i="82"/>
  <c r="D18" i="82" s="1"/>
  <c r="C92" i="83"/>
  <c r="C94" i="83"/>
  <c r="D121" i="83"/>
  <c r="K120" i="83"/>
  <c r="H109" i="83"/>
  <c r="D121" i="82"/>
  <c r="K120" i="82"/>
  <c r="C94" i="82"/>
  <c r="H109" i="82"/>
  <c r="C10" i="81"/>
  <c r="C21" i="81"/>
  <c r="C40" i="81"/>
  <c r="Q71" i="80"/>
  <c r="F51" i="80"/>
  <c r="I29" i="79"/>
  <c r="I28" i="79"/>
  <c r="N28" i="79"/>
  <c r="M28" i="79"/>
  <c r="P28" i="79" s="1"/>
  <c r="L28" i="79"/>
  <c r="N29" i="79"/>
  <c r="M29" i="79"/>
  <c r="L29" i="79"/>
  <c r="P6" i="79"/>
  <c r="O6" i="79"/>
  <c r="N6" i="79"/>
  <c r="M6" i="79"/>
  <c r="L6" i="79"/>
  <c r="K6" i="79"/>
  <c r="O7" i="79"/>
  <c r="N7" i="79"/>
  <c r="M7" i="79"/>
  <c r="P7" i="79" s="1"/>
  <c r="L7" i="79"/>
  <c r="K7" i="79"/>
  <c r="M28" i="80"/>
  <c r="F43" i="80"/>
  <c r="F42" i="80"/>
  <c r="F26" i="80"/>
  <c r="M27" i="80"/>
  <c r="M6" i="80"/>
  <c r="F13" i="80"/>
  <c r="D9" i="81"/>
  <c r="F37" i="80"/>
  <c r="M22" i="80"/>
  <c r="M29" i="80"/>
  <c r="F16" i="80"/>
  <c r="F7" i="80"/>
  <c r="F40" i="80"/>
  <c r="M9" i="80"/>
  <c r="M26" i="80"/>
  <c r="F36" i="80"/>
  <c r="F27" i="81"/>
  <c r="F6" i="80"/>
  <c r="C36" i="81"/>
  <c r="M23" i="80"/>
  <c r="L48" i="80"/>
  <c r="L47" i="80"/>
  <c r="J15" i="80"/>
  <c r="F9" i="80"/>
  <c r="M24" i="80"/>
  <c r="F38" i="80"/>
  <c r="M8" i="80"/>
  <c r="D124" i="83" l="1"/>
  <c r="D125" i="83" s="1"/>
  <c r="H110" i="83"/>
  <c r="D124" i="82"/>
  <c r="D125" i="82" s="1"/>
  <c r="H110" i="82"/>
  <c r="F45" i="81"/>
  <c r="C9" i="81"/>
  <c r="D19" i="81"/>
  <c r="D37" i="81" s="1"/>
  <c r="C37" i="81" s="1"/>
  <c r="C29" i="81"/>
  <c r="D27" i="81" s="1"/>
  <c r="C47" i="81"/>
  <c r="D45" i="81" s="1"/>
  <c r="F66" i="80"/>
  <c r="N59" i="80"/>
  <c r="L59" i="80"/>
  <c r="L58" i="80"/>
  <c r="M59" i="80"/>
  <c r="F64" i="80"/>
  <c r="F71" i="80"/>
  <c r="C27" i="80"/>
  <c r="F50" i="80"/>
  <c r="C49" i="80" s="1"/>
  <c r="M7" i="80"/>
  <c r="J6" i="80" s="1"/>
  <c r="F68" i="80"/>
  <c r="F65" i="80"/>
  <c r="L57" i="80"/>
  <c r="L56" i="80"/>
  <c r="J53" i="80"/>
  <c r="J57" i="80"/>
  <c r="J55" i="80" s="1"/>
  <c r="J58" i="80" s="1"/>
  <c r="Q50" i="80" s="1"/>
  <c r="L60" i="80"/>
  <c r="I54" i="80"/>
  <c r="C6" i="80"/>
  <c r="P29" i="79"/>
  <c r="C17" i="80"/>
  <c r="J18" i="80" l="1"/>
  <c r="J19" i="80"/>
  <c r="Q61" i="80"/>
  <c r="Q74" i="80"/>
  <c r="C61" i="80"/>
  <c r="Q66" i="80"/>
  <c r="Q57" i="80"/>
  <c r="Q52" i="80"/>
  <c r="F1" i="80"/>
  <c r="C32" i="80"/>
  <c r="C33" i="80"/>
  <c r="Q73" i="80"/>
  <c r="Q60" i="80"/>
  <c r="G14" i="73"/>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H31" i="39"/>
  <c r="AB31" i="39"/>
  <c r="F31" i="39"/>
  <c r="AA31" i="39"/>
  <c r="E100" i="39"/>
  <c r="F100" i="39" s="1"/>
  <c r="G100"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7" i="39"/>
  <c r="J27" i="39"/>
  <c r="W27" i="39" s="1"/>
  <c r="F27" i="39"/>
  <c r="AA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AC43" i="39"/>
  <c r="W43" i="39"/>
  <c r="U45" i="39"/>
  <c r="AB45" i="39"/>
  <c r="AB44" i="39"/>
  <c r="U44" i="39"/>
  <c r="H37" i="39"/>
  <c r="AB37" i="39"/>
  <c r="AC37" i="39"/>
  <c r="W37" i="39"/>
  <c r="H25" i="39"/>
  <c r="AB25" i="39" s="1"/>
  <c r="J25" i="39"/>
  <c r="W25" i="39" s="1"/>
  <c r="F25" i="39"/>
  <c r="AA25" i="39" s="1"/>
  <c r="F15" i="39"/>
  <c r="AA15" i="39" s="1"/>
  <c r="H15" i="39"/>
  <c r="U15" i="39" s="1"/>
  <c r="J15" i="39"/>
  <c r="W15" i="39" s="1"/>
  <c r="H41" i="39"/>
  <c r="AB41" i="39" s="1"/>
  <c r="AB34" i="39"/>
  <c r="U40" i="39"/>
  <c r="S42" i="39"/>
  <c r="AA41"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AC11" i="39" s="1"/>
  <c r="W11" i="39"/>
  <c r="F11" i="39"/>
  <c r="AA11" i="39" s="1"/>
  <c r="G4" i="4"/>
  <c r="I4" i="4"/>
  <c r="A2" i="9"/>
  <c r="F61" i="43"/>
  <c r="H64" i="43" s="1"/>
  <c r="G64" i="43" s="1"/>
  <c r="K64" i="43" s="1"/>
  <c r="J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AA21" i="39" s="1"/>
  <c r="H21" i="39"/>
  <c r="U21" i="39" s="1"/>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BL17" i="3"/>
  <c r="AZ17" i="3"/>
  <c r="BL13" i="3"/>
  <c r="BL5" i="3" s="1"/>
  <c r="J56" i="9"/>
  <c r="J57" i="9" s="1"/>
  <c r="J59" i="9" s="1"/>
  <c r="J61" i="9" s="1"/>
  <c r="U29" i="34"/>
  <c r="E5" i="6"/>
  <c r="E32" i="6"/>
  <c r="G1" i="68"/>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K7" i="1"/>
  <c r="M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B43" i="39"/>
  <c r="AB11" i="39"/>
  <c r="W17" i="39"/>
  <c r="AC17" i="39"/>
  <c r="W31" i="39"/>
  <c r="AC31" i="39"/>
  <c r="AA45" i="39"/>
  <c r="AB39"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16" i="15"/>
  <c r="F6" i="73"/>
  <c r="F8" i="15"/>
  <c r="E8" i="76"/>
  <c r="F7" i="73"/>
  <c r="J15" i="15"/>
  <c r="F37" i="15"/>
  <c r="C14" i="80"/>
  <c r="E7" i="76"/>
  <c r="F36" i="15"/>
  <c r="M24" i="15"/>
  <c r="F40" i="15"/>
  <c r="F9" i="15"/>
  <c r="C34" i="81"/>
  <c r="D7" i="73"/>
  <c r="B10" i="76"/>
  <c r="B8" i="76"/>
  <c r="F20" i="31"/>
  <c r="D35" i="9"/>
  <c r="M8" i="15"/>
  <c r="E12" i="76"/>
  <c r="D34" i="9"/>
  <c r="F38" i="15"/>
  <c r="E2" i="69"/>
  <c r="F3" i="73"/>
  <c r="M26" i="15"/>
  <c r="F4" i="73"/>
  <c r="M6" i="15"/>
  <c r="B7" i="76"/>
  <c r="M28" i="15"/>
  <c r="B11" i="76"/>
  <c r="E9" i="76"/>
  <c r="D3" i="73"/>
  <c r="F13" i="15"/>
  <c r="M9" i="15"/>
  <c r="D4" i="73"/>
  <c r="B13" i="76"/>
  <c r="C16" i="80"/>
  <c r="E11" i="76"/>
  <c r="AO13" i="1"/>
  <c r="F42" i="15"/>
  <c r="D6" i="73"/>
  <c r="C76" i="15"/>
  <c r="F6" i="15"/>
  <c r="L48" i="15"/>
  <c r="E13" i="76"/>
  <c r="L47" i="15"/>
  <c r="E10" i="76"/>
  <c r="F26" i="15"/>
  <c r="D5" i="73"/>
  <c r="B9" i="76"/>
  <c r="E2" i="68"/>
  <c r="F5" i="73"/>
  <c r="M22" i="15"/>
  <c r="B12" i="76"/>
  <c r="M23" i="15"/>
  <c r="M64" i="43" l="1"/>
  <c r="N64" i="43" s="1"/>
  <c r="U38" i="39"/>
  <c r="S38" i="39"/>
  <c r="S27" i="39"/>
  <c r="AC27" i="39"/>
  <c r="AC25" i="39"/>
  <c r="U25" i="39"/>
  <c r="S23" i="39"/>
  <c r="W23" i="39"/>
  <c r="AB21" i="39"/>
  <c r="S21" i="39"/>
  <c r="F19" i="39"/>
  <c r="AA19" i="39" s="1"/>
  <c r="J19" i="39"/>
  <c r="AC19" i="39" s="1"/>
  <c r="H19" i="39"/>
  <c r="AB19" i="39" s="1"/>
  <c r="W19" i="39"/>
  <c r="S15" i="39"/>
  <c r="S11" i="39"/>
  <c r="U9" i="39"/>
  <c r="W9" i="39"/>
  <c r="C18" i="9"/>
  <c r="D18" i="9" s="1"/>
  <c r="C35" i="81"/>
  <c r="C38" i="81"/>
  <c r="C15" i="80"/>
  <c r="C18" i="80"/>
  <c r="O7" i="1"/>
  <c r="P7" i="1" s="1"/>
  <c r="S37" i="34"/>
  <c r="U34" i="34"/>
  <c r="H69" i="43"/>
  <c r="G69" i="43" s="1"/>
  <c r="H67" i="43"/>
  <c r="G67" i="43" s="1"/>
  <c r="F34" i="15"/>
  <c r="F62" i="15" s="1"/>
  <c r="M20" i="67"/>
  <c r="F34" i="67"/>
  <c r="F62" i="67" s="1"/>
  <c r="C24" i="12"/>
  <c r="C21" i="68"/>
  <c r="E19" i="68"/>
  <c r="E19" i="69"/>
  <c r="G22" i="68"/>
  <c r="G22" i="69"/>
  <c r="G22" i="11"/>
  <c r="E1" i="73"/>
  <c r="K1" i="73" s="1"/>
  <c r="G26" i="12"/>
  <c r="K8" i="1"/>
  <c r="F3" i="35"/>
  <c r="G1" i="67"/>
  <c r="G1" i="69"/>
  <c r="K1" i="12"/>
  <c r="BA13" i="3"/>
  <c r="BA5" i="3" s="1"/>
  <c r="G28" i="6"/>
  <c r="G30" i="6" s="1"/>
  <c r="G31" i="6" s="1"/>
  <c r="H5" i="3"/>
  <c r="BD5" i="3"/>
  <c r="G5" i="3"/>
  <c r="B3" i="3" s="1"/>
  <c r="E13" i="3" s="1"/>
  <c r="D21" i="53"/>
  <c r="B39" i="72" s="1"/>
  <c r="B13" i="53"/>
  <c r="B29" i="72" s="1"/>
  <c r="D19" i="53"/>
  <c r="B38"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314" i="3"/>
  <c r="E99" i="3"/>
  <c r="E277" i="3"/>
  <c r="K6" i="3"/>
  <c r="E472" i="3"/>
  <c r="E457" i="3"/>
  <c r="E571" i="3"/>
  <c r="E433" i="3"/>
  <c r="E72" i="3"/>
  <c r="E150" i="3"/>
  <c r="E214" i="3"/>
  <c r="E315" i="3"/>
  <c r="E14" i="3"/>
  <c r="E567" i="3"/>
  <c r="E549" i="3"/>
  <c r="E89" i="3"/>
  <c r="E145" i="3"/>
  <c r="E327" i="3"/>
  <c r="U6" i="3"/>
  <c r="E478" i="3"/>
  <c r="E414" i="3"/>
  <c r="E345" i="3"/>
  <c r="E547" i="3"/>
  <c r="E403" i="3"/>
  <c r="E447" i="3"/>
  <c r="E70" i="3"/>
  <c r="E162" i="3"/>
  <c r="E211" i="3"/>
  <c r="E291" i="3"/>
  <c r="E317" i="3"/>
  <c r="E44" i="3"/>
  <c r="E14" i="6"/>
  <c r="E63" i="39" s="1"/>
  <c r="I4" i="6"/>
  <c r="G3" i="43" s="1"/>
  <c r="F26" i="43" s="1"/>
  <c r="E29" i="6"/>
  <c r="K15" i="1" s="1"/>
  <c r="F30" i="6"/>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73" i="43"/>
  <c r="D75" i="43"/>
  <c r="D79" i="43"/>
  <c r="D22" i="67"/>
  <c r="AQ13" i="1"/>
  <c r="Q16" i="1"/>
  <c r="F27" i="69" s="1"/>
  <c r="E8" i="6"/>
  <c r="F27" i="6" s="1"/>
  <c r="E12" i="6"/>
  <c r="E57" i="40" s="1"/>
  <c r="E53" i="3"/>
  <c r="E125" i="3"/>
  <c r="E217" i="3"/>
  <c r="E319" i="3"/>
  <c r="E366" i="3"/>
  <c r="E526" i="3"/>
  <c r="E501" i="3"/>
  <c r="E553" i="3"/>
  <c r="E268" i="3"/>
  <c r="E153" i="3"/>
  <c r="E282" i="3"/>
  <c r="E322" i="3"/>
  <c r="E426" i="3"/>
  <c r="N6" i="3"/>
  <c r="AJ6" i="3"/>
  <c r="E328" i="3"/>
  <c r="E239" i="3"/>
  <c r="E509" i="3"/>
  <c r="O6" i="3"/>
  <c r="E516" i="3"/>
  <c r="E579" i="3"/>
  <c r="E574" i="3"/>
  <c r="E569" i="3"/>
  <c r="E431" i="3"/>
  <c r="E359" i="3"/>
  <c r="E396" i="3"/>
  <c r="E247" i="3"/>
  <c r="E285" i="3"/>
  <c r="E229" i="3"/>
  <c r="E201" i="3"/>
  <c r="E97" i="3"/>
  <c r="E151" i="3"/>
  <c r="E311" i="3"/>
  <c r="E390" i="3"/>
  <c r="E358" i="3"/>
  <c r="E514" i="3"/>
  <c r="S6" i="3"/>
  <c r="E559" i="3"/>
  <c r="E570" i="3"/>
  <c r="E523" i="3"/>
  <c r="E55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AZ5" i="3" s="1"/>
  <c r="O9" i="1"/>
  <c r="P9" i="1" s="1"/>
  <c r="O12" i="1"/>
  <c r="P12"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15"/>
  <c r="L59" i="15"/>
  <c r="N59" i="15"/>
  <c r="L58" i="15"/>
  <c r="M59" i="15"/>
  <c r="F66" i="15"/>
  <c r="F64" i="15"/>
  <c r="C27" i="15"/>
  <c r="F65" i="15"/>
  <c r="B13" i="70"/>
  <c r="F68" i="15"/>
  <c r="C36" i="68"/>
  <c r="D9" i="69"/>
  <c r="C36" i="69"/>
  <c r="D9" i="68"/>
  <c r="F43" i="67"/>
  <c r="F7" i="67"/>
  <c r="M29" i="15"/>
  <c r="F38" i="67"/>
  <c r="F26" i="67"/>
  <c r="C76" i="67"/>
  <c r="F6" i="67"/>
  <c r="M29" i="67"/>
  <c r="F36" i="67"/>
  <c r="M6" i="67"/>
  <c r="F16" i="67"/>
  <c r="M9" i="67"/>
  <c r="F9" i="67"/>
  <c r="M24" i="67"/>
  <c r="L48" i="67"/>
  <c r="M26" i="67"/>
  <c r="M8" i="67"/>
  <c r="F37" i="67"/>
  <c r="F40" i="67"/>
  <c r="M28" i="67"/>
  <c r="F42" i="67"/>
  <c r="J15" i="67"/>
  <c r="G1" i="73"/>
  <c r="M22" i="67"/>
  <c r="L47" i="67"/>
  <c r="F43" i="15"/>
  <c r="M23" i="67"/>
  <c r="F13" i="67"/>
  <c r="F8" i="67"/>
  <c r="F7" i="15"/>
  <c r="M69" i="43" l="1"/>
  <c r="N69" i="43" s="1"/>
  <c r="K69" i="43"/>
  <c r="K66" i="43"/>
  <c r="M66" i="43"/>
  <c r="N66" i="43" s="1"/>
  <c r="M63" i="43"/>
  <c r="N63" i="43" s="1"/>
  <c r="K63" i="43"/>
  <c r="K68" i="43"/>
  <c r="J68" i="43" s="1"/>
  <c r="D68" i="43" s="1"/>
  <c r="M68" i="43"/>
  <c r="N68" i="43" s="1"/>
  <c r="M61" i="43"/>
  <c r="N61" i="43" s="1"/>
  <c r="K61" i="43"/>
  <c r="M65" i="43"/>
  <c r="N65" i="43" s="1"/>
  <c r="K65" i="43"/>
  <c r="K62" i="43"/>
  <c r="M62" i="43"/>
  <c r="N62" i="43" s="1"/>
  <c r="M67" i="43"/>
  <c r="N67" i="43" s="1"/>
  <c r="K67" i="43"/>
  <c r="S19" i="39"/>
  <c r="U19" i="39"/>
  <c r="C33" i="81"/>
  <c r="C39" i="81" s="1"/>
  <c r="C46" i="81" s="1"/>
  <c r="C45" i="81" s="1"/>
  <c r="C19" i="80"/>
  <c r="C20" i="80" s="1"/>
  <c r="C26" i="80" s="1"/>
  <c r="F11" i="80"/>
  <c r="M11" i="80"/>
  <c r="J10" i="80" s="1"/>
  <c r="J5" i="80" s="1"/>
  <c r="M7" i="15"/>
  <c r="J6" i="15" s="1"/>
  <c r="J18" i="15" s="1"/>
  <c r="C6" i="15"/>
  <c r="C32" i="15" s="1"/>
  <c r="F50" i="15"/>
  <c r="C49" i="15" s="1"/>
  <c r="F71" i="15"/>
  <c r="M8" i="1"/>
  <c r="F65" i="67"/>
  <c r="F68" i="67"/>
  <c r="F51" i="67"/>
  <c r="Q71" i="67"/>
  <c r="F66" i="67"/>
  <c r="N59" i="67"/>
  <c r="L58" i="67"/>
  <c r="Q60" i="67" s="1"/>
  <c r="M59" i="67"/>
  <c r="L59" i="67"/>
  <c r="Q74" i="67" s="1"/>
  <c r="J53" i="67"/>
  <c r="Q52" i="67" s="1"/>
  <c r="J57" i="67"/>
  <c r="J55" i="67" s="1"/>
  <c r="J58" i="67" s="1"/>
  <c r="Q50" i="67" s="1"/>
  <c r="L56" i="67"/>
  <c r="I54" i="67"/>
  <c r="F50" i="67"/>
  <c r="M7" i="67"/>
  <c r="J6" i="67" s="1"/>
  <c r="J18" i="67" s="1"/>
  <c r="F71" i="67"/>
  <c r="C6" i="67"/>
  <c r="C32" i="67" s="1"/>
  <c r="F64" i="67"/>
  <c r="C27" i="67"/>
  <c r="AM6" i="3"/>
  <c r="E210" i="3"/>
  <c r="E92" i="3"/>
  <c r="E489" i="3"/>
  <c r="E367" i="3"/>
  <c r="E548" i="3"/>
  <c r="Z6" i="3"/>
  <c r="E207" i="3"/>
  <c r="E227" i="3"/>
  <c r="E362" i="3"/>
  <c r="E208" i="3"/>
  <c r="E454" i="3"/>
  <c r="E562" i="3"/>
  <c r="E573" i="3"/>
  <c r="E45" i="3"/>
  <c r="E181" i="3"/>
  <c r="E109" i="3"/>
  <c r="E377" i="3"/>
  <c r="E186" i="3"/>
  <c r="E28" i="3"/>
  <c r="AS6" i="3"/>
  <c r="E477" i="3"/>
  <c r="AO6" i="3"/>
  <c r="E107" i="3"/>
  <c r="E196" i="3"/>
  <c r="E31" i="3"/>
  <c r="E351" i="3"/>
  <c r="E146" i="3"/>
  <c r="E577" i="3"/>
  <c r="E527" i="3"/>
  <c r="E519" i="3"/>
  <c r="E511" i="3"/>
  <c r="E77" i="3"/>
  <c r="K16" i="1"/>
  <c r="E561" i="3"/>
  <c r="AR6" i="3"/>
  <c r="E533" i="3"/>
  <c r="E270" i="3"/>
  <c r="E143" i="3"/>
  <c r="E337" i="3"/>
  <c r="E410" i="3"/>
  <c r="E555" i="3"/>
  <c r="E388" i="3"/>
  <c r="E508" i="3"/>
  <c r="E305" i="3"/>
  <c r="E343" i="3"/>
  <c r="E530" i="3"/>
  <c r="E175" i="3"/>
  <c r="E441" i="3"/>
  <c r="E384" i="3"/>
  <c r="E273" i="3"/>
  <c r="E126" i="3"/>
  <c r="E71" i="3"/>
  <c r="E476" i="3"/>
  <c r="E557" i="3"/>
  <c r="E400" i="3"/>
  <c r="E411" i="3"/>
  <c r="E585" i="3"/>
  <c r="E271" i="3"/>
  <c r="E368" i="3"/>
  <c r="E93" i="3"/>
  <c r="E357" i="3"/>
  <c r="E279" i="3"/>
  <c r="E111" i="3"/>
  <c r="E450" i="3"/>
  <c r="E465" i="3"/>
  <c r="E458" i="3"/>
  <c r="E193" i="3"/>
  <c r="AK6" i="3"/>
  <c r="E85" i="3"/>
  <c r="E59" i="40"/>
  <c r="E26" i="43"/>
  <c r="E29" i="3"/>
  <c r="E572" i="3"/>
  <c r="E331" i="3"/>
  <c r="E272" i="3"/>
  <c r="E182" i="3"/>
  <c r="E27" i="3"/>
  <c r="E546" i="3"/>
  <c r="E531" i="3"/>
  <c r="E505" i="3"/>
  <c r="E432" i="3"/>
  <c r="E485" i="3"/>
  <c r="E515" i="3"/>
  <c r="E379" i="3"/>
  <c r="E204" i="3"/>
  <c r="E269" i="3"/>
  <c r="E397" i="3"/>
  <c r="E74" i="3"/>
  <c r="E318" i="3"/>
  <c r="E257" i="3"/>
  <c r="E171" i="3"/>
  <c r="E106" i="3"/>
  <c r="E468" i="3"/>
  <c r="E587" i="3"/>
  <c r="E406" i="3"/>
  <c r="E560" i="3"/>
  <c r="E133" i="3"/>
  <c r="E228" i="3"/>
  <c r="E545" i="3"/>
  <c r="E568"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168" i="3"/>
  <c r="E54" i="3"/>
  <c r="E475" i="3"/>
  <c r="E471" i="3"/>
  <c r="E537" i="3"/>
  <c r="W6" i="3"/>
  <c r="H6" i="3" s="1"/>
  <c r="E288" i="3"/>
  <c r="E438" i="3"/>
  <c r="E474" i="3"/>
  <c r="E529" i="3"/>
  <c r="E532" i="3"/>
  <c r="E313" i="3"/>
  <c r="E224" i="3"/>
  <c r="E157" i="3"/>
  <c r="E306" i="3"/>
  <c r="E352" i="3"/>
  <c r="E136" i="3"/>
  <c r="E461" i="3"/>
  <c r="E12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32" i="3"/>
  <c r="E363" i="3"/>
  <c r="E389" i="3"/>
  <c r="E76" i="3"/>
  <c r="E409" i="3"/>
  <c r="E425" i="3"/>
  <c r="E467" i="3"/>
  <c r="E46" i="3"/>
  <c r="E160" i="3"/>
  <c r="E200" i="3"/>
  <c r="E249" i="3"/>
  <c r="E30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49" i="3"/>
  <c r="E544" i="3"/>
  <c r="E59" i="3"/>
  <c r="E484" i="3"/>
  <c r="E64" i="3"/>
  <c r="E103" i="3"/>
  <c r="E142" i="3"/>
  <c r="E267" i="3"/>
  <c r="E371"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244" i="3"/>
  <c r="E312" i="3"/>
  <c r="E421" i="3"/>
  <c r="E416" i="3"/>
  <c r="E500" i="3"/>
  <c r="E520" i="3"/>
  <c r="E57" i="3"/>
  <c r="E240" i="3"/>
  <c r="E378" i="3"/>
  <c r="E110" i="3"/>
  <c r="E446" i="3"/>
  <c r="E98" i="3"/>
  <c r="E138" i="3"/>
  <c r="E163" i="3"/>
  <c r="E209" i="3"/>
  <c r="E307" i="3"/>
  <c r="E342" i="3"/>
  <c r="E584" i="3"/>
  <c r="E84" i="3"/>
  <c r="E34" i="3"/>
  <c r="E87" i="3"/>
  <c r="E184" i="3"/>
  <c r="E251" i="3"/>
  <c r="E341" i="3"/>
  <c r="E68" i="3"/>
  <c r="E80" i="3"/>
  <c r="E154" i="3"/>
  <c r="E264" i="3"/>
  <c r="E308" i="3"/>
  <c r="E373" i="3"/>
  <c r="E21" i="3"/>
  <c r="E83" i="3"/>
  <c r="E167" i="3"/>
  <c r="E487" i="3"/>
  <c r="E374" i="3"/>
  <c r="E39" i="3"/>
  <c r="E259" i="3"/>
  <c r="E462" i="3"/>
  <c r="E65" i="3"/>
  <c r="E195" i="3"/>
  <c r="E266" i="3"/>
  <c r="E492" i="3"/>
  <c r="E24" i="3"/>
  <c r="E206" i="3"/>
  <c r="AF6" i="3"/>
  <c r="E51" i="3"/>
  <c r="E158" i="3"/>
  <c r="E309" i="3"/>
  <c r="E283" i="3"/>
  <c r="E149" i="3"/>
  <c r="AD6" i="3"/>
  <c r="E464" i="3"/>
  <c r="E459" i="3"/>
  <c r="E582" i="3"/>
  <c r="E436" i="3"/>
  <c r="E131" i="3"/>
  <c r="E297" i="3"/>
  <c r="E375" i="3"/>
  <c r="E488" i="3"/>
  <c r="E18" i="3"/>
  <c r="E78" i="3"/>
  <c r="E190" i="3"/>
  <c r="E220" i="3"/>
  <c r="E235" i="3"/>
  <c r="E383" i="3"/>
  <c r="E354" i="3"/>
  <c r="E23" i="3"/>
  <c r="E86" i="3"/>
  <c r="E48" i="3"/>
  <c r="E144" i="3"/>
  <c r="E232" i="3"/>
  <c r="E284" i="3"/>
  <c r="E381" i="3"/>
  <c r="E102" i="3"/>
  <c r="E19" i="3"/>
  <c r="E118" i="3"/>
  <c r="E287" i="3"/>
  <c r="E323" i="3"/>
  <c r="E513" i="3"/>
  <c r="E542" i="3"/>
  <c r="E413" i="3"/>
  <c r="E187" i="3"/>
  <c r="E504" i="3"/>
  <c r="E47" i="3"/>
  <c r="E248" i="3"/>
  <c r="E386" i="3"/>
  <c r="E35" i="3"/>
  <c r="E33" i="3"/>
  <c r="E250" i="3"/>
  <c r="E355" i="3"/>
  <c r="E81" i="3"/>
  <c r="E222" i="3"/>
  <c r="E22" i="3"/>
  <c r="E165" i="3"/>
  <c r="E141" i="3"/>
  <c r="E552" i="3"/>
  <c r="E398" i="3"/>
  <c r="E566" i="3"/>
  <c r="E460" i="3"/>
  <c r="E90" i="3"/>
  <c r="E155" i="3"/>
  <c r="E348" i="3"/>
  <c r="E58" i="3"/>
  <c r="E521" i="3"/>
  <c r="E96" i="3"/>
  <c r="E129" i="3"/>
  <c r="E174" i="3"/>
  <c r="E275" i="3"/>
  <c r="E324" i="3"/>
  <c r="E310" i="3"/>
  <c r="E522" i="3"/>
  <c r="E66" i="3"/>
  <c r="E67" i="3"/>
  <c r="E49" i="3"/>
  <c r="E127" i="3"/>
  <c r="E233" i="3"/>
  <c r="E370" i="3"/>
  <c r="Y6" i="3"/>
  <c r="E63" i="3"/>
  <c r="E113" i="3"/>
  <c r="E179" i="3"/>
  <c r="E326" i="3"/>
  <c r="E82" i="3"/>
  <c r="G26" i="43"/>
  <c r="N94" i="46"/>
  <c r="J26" i="43"/>
  <c r="N370" i="46"/>
  <c r="D18" i="53"/>
  <c r="B35" i="72" s="1"/>
  <c r="C7" i="74"/>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F22" i="81"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F1" i="15"/>
  <c r="Q52" i="15"/>
  <c r="Q60" i="15"/>
  <c r="Q73" i="15"/>
  <c r="Q74" i="15"/>
  <c r="Q61" i="15"/>
  <c r="AE11" i="1"/>
  <c r="AE9" i="1"/>
  <c r="F27" i="68"/>
  <c r="AE8" i="1"/>
  <c r="AE12" i="1"/>
  <c r="AE10" i="1"/>
  <c r="C16" i="15"/>
  <c r="AE6" i="1"/>
  <c r="F41" i="67"/>
  <c r="C16" i="67"/>
  <c r="AE7" i="1"/>
  <c r="J67" i="43" l="1"/>
  <c r="D67" i="43"/>
  <c r="J65" i="43"/>
  <c r="D65" i="43"/>
  <c r="J66" i="43"/>
  <c r="D66" i="43"/>
  <c r="J61" i="43"/>
  <c r="D61" i="43"/>
  <c r="J63" i="43"/>
  <c r="D63" i="43"/>
  <c r="J69" i="43"/>
  <c r="D69" i="43"/>
  <c r="J62" i="43"/>
  <c r="D62" i="43"/>
  <c r="F41" i="81"/>
  <c r="C24" i="81"/>
  <c r="C26" i="81"/>
  <c r="D22" i="81" s="1"/>
  <c r="C44" i="81"/>
  <c r="D41" i="81" s="1"/>
  <c r="C42" i="81"/>
  <c r="C43" i="81"/>
  <c r="L36" i="43"/>
  <c r="P36" i="43" s="1"/>
  <c r="F24" i="80"/>
  <c r="J26" i="80"/>
  <c r="J24" i="80"/>
  <c r="C53" i="80"/>
  <c r="C48" i="80" s="1"/>
  <c r="C10" i="80"/>
  <c r="C5" i="80" s="1"/>
  <c r="J5" i="15"/>
  <c r="J24" i="15" s="1"/>
  <c r="Q61" i="67"/>
  <c r="F1" i="67"/>
  <c r="Q73" i="67"/>
  <c r="C49" i="67"/>
  <c r="J5" i="67"/>
  <c r="J24" i="67" s="1"/>
  <c r="O8" i="1"/>
  <c r="P8" i="1" s="1"/>
  <c r="D26" i="43"/>
  <c r="C25" i="43" s="1"/>
  <c r="AC6" i="3"/>
  <c r="E65" i="39"/>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48" i="15" s="1"/>
  <c r="C66" i="15" s="1"/>
  <c r="C10" i="15"/>
  <c r="C5" i="15" s="1"/>
  <c r="C38" i="15" s="1"/>
  <c r="F25" i="12"/>
  <c r="F22" i="69"/>
  <c r="F41" i="69" s="1"/>
  <c r="F24" i="67"/>
  <c r="C24" i="67" s="1"/>
  <c r="F22" i="11"/>
  <c r="F22" i="68"/>
  <c r="F24" i="15"/>
  <c r="C24" i="15" s="1"/>
  <c r="F41" i="80"/>
  <c r="M27" i="67"/>
  <c r="F41" i="15"/>
  <c r="M27" i="15"/>
  <c r="E61" i="43" l="1"/>
  <c r="B59" i="43" s="1"/>
  <c r="C28" i="43" s="1"/>
  <c r="F69" i="80"/>
  <c r="J29" i="80"/>
  <c r="L37" i="43"/>
  <c r="O37" i="43" s="1"/>
  <c r="R50" i="34"/>
  <c r="C49" i="34" s="1"/>
  <c r="C41" i="81"/>
  <c r="C49" i="81" s="1"/>
  <c r="N36" i="43"/>
  <c r="Q36" i="43"/>
  <c r="O36" i="43"/>
  <c r="M36" i="43"/>
  <c r="C38" i="80"/>
  <c r="C24" i="80"/>
  <c r="C23" i="80"/>
  <c r="C60" i="80"/>
  <c r="C66" i="80"/>
  <c r="C48" i="67"/>
  <c r="C60" i="67" s="1"/>
  <c r="D116"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F50" i="81" s="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D10" i="69"/>
  <c r="C34" i="69"/>
  <c r="D10" i="68"/>
  <c r="C17" i="15"/>
  <c r="C14" i="67"/>
  <c r="C17" i="67"/>
  <c r="T9" i="43" l="1"/>
  <c r="V9" i="43" s="1"/>
  <c r="T12" i="43"/>
  <c r="V12" i="43" s="1"/>
  <c r="T3" i="43"/>
  <c r="V3" i="43" s="1"/>
  <c r="C40" i="43"/>
  <c r="C38" i="43"/>
  <c r="T15" i="43"/>
  <c r="V15" i="43" s="1"/>
  <c r="T10" i="43"/>
  <c r="V10" i="43" s="1"/>
  <c r="C37" i="43"/>
  <c r="T7" i="43"/>
  <c r="V7" i="43" s="1"/>
  <c r="T2" i="43"/>
  <c r="V2" i="43" s="1"/>
  <c r="T13" i="43"/>
  <c r="V13" i="43" s="1"/>
  <c r="T16" i="43"/>
  <c r="V16" i="43" s="1"/>
  <c r="T8" i="43"/>
  <c r="V8" i="43" s="1"/>
  <c r="T6" i="43"/>
  <c r="V6" i="43" s="1"/>
  <c r="C41" i="43"/>
  <c r="C39" i="43"/>
  <c r="T11" i="43"/>
  <c r="V11" i="43" s="1"/>
  <c r="T4" i="43"/>
  <c r="V4" i="43" s="1"/>
  <c r="T5" i="43"/>
  <c r="V5" i="43" s="1"/>
  <c r="C42" i="43"/>
  <c r="T14" i="43"/>
  <c r="V14" i="43" s="1"/>
  <c r="C33" i="43"/>
  <c r="C51" i="81"/>
  <c r="Q37" i="43"/>
  <c r="N37" i="43"/>
  <c r="P37" i="43"/>
  <c r="M37" i="43"/>
  <c r="C50" i="34"/>
  <c r="C29" i="80"/>
  <c r="C36" i="80" s="1"/>
  <c r="C66" i="67"/>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42" i="43" l="1"/>
  <c r="C6" i="81" s="1"/>
  <c r="G42" i="43"/>
  <c r="I42" i="43" s="1"/>
  <c r="E39" i="43"/>
  <c r="G39" i="43"/>
  <c r="I39" i="43" s="1"/>
  <c r="E37" i="43"/>
  <c r="G37" i="43"/>
  <c r="I37" i="43" s="1"/>
  <c r="E40" i="43"/>
  <c r="G40" i="43"/>
  <c r="I40" i="43" s="1"/>
  <c r="G41" i="43"/>
  <c r="I41" i="43" s="1"/>
  <c r="E41" i="43"/>
  <c r="E33" i="43"/>
  <c r="C34" i="43"/>
  <c r="E34" i="43" s="1"/>
  <c r="C31" i="43" s="1"/>
  <c r="E38" i="43"/>
  <c r="G38" i="43"/>
  <c r="I38" i="43" s="1"/>
  <c r="C7" i="81"/>
  <c r="C8" i="68"/>
  <c r="C8" i="81"/>
  <c r="C18" i="12"/>
  <c r="J14" i="80"/>
  <c r="J22" i="80" s="1"/>
  <c r="Q49" i="80"/>
  <c r="J59" i="80"/>
  <c r="J60" i="80" s="1"/>
  <c r="Q48" i="80" s="1"/>
  <c r="C13" i="80"/>
  <c r="C56" i="80" s="1"/>
  <c r="C65" i="80" s="1"/>
  <c r="C57" i="80"/>
  <c r="C64" i="80"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30" i="43" l="1"/>
  <c r="C5" i="81"/>
  <c r="C23" i="81" s="1"/>
  <c r="C21" i="12"/>
  <c r="C22" i="12" s="1"/>
  <c r="J13" i="80"/>
  <c r="J23" i="80" s="1"/>
  <c r="C75" i="80"/>
  <c r="C37" i="80"/>
  <c r="L46" i="80"/>
  <c r="Q70" i="80"/>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20" i="81"/>
  <c r="C25" i="81" s="1"/>
  <c r="C22" i="81" s="1"/>
  <c r="C27" i="12"/>
  <c r="C25" i="12" s="1"/>
  <c r="C30" i="12"/>
  <c r="C28"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80"/>
  <c r="F35" i="15"/>
  <c r="B6" i="76"/>
  <c r="M21" i="15"/>
  <c r="M21" i="67"/>
  <c r="F35" i="67"/>
  <c r="M21" i="80"/>
  <c r="B2" i="76" l="1"/>
  <c r="B3" i="76" s="1"/>
  <c r="C6" i="68"/>
  <c r="B3" i="43"/>
  <c r="C28" i="81"/>
  <c r="C27" i="81" s="1"/>
  <c r="C31" i="81" s="1"/>
  <c r="C52" i="81" s="1"/>
  <c r="B2" i="81" s="1"/>
  <c r="C32" i="12"/>
  <c r="B2" i="12" s="1"/>
  <c r="B3" i="12" s="1"/>
  <c r="J20" i="80"/>
  <c r="J17" i="80" s="1"/>
  <c r="J16" i="80" s="1"/>
  <c r="J25" i="80" s="1"/>
  <c r="C34" i="80"/>
  <c r="C31" i="80" s="1"/>
  <c r="C30" i="80" s="1"/>
  <c r="C39" i="80" s="1"/>
  <c r="F63" i="80"/>
  <c r="C62" i="80" s="1"/>
  <c r="C59" i="80" s="1"/>
  <c r="C58" i="80" s="1"/>
  <c r="C67" i="80" s="1"/>
  <c r="C68" i="80"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82"/>
  <c r="C19" i="83"/>
  <c r="B3" i="81"/>
  <c r="C7" i="68" l="1"/>
  <c r="C5" i="68"/>
  <c r="C102" i="83"/>
  <c r="C21" i="83"/>
  <c r="C102" i="82"/>
  <c r="C21" i="82"/>
  <c r="C57" i="81"/>
  <c r="C56" i="81" s="1"/>
  <c r="C71" i="80"/>
  <c r="Q69" i="80"/>
  <c r="Q68" i="80" s="1"/>
  <c r="C40" i="80"/>
  <c r="C80" i="80"/>
  <c r="C79" i="80"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20" i="82"/>
  <c r="C20" i="83"/>
  <c r="D2" i="21"/>
  <c r="L51" i="80"/>
  <c r="C23" i="68" l="1"/>
  <c r="C20" i="68"/>
  <c r="C103" i="83"/>
  <c r="C103" i="82"/>
  <c r="Q67" i="80"/>
  <c r="Q47" i="80"/>
  <c r="Q53" i="80" s="1"/>
  <c r="Q65" i="80"/>
  <c r="Q75" i="80" s="1"/>
  <c r="Q56" i="80"/>
  <c r="Q62" i="80" s="1"/>
  <c r="C43" i="80"/>
  <c r="B2" i="80"/>
  <c r="B3" i="80" s="1"/>
  <c r="C83" i="80"/>
  <c r="C82" i="80" s="1"/>
  <c r="C46" i="80"/>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L51" i="67"/>
  <c r="D2" i="33"/>
  <c r="Q69" i="15" l="1"/>
  <c r="Q68" i="15" s="1"/>
  <c r="C28" i="68"/>
  <c r="C27" i="68" s="1"/>
  <c r="C25" i="68"/>
  <c r="C22"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D2" i="37"/>
  <c r="L51" i="15"/>
  <c r="C31" i="68" l="1"/>
  <c r="C52" i="68" s="1"/>
  <c r="C57" i="68" s="1"/>
  <c r="C56"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8" i="1"/>
  <c r="AO11" i="1"/>
  <c r="AO12" i="1"/>
  <c r="AO9" i="1"/>
  <c r="AO7" i="1"/>
  <c r="B2" i="68" l="1"/>
  <c r="R48" i="39"/>
  <c r="C47" i="39" s="1"/>
  <c r="L46" i="15"/>
  <c r="B2" i="15" s="1"/>
  <c r="B3" i="15" s="1"/>
  <c r="Q66" i="15"/>
  <c r="Q75" i="15" s="1"/>
  <c r="Q62" i="15"/>
  <c r="B9" i="70"/>
  <c r="B11" i="70"/>
  <c r="B7"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C19" i="9"/>
  <c r="AO6" i="1"/>
  <c r="C102" i="9" l="1"/>
  <c r="C21" i="9"/>
  <c r="B3" i="68"/>
  <c r="B6" i="70"/>
  <c r="B2"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C20" i="9"/>
  <c r="D19" i="82"/>
  <c r="D19" i="83"/>
  <c r="C103" i="9" l="1"/>
  <c r="F65" i="39"/>
  <c r="B2" i="39" s="1"/>
  <c r="B3" i="39" s="1"/>
  <c r="D102" i="83"/>
  <c r="D21" i="83"/>
  <c r="D22" i="83"/>
  <c r="G19" i="83"/>
  <c r="D102" i="82"/>
  <c r="D21" i="82"/>
  <c r="D22" i="82"/>
  <c r="G19" i="82"/>
  <c r="D102" i="9"/>
  <c r="D21" i="9"/>
  <c r="D22" i="9"/>
  <c r="G19" i="9"/>
  <c r="C29" i="9" s="1"/>
  <c r="B3" i="70"/>
  <c r="C42" i="40"/>
  <c r="C43" i="40"/>
  <c r="E47" i="40"/>
  <c r="F47" i="40" s="1"/>
  <c r="E46" i="40"/>
  <c r="F46" i="40" s="1"/>
  <c r="I47" i="40"/>
  <c r="J47" i="40" s="1"/>
  <c r="D20" i="82"/>
  <c r="D20" i="83"/>
  <c r="D20" i="9"/>
  <c r="D103" i="83" l="1"/>
  <c r="G20" i="83"/>
  <c r="C32" i="83" s="1"/>
  <c r="D28" i="83"/>
  <c r="G21" i="83"/>
  <c r="D103" i="82"/>
  <c r="G20" i="82"/>
  <c r="C32" i="82" s="1"/>
  <c r="G21" i="82"/>
  <c r="G21" i="9"/>
  <c r="D28" i="9"/>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83" l="1"/>
  <c r="C34" i="83" s="1"/>
  <c r="C35" i="82"/>
  <c r="C34" i="82" s="1"/>
  <c r="C35" i="9"/>
  <c r="C34" i="9" s="1"/>
  <c r="B6" i="74" l="1"/>
  <c r="D6" i="74" s="1"/>
  <c r="D118" i="9"/>
  <c r="D4" i="52" s="1"/>
  <c r="B47" i="72" s="1"/>
  <c r="F118" i="9"/>
  <c r="F4" i="52" s="1"/>
  <c r="B51" i="72" s="1"/>
  <c r="H118" i="9"/>
  <c r="H4" i="52" l="1"/>
  <c r="D14" i="74"/>
  <c r="H101" i="9"/>
  <c r="M48" i="9" s="1"/>
  <c r="I118" i="9"/>
  <c r="C105" i="9" s="1"/>
  <c r="F119" i="9"/>
  <c r="F5" i="52" s="1"/>
  <c r="B53" i="72" s="1"/>
  <c r="H119" i="9"/>
  <c r="H5" i="52" s="1"/>
  <c r="D119" i="9"/>
  <c r="D5" i="52" s="1"/>
  <c r="B49" i="72" s="1"/>
  <c r="G118" i="9"/>
  <c r="G4" i="52" s="1"/>
  <c r="B52" i="72" s="1"/>
  <c r="C104" i="9"/>
  <c r="F14" i="74" l="1"/>
  <c r="B5" i="74"/>
  <c r="D5" i="74" s="1"/>
  <c r="E14" i="74"/>
  <c r="I4" i="52"/>
  <c r="H107" i="9"/>
  <c r="D122" i="9" s="1"/>
  <c r="D5" i="53"/>
  <c r="B20" i="72" s="1"/>
  <c r="D45" i="9"/>
  <c r="C85" i="9" s="1"/>
  <c r="H102" i="9"/>
  <c r="D7" i="53" s="1"/>
  <c r="B21" i="72" s="1"/>
  <c r="E118" i="9"/>
  <c r="E4" i="52" s="1"/>
  <c r="B48" i="72" s="1"/>
  <c r="C5" i="74"/>
  <c r="D6" i="53" l="1"/>
  <c r="B22" i="72" s="1"/>
  <c r="D55" i="9"/>
  <c r="M53" i="9" s="1"/>
  <c r="D52" i="9"/>
  <c r="C78" i="9"/>
  <c r="C73" i="9" s="1"/>
  <c r="C64" i="9"/>
  <c r="C63" i="9" s="1"/>
  <c r="C67" i="9" s="1"/>
  <c r="D59" i="9" s="1"/>
  <c r="M55" i="9" s="1"/>
  <c r="M49" i="9"/>
  <c r="L64" i="9" s="1"/>
  <c r="M64" i="9" s="1"/>
  <c r="C93" i="9"/>
  <c r="C86" i="9" s="1"/>
  <c r="C95" i="9" s="1"/>
  <c r="D53" i="9"/>
  <c r="H108" i="9"/>
  <c r="D15" i="53" s="1"/>
  <c r="B31" i="72" s="1"/>
  <c r="C72" i="9"/>
  <c r="D13" i="53"/>
  <c r="D14" i="53" s="1"/>
  <c r="B32" i="72" s="1"/>
  <c r="D8" i="52"/>
  <c r="D123" i="9"/>
  <c r="D9" i="52" s="1"/>
  <c r="B30" i="72" l="1"/>
  <c r="L63" i="9"/>
  <c r="M63" i="9" s="1"/>
  <c r="L68" i="9"/>
  <c r="M68" i="9" s="1"/>
  <c r="L66" i="9"/>
  <c r="M66" i="9" s="1"/>
  <c r="C79" i="9"/>
  <c r="L65" i="9"/>
  <c r="M65" i="9" s="1"/>
  <c r="L67" i="9"/>
  <c r="M67" i="9" s="1"/>
  <c r="C6" i="74"/>
  <c r="C68" i="9"/>
  <c r="D54" i="9" s="1"/>
  <c r="C80" i="9"/>
  <c r="E80" i="9" s="1"/>
  <c r="E81" i="9" s="1"/>
  <c r="C96" i="9"/>
  <c r="E96" i="9" s="1"/>
  <c r="E97" i="9" s="1"/>
  <c r="M69" i="9" l="1"/>
  <c r="N69" i="9" s="1"/>
  <c r="C97" i="9"/>
  <c r="D58" i="9" s="1"/>
  <c r="D56" i="9" s="1"/>
  <c r="M54" i="9" s="1"/>
  <c r="N57" i="9" s="1"/>
  <c r="C81" i="9"/>
  <c r="N58" i="9" l="1"/>
  <c r="P57" i="9"/>
  <c r="N59" i="9"/>
  <c r="N60" i="9" l="1"/>
  <c r="N61" i="9"/>
  <c r="N61" i="83"/>
  <c r="N60" i="83"/>
  <c r="C105" i="82"/>
  <c r="H102" i="82"/>
  <c r="N61" i="82"/>
  <c r="N59" i="82"/>
  <c r="N60" i="82"/>
  <c r="N69" i="83"/>
  <c r="C105" i="83"/>
  <c r="H102" i="83"/>
  <c r="F119" i="82"/>
  <c r="D53" i="82"/>
  <c r="D52" i="82"/>
  <c r="D53" i="83"/>
  <c r="D52" i="83"/>
  <c r="P57" i="82"/>
  <c r="N58" i="82"/>
  <c r="C81" i="82"/>
  <c r="H108" i="83"/>
  <c r="C81" i="83"/>
  <c r="M48" i="82"/>
  <c r="G118" i="82"/>
  <c r="F118" i="82"/>
  <c r="H119" i="83"/>
  <c r="C104" i="83"/>
  <c r="C78" i="83"/>
  <c r="C73" i="83"/>
  <c r="E97" i="83"/>
  <c r="D54" i="82"/>
  <c r="N59" i="83"/>
  <c r="H108" i="82"/>
  <c r="E81" i="82"/>
  <c r="M48" i="83"/>
  <c r="D122" i="83"/>
  <c r="D123" i="83"/>
  <c r="C80" i="82"/>
  <c r="E80" i="82"/>
  <c r="C104" i="82"/>
  <c r="H119" i="82"/>
  <c r="D55" i="82"/>
  <c r="M53" i="82"/>
  <c r="N57" i="82"/>
  <c r="L65" i="83"/>
  <c r="M65" i="83"/>
  <c r="C93" i="82"/>
  <c r="C86" i="82"/>
  <c r="L63" i="83"/>
  <c r="M63" i="83"/>
  <c r="M69" i="83"/>
  <c r="L68" i="82"/>
  <c r="M68" i="82"/>
  <c r="L65" i="82"/>
  <c r="M65" i="82"/>
  <c r="C68" i="83"/>
  <c r="D54" i="83"/>
  <c r="N58" i="83"/>
  <c r="P57" i="83"/>
  <c r="E97" i="82"/>
  <c r="N69" i="82"/>
  <c r="L63" i="82"/>
  <c r="M63" i="82"/>
  <c r="M69" i="82"/>
  <c r="C78" i="82"/>
  <c r="C73" i="82"/>
  <c r="D56" i="82"/>
  <c r="M54" i="82"/>
  <c r="C96" i="82"/>
  <c r="E96" i="82"/>
  <c r="L66" i="82"/>
  <c r="M66" i="82"/>
  <c r="L67" i="82"/>
  <c r="M67" i="82"/>
  <c r="M49" i="82"/>
  <c r="L64" i="82"/>
  <c r="M64" i="82"/>
  <c r="C68" i="82"/>
  <c r="H107" i="82"/>
  <c r="D122" i="82"/>
  <c r="D123" i="82"/>
  <c r="D55" i="83"/>
  <c r="M53" i="83"/>
  <c r="N57" i="83"/>
  <c r="L64" i="83"/>
  <c r="M64" i="83"/>
  <c r="F119" i="83"/>
  <c r="C93" i="83"/>
  <c r="C86" i="83"/>
  <c r="D119" i="82"/>
  <c r="E118" i="82"/>
  <c r="D118" i="82"/>
  <c r="L67" i="83"/>
  <c r="M67" i="83"/>
  <c r="C72" i="83"/>
  <c r="C79" i="83"/>
  <c r="C80" i="83"/>
  <c r="E80" i="83"/>
  <c r="E81" i="83"/>
  <c r="C67" i="83"/>
  <c r="D59" i="83"/>
  <c r="M55" i="83"/>
  <c r="D119" i="83"/>
  <c r="C96" i="83"/>
  <c r="E96" i="83"/>
  <c r="C97" i="83"/>
  <c r="D58" i="83"/>
  <c r="D56" i="83"/>
  <c r="M54" i="83"/>
  <c r="C85" i="83"/>
  <c r="C95" i="83"/>
  <c r="L66" i="83"/>
  <c r="M66" i="83"/>
  <c r="C67" i="82"/>
  <c r="D59" i="82"/>
  <c r="M55" i="82"/>
  <c r="H107" i="83"/>
  <c r="M49" i="83"/>
  <c r="L68" i="83"/>
  <c r="M68" i="83"/>
  <c r="C72" i="82"/>
  <c r="C79" i="82"/>
  <c r="G118" i="83"/>
  <c r="F118" i="83"/>
  <c r="C85" i="82"/>
  <c r="C95" i="82"/>
  <c r="C97" i="82"/>
  <c r="D58" i="82"/>
  <c r="E118" i="83"/>
  <c r="D118" i="83"/>
  <c r="I118" i="82"/>
  <c r="H118" i="82"/>
  <c r="H101" i="82"/>
  <c r="D45" i="82"/>
  <c r="C64" i="82"/>
  <c r="C63" i="82"/>
  <c r="I118" i="83"/>
  <c r="H118" i="83"/>
  <c r="H101" i="83"/>
  <c r="D45" i="83"/>
  <c r="C64" i="83"/>
  <c r="C63"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<sst xmlns="http://schemas.openxmlformats.org/spreadsheetml/2006/main" count="9183" uniqueCount="3534">
  <si>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</si>
  <si>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</si>
  <si>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</si>
  <si>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</si>
  <si>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</si>
  <si>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</si>
  <si>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</si>
  <si>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</si>
  <si>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</si>
  <si>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</si>
  <si>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</si>
  <si>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</si>
  <si>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</si>
  <si>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</si>
  <si>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</si>
  <si>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</si>
  <si>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</si>
  <si>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</si>
  <si>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</si>
  <si>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</si>
  <si>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</si>
  <si>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</si>
  <si>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</si>
  <si>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</si>
  <si>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</si>
  <si>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</si>
  <si>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</si>
  <si>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</si>
  <si>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</si>
  <si>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</si>
  <si>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</si>
  <si>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</si>
  <si>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</si>
  <si>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</si>
  <si>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</si>
  <si>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</si>
  <si>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</si>
  <si>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</si>
  <si>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</si>
  <si>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</si>
  <si>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</si>
  <si>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</si>
  <si>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</si>
  <si>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</si>
  <si>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</si>
  <si>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</si>
  <si>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</si>
  <si>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</si>
  <si>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</si>
  <si>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</si>
  <si>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</si>
  <si>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</si>
  <si>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</si>
  <si>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</si>
  <si>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</si>
  <si>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</si>
  <si>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</si>
  <si>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</si>
  <si>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</si>
  <si>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</si>
  <si>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</si>
  <si>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</si>
  <si>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</si>
  <si>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</si>
  <si>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</si>
  <si>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</si>
  <si>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</si>
  <si>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</si>
  <si>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</si>
  <si>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</si>
  <si>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</si>
  <si>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</si>
  <si>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</si>
  <si>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</si>
  <si>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</si>
  <si>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</si>
  <si>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</si>
  <si>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</si>
  <si>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</si>
  <si>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</si>
  <si>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</si>
  <si>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</si>
  <si>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</si>
  <si>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</si>
  <si>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</si>
  <si>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</si>
  <si>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</si>
  <si>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</si>
  <si>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</si>
  <si>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</si>
  <si>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</si>
  <si>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</si>
  <si>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</si>
  <si>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</si>
  <si>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</si>
  <si>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</si>
  <si>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</si>
  <si>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</si>
  <si>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</si>
  <si>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</si>
  <si>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</si>
  <si>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</si>
  <si>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</si>
  <si>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</si>
  <si>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</si>
  <si>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</si>
  <si>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</si>
  <si>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</si>
  <si>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</si>
  <si>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</si>
  <si>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</si>
  <si>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</si>
  <si>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</si>
  <si>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</si>
  <si>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</si>
  <si>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</si>
  <si>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</si>
  <si>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</si>
  <si>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</si>
  <si>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</si>
  <si>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</si>
  <si>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</si>
  <si>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</si>
  <si>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</si>
  <si>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</si>
  <si>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</si>
  <si>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</si>
  <si>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</si>
  <si>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</si>
  <si>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</si>
  <si>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</si>
  <si>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</si>
  <si>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</si>
  <si>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</si>
  <si>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</si>
  <si>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</si>
  <si>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</si>
  <si>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</si>
  <si>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</si>
  <si>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</si>
  <si>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</si>
  <si>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</si>
  <si>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</si>
  <si>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</si>
  <si>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</si>
  <si>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</si>
  <si>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</si>
  <si>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</si>
  <si>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</si>
  <si>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</si>
  <si>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</si>
  <si>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</si>
  <si>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</si>
  <si>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</si>
  <si>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</si>
  <si>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</si>
  <si>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</si>
  <si>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</si>
  <si>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</si>
  <si>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</si>
  <si>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</si>
  <si>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</si>
  <si>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</si>
  <si>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</si>
  <si>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</si>
  <si>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</si>
  <si>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</si>
  <si>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</si>
  <si>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</si>
  <si>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</si>
  <si>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</si>
  <si>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</si>
  <si>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</si>
  <si>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</si>
  <si>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</si>
  <si>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</si>
  <si>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</si>
  <si>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</si>
  <si>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</si>
  <si>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</si>
  <si>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</si>
  <si>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</si>
  <si>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</si>
  <si>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</si>
  <si>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</si>
  <si>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</si>
  <si>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</si>
  <si>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</si>
  <si>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</si>
  <si>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</si>
  <si>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</si>
  <si>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</si>
  <si>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</si>
  <si>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</si>
  <si>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</si>
  <si>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</si>
  <si>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</si>
  <si>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</si>
  <si>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</si>
  <si>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</si>
  <si>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</si>
  <si>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</si>
  <si>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</si>
  <si>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</si>
  <si>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</si>
  <si>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</si>
  <si>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</si>
  <si>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</si>
  <si>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</si>
  <si>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</si>
  <si>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</si>
  <si>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</si>
  <si>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</si>
  <si>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</si>
  <si>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</si>
  <si>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</si>
  <si>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</si>
  <si>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</si>
  <si>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</si>
  <si>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</si>
  <si>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</si>
  <si>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</si>
  <si>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</si>
  <si>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</si>
  <si>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</si>
  <si>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</si>
  <si>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</si>
  <si>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</si>
  <si>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</si>
  <si>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</si>
  <si>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</si>
  <si>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</si>
  <si>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</si>
  <si>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</si>
  <si>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</si>
  <si>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</si>
  <si>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</si>
  <si>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</si>
  <si>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</si>
  <si>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</si>
  <si>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</si>
  <si>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</si>
  <si>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</si>
  <si>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</si>
  <si>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</si>
  <si>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</si>
  <si>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</si>
  <si>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</si>
  <si>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</si>
  <si>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</si>
  <si>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</si>
  <si>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</si>
  <si>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</si>
  <si>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</si>
  <si>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</si>
  <si>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</si>
  <si>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</si>
  <si>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</si>
  <si>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</si>
  <si>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</si>
  <si>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</si>
  <si>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</si>
  <si>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</si>
  <si>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</si>
  <si>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</si>
  <si>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</si>
  <si>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</si>
  <si>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</si>
  <si>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</si>
  <si>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</si>
  <si>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</si>
  <si>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</si>
  <si>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</si>
  <si>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</si>
  <si>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</si>
  <si>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</si>
  <si>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</si>
  <si>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</si>
  <si>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</si>
  <si>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</si>
  <si>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</si>
  <si>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</si>
  <si>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</si>
  <si>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</si>
  <si>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</si>
  <si>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</si>
  <si>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</si>
  <si>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</si>
  <si>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</si>
  <si>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</si>
  <si>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</si>
  <si>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</si>
  <si>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</si>
  <si>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</si>
  <si>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</si>
  <si>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</si>
  <si>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</si>
  <si>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</si>
  <si>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</si>
  <si>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</si>
  <si>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</si>
  <si>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</si>
  <si>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</si>
  <si>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</si>
  <si>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</si>
  <si>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</si>
  <si>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</si>
  <si>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</si>
  <si>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</si>
  <si>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</si>
  <si>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</si>
  <si>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</si>
  <si>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</si>
  <si>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</si>
  <si>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</si>
  <si>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</si>
  <si>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</si>
  <si>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</si>
  <si>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</si>
  <si>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</si>
  <si>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</si>
  <si>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</si>
  <si>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</si>
  <si>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</si>
  <si>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</si>
  <si>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</si>
  <si>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</si>
  <si>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</si>
  <si>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</si>
  <si>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</si>
  <si>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</si>
  <si>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</si>
  <si>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</si>
  <si>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</si>
  <si>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</si>
  <si>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</si>
  <si>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</si>
  <si>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</si>
  <si>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</si>
  <si>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</si>
  <si>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</si>
  <si>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</si>
  <si>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</si>
  <si>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</si>
  <si>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</si>
  <si>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</si>
  <si>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</si>
  <si>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</si>
  <si>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</si>
  <si>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</si>
  <si>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</si>
  <si>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</si>
  <si>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</si>
  <si>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</si>
  <si>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</si>
  <si>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</si>
  <si>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</si>
  <si>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</si>
  <si>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</si>
  <si>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</si>
  <si>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</si>
  <si>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</si>
  <si>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</si>
  <si>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</si>
  <si>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</si>
  <si>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</si>
  <si>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</si>
  <si>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</si>
  <si>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</si>
  <si>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</si>
  <si>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</si>
  <si>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</si>
  <si>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</si>
  <si>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</si>
  <si>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</si>
  <si>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</si>
  <si>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</si>
  <si>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</si>
  <si>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</si>
  <si>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</si>
  <si>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</si>
  <si>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</si>
  <si>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</si>
  <si>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</si>
  <si>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</si>
  <si>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</si>
  <si>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</si>
  <si>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</si>
  <si>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</si>
  <si>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</si>
  <si>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</si>
  <si>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</si>
  <si>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</si>
  <si>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</si>
  <si>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</si>
  <si>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</si>
  <si>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</si>
  <si>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</si>
  <si>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</si>
  <si>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</si>
  <si>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</si>
  <si>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</si>
  <si>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</si>
  <si>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</si>
  <si>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</si>
  <si>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</si>
  <si>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</si>
  <si>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</si>
  <si>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</si>
  <si>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</si>
  <si>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</si>
  <si>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</si>
  <si>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</si>
  <si>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</si>
  <si>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</si>
  <si>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</si>
  <si>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</si>
  <si>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</si>
  <si>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</si>
  <si>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</si>
  <si>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</si>
  <si>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</si>
  <si>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</si>
  <si>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</si>
  <si>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</si>
  <si>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</si>
  <si>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</si>
  <si>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</si>
  <si>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</si>
  <si>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</si>
  <si>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</si>
  <si>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</si>
  <si>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</si>
  <si>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</si>
  <si>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</si>
  <si>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</si>
  <si>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</si>
  <si>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</si>
  <si>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</si>
  <si>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</si>
  <si>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</si>
  <si>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</si>
  <si>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</si>
  <si>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</si>
  <si>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</si>
  <si>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</si>
  <si>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</si>
  <si>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</si>
  <si>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</si>
  <si>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</si>
  <si>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</si>
  <si>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</si>
  <si>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</si>
  <si>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</si>
  <si>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</si>
  <si>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</si>
  <si>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</si>
  <si>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</si>
  <si>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</si>
  <si>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</si>
  <si>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</si>
  <si>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</si>
  <si>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</si>
  <si>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</si>
  <si>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</si>
  <si>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</si>
  <si>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</si>
  <si>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</si>
  <si>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</si>
  <si>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</si>
  <si>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</si>
  <si>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</si>
  <si>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</si>
  <si>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</si>
  <si>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</si>
  <si>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</si>
  <si>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</si>
  <si>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</si>
  <si>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</si>
  <si>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</si>
  <si>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</si>
  <si>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</si>
  <si>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</si>
  <si>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</si>
  <si>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</si>
  <si>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</si>
  <si>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</si>
  <si>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</si>
  <si>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</si>
  <si>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</si>
  <si>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</si>
  <si>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</si>
  <si>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</si>
  <si>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</si>
  <si>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</si>
  <si>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</si>
  <si>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</si>
  <si>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</si>
  <si>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</si>
  <si>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</si>
  <si>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</si>
  <si>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</si>
  <si>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</si>
  <si>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</si>
  <si>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</si>
  <si>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</si>
  <si>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</si>
  <si>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</si>
  <si>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</si>
  <si>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</si>
  <si>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</si>
  <si>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</si>
  <si>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</si>
  <si>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</si>
  <si>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</si>
  <si>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</si>
  <si>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</si>
  <si>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</si>
  <si>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</si>
  <si>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</si>
  <si>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</si>
  <si>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</si>
  <si>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</si>
  <si>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</si>
  <si>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</si>
  <si>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</si>
  <si>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</si>
  <si>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</si>
  <si>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</si>
  <si>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</si>
  <si>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</si>
  <si>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</si>
  <si>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</si>
  <si>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</si>
  <si>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</si>
  <si>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</si>
  <si>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</si>
  <si>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</si>
  <si>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</si>
  <si>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</si>
  <si>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</si>
  <si>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</si>
  <si>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</si>
  <si>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</si>
  <si>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</si>
  <si>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</si>
  <si>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</si>
  <si>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</si>
  <si>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</si>
  <si>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</si>
  <si>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</si>
  <si>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</si>
  <si>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</si>
  <si>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</si>
  <si>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</si>
  <si>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</si>
  <si>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</si>
  <si>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</si>
  <si>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</si>
  <si>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</si>
  <si>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</si>
  <si>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</si>
  <si>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</si>
  <si>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</si>
  <si>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</si>
  <si>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</si>
  <si>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</si>
  <si>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</si>
  <si>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</si>
  <si>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</si>
  <si>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</si>
  <si>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</si>
  <si>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</si>
  <si>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</si>
  <si>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</si>
  <si>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</si>
  <si>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</si>
  <si>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</si>
  <si>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</si>
  <si>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</si>
  <si>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</si>
  <si>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</si>
  <si>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</si>
  <si>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</si>
  <si>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</si>
  <si>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</si>
  <si>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</si>
  <si>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</si>
  <si>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</si>
  <si>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</si>
  <si>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</si>
  <si>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</si>
  <si>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</si>
  <si>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</si>
  <si>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</si>
  <si>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</si>
  <si>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</si>
  <si>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</si>
  <si>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</si>
  <si>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</si>
  <si>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</si>
  <si>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</si>
  <si>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</si>
  <si>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</si>
  <si>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</si>
  <si>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</si>
  <si>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</si>
  <si>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</si>
  <si>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</si>
  <si>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</si>
  <si>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</si>
  <si>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</si>
  <si>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</si>
  <si>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</si>
  <si>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</si>
  <si>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</si>
  <si>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</si>
  <si>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</si>
  <si>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</si>
  <si>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</si>
  <si>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</si>
  <si>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</si>
  <si>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</si>
  <si>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</si>
  <si>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</si>
  <si>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</si>
  <si>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</si>
  <si>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</si>
  <si>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</si>
  <si>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</si>
  <si>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</si>
  <si>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</si>
  <si>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</si>
  <si>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</si>
  <si>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</si>
  <si>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</si>
  <si>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</si>
  <si>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</si>
  <si>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</si>
  <si>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</si>
  <si>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</si>
  <si>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</si>
  <si>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</si>
  <si>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</si>
  <si>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</si>
  <si>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</si>
  <si>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</si>
  <si>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</si>
  <si>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</si>
  <si>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</si>
  <si>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</si>
  <si>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</si>
  <si>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</si>
  <si>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</si>
  <si>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</si>
  <si>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</si>
  <si>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</si>
  <si>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</si>
  <si>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</si>
  <si>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</si>
  <si>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</si>
  <si>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</si>
  <si>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</si>
  <si>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</si>
  <si>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</si>
  <si>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</si>
  <si>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</si>
  <si>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</si>
  <si>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</si>
  <si>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</si>
  <si>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</si>
  <si>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</si>
  <si>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</si>
  <si>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</si>
  <si>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</si>
  <si>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</si>
  <si>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</si>
  <si>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</si>
  <si>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</si>
  <si>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</si>
  <si>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</si>
  <si>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</si>
  <si>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</si>
  <si>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</si>
  <si>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</si>
  <si>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</si>
  <si>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</si>
  <si>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</si>
  <si>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</si>
  <si>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</si>
  <si>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</si>
  <si>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</si>
  <si>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</si>
  <si>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</si>
  <si>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</si>
  <si>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</si>
  <si>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</si>
  <si>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</si>
  <si>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</si>
  <si>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</si>
  <si>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</si>
  <si>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</si>
  <si>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</si>
  <si>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</si>
  <si>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</si>
  <si>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</si>
  <si>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</si>
  <si>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</si>
  <si>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</si>
  <si>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</si>
  <si>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</si>
  <si>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</si>
  <si>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</si>
  <si>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</si>
  <si>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</si>
  <si>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</si>
  <si>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</si>
  <si>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</si>
  <si>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</si>
  <si>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</si>
  <si>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</si>
  <si>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</si>
  <si>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</si>
  <si>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</si>
  <si>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</si>
  <si>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</si>
  <si>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</si>
  <si>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</si>
  <si>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</si>
  <si>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</si>
  <si>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</si>
  <si>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</si>
  <si>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</si>
  <si>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</si>
  <si>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</si>
  <si>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</si>
  <si>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</si>
  <si>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</si>
  <si>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</si>
  <si>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</si>
  <si>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</si>
  <si>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</si>
  <si>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</si>
  <si>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</si>
  <si>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</si>
  <si>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</si>
  <si>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</si>
  <si>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</si>
  <si>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</si>
  <si>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</si>
  <si>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</si>
  <si>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</si>
  <si>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</si>
  <si>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</si>
  <si>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</si>
  <si>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</si>
  <si>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</si>
  <si>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</si>
  <si>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</si>
  <si>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</si>
  <si>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</si>
  <si>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</si>
  <si>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</si>
  <si>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</si>
  <si>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</si>
  <si>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</si>
  <si>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</si>
  <si>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</si>
  <si>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</si>
  <si>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</si>
  <si>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</si>
  <si>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</si>
  <si>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</si>
  <si>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</si>
  <si>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</si>
  <si>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</si>
  <si>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</si>
  <si>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</si>
  <si>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</si>
  <si>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</si>
  <si>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</si>
  <si>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</si>
  <si>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</si>
  <si>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</si>
  <si>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</si>
  <si>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</si>
  <si>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</si>
  <si>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</si>
  <si>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</si>
  <si>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</si>
  <si>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</si>
  <si>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</si>
  <si>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</si>
  <si>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</si>
  <si>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</si>
  <si>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</si>
  <si>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</si>
  <si>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</si>
  <si>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</si>
  <si>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</si>
  <si>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</si>
  <si>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</si>
  <si>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</si>
  <si>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</si>
  <si>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</si>
  <si>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</si>
  <si>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</si>
  <si>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</si>
  <si>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</si>
  <si>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</si>
  <si>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</si>
  <si>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</si>
  <si>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</si>
  <si>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</si>
  <si>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</si>
  <si>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</si>
  <si>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</si>
  <si>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</si>
  <si>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</si>
  <si>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</si>
  <si>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</si>
  <si>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</si>
  <si>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</si>
  <si>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</si>
  <si>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</si>
  <si>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</si>
  <si>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</si>
  <si>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</si>
  <si>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</si>
  <si>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</si>
  <si>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</si>
  <si>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</si>
  <si>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</si>
  <si>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</si>
  <si>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</si>
  <si>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</si>
  <si>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</si>
  <si>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</si>
  <si>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</si>
  <si>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</si>
  <si>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</si>
  <si>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</si>
  <si>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</si>
  <si>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</si>
  <si>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</si>
  <si>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</si>
  <si>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</si>
  <si>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</si>
  <si>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</si>
  <si>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</si>
  <si>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</si>
  <si>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</si>
  <si>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</si>
  <si>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</si>
  <si>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</si>
  <si>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</si>
  <si>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</si>
  <si>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</si>
  <si>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</si>
  <si>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</si>
  <si>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</si>
  <si>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</si>
  <si>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</si>
  <si>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</si>
  <si>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</si>
  <si>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</si>
  <si>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</si>
  <si>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</si>
  <si>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</si>
  <si>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</si>
  <si>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</si>
  <si>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</si>
  <si>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</si>
  <si>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</si>
  <si>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</si>
  <si>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</si>
  <si>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</si>
  <si>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</si>
  <si>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</si>
  <si>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</si>
  <si>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</si>
  <si>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</si>
  <si>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</si>
  <si>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</si>
  <si>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</si>
  <si>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</si>
  <si>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</si>
  <si>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</si>
  <si>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</si>
  <si>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</si>
  <si>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</si>
  <si>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</si>
  <si>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</si>
  <si>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</si>
  <si>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</si>
  <si>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</si>
  <si>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</si>
  <si>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</si>
  <si>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</si>
  <si>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</si>
  <si>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</si>
  <si>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</si>
  <si>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</si>
  <si>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</si>
  <si>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</si>
  <si>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</si>
  <si>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</si>
  <si>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</si>
  <si>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</si>
  <si>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</si>
  <si>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</si>
  <si>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</si>
  <si>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</si>
  <si>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</si>
  <si>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</si>
  <si>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</si>
  <si>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</si>
  <si>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</si>
  <si>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</si>
  <si>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</si>
  <si>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</si>
  <si>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</si>
  <si>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</si>
  <si>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</si>
  <si>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</si>
  <si>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</si>
  <si>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</si>
  <si>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</si>
  <si>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</si>
  <si>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</si>
  <si>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</si>
  <si>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</si>
  <si>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</si>
  <si>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</si>
  <si>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</si>
  <si>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</si>
  <si>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</si>
  <si>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</si>
  <si>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</si>
  <si>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</si>
  <si>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</si>
  <si>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</si>
  <si>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</si>
  <si>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</si>
  <si>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</si>
  <si>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</si>
  <si>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</si>
  <si>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</si>
  <si>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</si>
  <si>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</si>
  <si>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</si>
  <si>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</si>
  <si>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</si>
  <si>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</si>
  <si>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</si>
  <si>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</si>
  <si>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</si>
  <si>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</si>
  <si>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</si>
  <si>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</si>
  <si>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</si>
  <si>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</si>
  <si>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</si>
  <si>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</si>
  <si>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</si>
  <si>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</si>
  <si>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</si>
  <si>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</si>
  <si>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</si>
  <si>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</si>
  <si>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</si>
  <si>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</si>
  <si>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</si>
  <si>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</si>
  <si>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</si>
  <si>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</si>
  <si>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</si>
  <si>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</si>
  <si>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</si>
  <si>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</si>
  <si>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</si>
  <si>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</si>
  <si>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</si>
  <si>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</si>
  <si>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</si>
  <si>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</si>
  <si>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</si>
  <si>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</si>
  <si>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</si>
  <si>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</si>
  <si>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</si>
  <si>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</si>
  <si>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</si>
  <si>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</si>
  <si>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</si>
  <si>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</si>
  <si>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</si>
  <si>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</si>
  <si>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</si>
  <si>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</si>
  <si>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</si>
  <si>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</si>
  <si>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</si>
  <si>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</si>
  <si>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</si>
  <si>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</si>
  <si>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</si>
  <si>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</si>
  <si>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</si>
  <si>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</si>
  <si>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</si>
  <si>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</si>
  <si>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</si>
  <si>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</si>
  <si>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</si>
  <si>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</si>
  <si>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</si>
  <si>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</si>
  <si>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</si>
  <si>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</si>
  <si>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</si>
  <si>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</si>
  <si>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</si>
  <si>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</si>
  <si>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</si>
  <si>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</si>
  <si>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</si>
  <si>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</si>
  <si>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</si>
  <si>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</si>
  <si>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</si>
  <si>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</si>
  <si>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</si>
  <si>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</si>
  <si>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</si>
  <si>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</si>
  <si>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</si>
  <si>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</si>
  <si>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</si>
  <si>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</si>
  <si>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</si>
  <si>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</si>
  <si>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</si>
  <si>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</si>
  <si>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</si>
  <si>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</si>
  <si>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</si>
  <si>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</si>
  <si>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</si>
  <si>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</si>
  <si>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</si>
  <si>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</si>
  <si>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</si>
  <si>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</si>
  <si>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</si>
  <si>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</si>
  <si>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</si>
  <si>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</si>
  <si>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</si>
  <si>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</si>
  <si>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</si>
  <si>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</si>
  <si>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</si>
  <si>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</si>
  <si>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</si>
  <si>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</si>
  <si>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</si>
  <si>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</si>
  <si>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</si>
  <si>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</si>
  <si>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</si>
  <si>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</si>
  <si>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</si>
  <si>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</si>
  <si>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</si>
  <si>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</si>
  <si>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</si>
  <si>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</si>
  <si>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</si>
  <si>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</si>
  <si>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</si>
  <si>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</si>
  <si>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</si>
  <si>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</si>
  <si>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</si>
  <si>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</si>
  <si>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</si>
  <si>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</si>
  <si>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</si>
  <si>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</si>
  <si>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</si>
  <si>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</si>
  <si>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</si>
  <si>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</si>
  <si>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</si>
  <si>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</si>
  <si>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</si>
  <si>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</si>
  <si>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</si>
  <si>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</si>
  <si>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</si>
  <si>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</si>
  <si>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</si>
  <si>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</si>
  <si>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</si>
  <si>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</si>
  <si>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</si>
  <si>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</si>
  <si>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</si>
  <si>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</si>
  <si>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</si>
  <si>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</si>
  <si>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</si>
  <si>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</si>
  <si>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</si>
  <si>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</si>
  <si>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</si>
  <si>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</si>
  <si>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</si>
  <si>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</si>
  <si>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</si>
  <si>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</si>
  <si>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</si>
  <si>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</si>
  <si>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</si>
  <si>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</si>
  <si>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</si>
  <si>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</si>
  <si>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</si>
  <si>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</si>
  <si>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</si>
  <si>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</si>
  <si>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</si>
  <si>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</si>
  <si>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</si>
  <si>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</si>
  <si>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</si>
  <si>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</si>
  <si>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</si>
  <si>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</si>
  <si>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</si>
  <si>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</si>
  <si>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</si>
  <si>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</si>
  <si>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</si>
  <si>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</si>
  <si>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</si>
  <si>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</si>
  <si>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</si>
  <si>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</si>
  <si>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</si>
  <si>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</si>
  <si>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</si>
  <si>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</si>
  <si>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</si>
  <si>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</si>
  <si>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</si>
  <si>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</si>
  <si>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</si>
  <si>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</si>
  <si>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</si>
  <si>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</si>
  <si>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</si>
  <si>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</si>
  <si>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</si>
  <si>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</si>
  <si>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</si>
  <si>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</si>
  <si>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</si>
  <si>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</si>
  <si>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</si>
  <si>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</si>
  <si>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</si>
  <si>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</si>
  <si>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</si>
  <si>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</si>
  <si>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</si>
  <si>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</si>
  <si>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</si>
  <si>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</si>
  <si>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</si>
  <si>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</si>
  <si>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</si>
  <si>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</si>
  <si>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</si>
  <si>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</si>
  <si>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</si>
  <si>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</si>
  <si>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</si>
  <si>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</si>
  <si>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</si>
  <si>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</si>
  <si>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</si>
  <si>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</si>
  <si>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</si>
  <si>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</si>
  <si>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</si>
  <si>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</si>
  <si>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</si>
  <si>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</si>
  <si>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</si>
  <si>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</si>
  <si>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</si>
  <si>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</si>
  <si>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</si>
  <si>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</si>
  <si>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</si>
  <si>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</si>
  <si>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</si>
  <si>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</si>
  <si>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</si>
  <si>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</si>
  <si>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</si>
  <si>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</si>
  <si>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</si>
  <si>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</si>
  <si>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</si>
  <si>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</si>
  <si>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</si>
  <si>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</si>
  <si>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</si>
  <si>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</si>
  <si>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</si>
  <si>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</si>
  <si>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</si>
  <si>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</si>
  <si>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</si>
  <si>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</si>
  <si>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</si>
  <si>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</si>
  <si>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</si>
  <si>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</si>
  <si>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</si>
  <si>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</si>
  <si>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</si>
  <si>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</si>
  <si>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</si>
  <si>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</si>
  <si>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</si>
  <si>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</si>
  <si>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</si>
  <si>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</si>
  <si>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</si>
  <si>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</si>
  <si>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</si>
  <si>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</si>
  <si>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</si>
  <si>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</si>
  <si>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</si>
  <si>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</si>
  <si>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</si>
  <si>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</si>
  <si>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</si>
  <si>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</si>
  <si>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</si>
  <si>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</si>
  <si>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</si>
  <si>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</si>
  <si>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</si>
  <si>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</si>
  <si>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</si>
  <si>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</si>
  <si>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</si>
  <si>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</si>
  <si>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</si>
  <si>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</si>
  <si>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</si>
  <si>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</si>
  <si>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</si>
  <si>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</si>
  <si>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</si>
  <si>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</si>
  <si>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</si>
  <si>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</si>
  <si>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</si>
  <si>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</si>
  <si>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</si>
  <si>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</si>
  <si>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</si>
  <si>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</si>
  <si>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</si>
  <si>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</si>
  <si>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</si>
  <si>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</si>
  <si>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</si>
  <si>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</si>
  <si>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</si>
  <si>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</si>
  <si>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</si>
  <si>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</si>
  <si>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</si>
  <si>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</si>
  <si>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</si>
  <si>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</si>
  <si>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</si>
  <si>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</si>
  <si>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</si>
  <si>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</si>
  <si>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</si>
  <si>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</si>
  <si>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</si>
  <si>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</si>
  <si>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</si>
  <si>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</si>
  <si>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</si>
  <si>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</si>
  <si>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</si>
  <si>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</si>
  <si>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</si>
  <si>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</si>
  <si>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</si>
  <si>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</si>
  <si>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</si>
  <si>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</si>
  <si>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</si>
  <si>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</si>
  <si>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</si>
  <si>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</si>
  <si>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</si>
  <si>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</si>
  <si>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</si>
  <si>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</si>
  <si>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</si>
  <si>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</si>
  <si>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</si>
  <si>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</si>
  <si>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</si>
  <si>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</si>
  <si>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</si>
  <si>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</si>
  <si>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</si>
  <si>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</si>
  <si>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</si>
  <si>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</si>
  <si>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</si>
  <si>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</si>
  <si>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</si>
  <si>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</si>
  <si>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</si>
  <si>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</si>
  <si>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</si>
  <si>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</si>
  <si>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</si>
  <si>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</si>
  <si>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</si>
  <si>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</si>
  <si>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</si>
  <si>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</si>
  <si>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</si>
  <si>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</si>
  <si>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</si>
  <si>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</si>
  <si>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</si>
  <si>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</si>
  <si>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</si>
  <si>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</si>
  <si>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</si>
  <si>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</si>
  <si>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</si>
  <si>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</si>
  <si>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</si>
  <si>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</si>
  <si>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</si>
  <si>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</si>
  <si>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</si>
  <si>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</si>
  <si>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</si>
  <si>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</si>
  <si>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</si>
  <si>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</si>
  <si>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</si>
  <si>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</si>
  <si>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</si>
  <si>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</si>
  <si>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</si>
  <si>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</si>
  <si>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</si>
  <si>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</si>
  <si>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</si>
  <si>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</si>
  <si>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</si>
  <si>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</si>
  <si>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</si>
  <si>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</si>
  <si>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</si>
  <si>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</si>
  <si>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</si>
  <si>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</si>
  <si>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</si>
  <si>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</si>
  <si>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</si>
  <si>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</si>
  <si>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</si>
  <si>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</si>
  <si>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</si>
  <si>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</si>
  <si>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</si>
  <si>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</si>
  <si>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</si>
  <si>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</si>
  <si>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</si>
  <si>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</si>
  <si>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</si>
  <si>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</si>
  <si>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</si>
  <si>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</si>
  <si>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</si>
  <si>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</si>
  <si>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</si>
  <si>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</si>
  <si>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</si>
  <si>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</si>
  <si>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</si>
  <si>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</si>
  <si>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</si>
  <si>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</si>
  <si>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</si>
  <si>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</si>
  <si>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</si>
  <si>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</si>
  <si>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</si>
  <si>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</si>
  <si>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</si>
  <si>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</si>
  <si>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</si>
  <si>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</si>
  <si>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</si>
  <si>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</si>
  <si>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</si>
  <si>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</si>
  <si>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</si>
  <si>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</si>
  <si>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</si>
  <si>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</si>
  <si>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</si>
  <si>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</si>
  <si>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</si>
  <si>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</si>
  <si>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</si>
  <si>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</si>
  <si>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</si>
  <si>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</si>
  <si>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</si>
  <si>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</si>
  <si>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</si>
  <si>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</si>
  <si>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</si>
  <si>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</si>
  <si>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</si>
  <si>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</si>
  <si>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</si>
  <si>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</si>
  <si>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</si>
  <si>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</si>
  <si>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</si>
  <si>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</si>
  <si>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</si>
  <si>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</si>
  <si>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</si>
  <si>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</si>
  <si>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</si>
  <si>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</si>
  <si>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</si>
  <si>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</si>
  <si>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</si>
  <si>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</si>
  <si>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</si>
  <si>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</si>
  <si>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</si>
  <si>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</si>
  <si>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</si>
  <si>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</si>
  <si>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</si>
  <si>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</si>
  <si>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</si>
  <si>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</si>
  <si>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</si>
  <si>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</si>
  <si>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</si>
  <si>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</si>
  <si>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</si>
  <si>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</si>
  <si>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</si>
  <si>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</si>
  <si>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</si>
  <si>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</si>
  <si>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</si>
  <si>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</si>
  <si>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</si>
  <si>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</si>
  <si>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</si>
  <si>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</si>
  <si>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</si>
  <si>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</si>
  <si>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</si>
  <si>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</si>
  <si>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</si>
  <si>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</si>
  <si>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</si>
  <si>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</si>
  <si>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</si>
  <si>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</si>
  <si>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</si>
  <si>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</si>
  <si>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</si>
  <si>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</si>
  <si>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</si>
  <si>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</si>
  <si>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</si>
  <si>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</si>
  <si>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</si>
  <si>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</si>
  <si>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</si>
  <si>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</si>
  <si>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</si>
  <si>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</si>
  <si>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</si>
  <si>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</si>
  <si>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</si>
  <si>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</si>
  <si>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</si>
  <si>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</si>
  <si>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</si>
  <si>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</si>
  <si>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</si>
  <si>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</si>
  <si>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</si>
  <si>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</si>
  <si>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</si>
  <si>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</si>
  <si>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</si>
  <si>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</si>
  <si>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</si>
  <si>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</si>
  <si>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</si>
  <si>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</si>
  <si>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</si>
  <si>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</si>
  <si>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</si>
  <si>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</si>
  <si>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</si>
  <si>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</si>
  <si>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</si>
  <si>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</si>
  <si>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</si>
  <si>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</si>
  <si>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</si>
  <si>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</si>
  <si>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</si>
  <si>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</si>
  <si>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</si>
  <si>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</si>
  <si>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</si>
  <si>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</si>
  <si>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</si>
  <si>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</si>
  <si>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</si>
  <si>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</si>
  <si>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</si>
  <si>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</si>
  <si>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</si>
  <si>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</si>
  <si>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</si>
  <si>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</si>
  <si>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</si>
  <si>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</si>
  <si>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</si>
  <si>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</si>
  <si>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</si>
  <si>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</si>
  <si>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</si>
  <si>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</si>
  <si>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</si>
  <si>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</si>
  <si>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</si>
  <si>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</si>
  <si>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</si>
  <si>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</si>
  <si>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</si>
  <si>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</si>
  <si>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</si>
  <si>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</si>
  <si>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</si>
  <si>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</si>
  <si>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</si>
  <si>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</si>
  <si>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</si>
  <si>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</si>
  <si>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</si>
  <si>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</si>
  <si>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</si>
  <si>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</si>
  <si>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</si>
  <si>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</si>
  <si>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</si>
  <si>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</si>
  <si>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</si>
  <si>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</si>
  <si>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</si>
  <si>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</si>
  <si>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</si>
  <si>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</si>
  <si>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</si>
  <si>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</si>
  <si>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</si>
  <si>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</si>
  <si>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</si>
  <si>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</si>
  <si>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</si>
  <si>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</si>
  <si>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</si>
  <si>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</si>
  <si>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</si>
  <si>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</si>
  <si>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</si>
  <si>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</si>
  <si>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</si>
  <si>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</si>
  <si>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</si>
  <si>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</si>
  <si>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</si>
  <si>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</si>
  <si>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</si>
  <si>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</si>
  <si>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</si>
  <si>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</si>
  <si>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</si>
  <si>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</si>
  <si>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</si>
  <si>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</si>
  <si>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</si>
  <si>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</si>
  <si>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</si>
  <si>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</si>
  <si>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</si>
  <si>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</si>
  <si>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</si>
  <si>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</si>
  <si>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</si>
  <si>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</si>
  <si>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</si>
  <si>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</si>
  <si>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</si>
  <si>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</si>
  <si>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</si>
  <si>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</si>
  <si>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</si>
  <si>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</si>
  <si>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</si>
  <si>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</si>
  <si>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</si>
  <si>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</si>
  <si>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</si>
  <si>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</si>
  <si>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</si>
  <si>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</si>
  <si>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</si>
  <si>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</si>
  <si>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</si>
  <si>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</si>
  <si>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</si>
  <si>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</si>
  <si>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</si>
  <si>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</si>
  <si>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</si>
  <si>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</si>
  <si>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</si>
  <si>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</si>
  <si>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</si>
  <si>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</si>
  <si>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</si>
  <si>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</si>
  <si>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</si>
  <si>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</si>
  <si>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</si>
  <si>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</si>
  <si>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</si>
  <si>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</si>
  <si>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</si>
  <si>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</si>
  <si>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</si>
  <si>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</si>
  <si>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</si>
  <si>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</si>
  <si>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</si>
  <si>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</si>
  <si>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</si>
  <si>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</si>
  <si>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</si>
  <si>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</si>
  <si>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</si>
  <si>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</si>
  <si>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</si>
  <si>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</si>
  <si>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</si>
  <si>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</si>
  <si>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</si>
  <si>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</si>
  <si>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</si>
  <si>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</si>
  <si>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</si>
  <si>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</si>
  <si>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</si>
  <si>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</si>
  <si>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</si>
  <si>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</si>
  <si>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</si>
  <si>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</si>
  <si>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</si>
  <si>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</si>
  <si>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</si>
  <si>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</si>
  <si>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</si>
  <si>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</si>
  <si>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</si>
  <si>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</si>
  <si>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</si>
  <si>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</si>
  <si>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</si>
  <si>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</si>
  <si>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</si>
  <si>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</si>
  <si>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</si>
  <si>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</si>
  <si>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</si>
  <si>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</si>
  <si>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</si>
  <si>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</si>
  <si>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</si>
  <si>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</si>
  <si>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</si>
  <si>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</si>
  <si>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</si>
  <si>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</si>
  <si>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</si>
  <si>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</si>
  <si>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</si>
  <si>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</si>
  <si>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</si>
  <si>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</si>
  <si>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</si>
  <si>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</si>
  <si>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</si>
  <si>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</si>
  <si>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</si>
  <si>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</si>
  <si>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</si>
  <si>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</si>
  <si>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</si>
  <si>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</si>
  <si>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</si>
  <si>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</si>
  <si>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</si>
  <si>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</si>
  <si>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</si>
  <si>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</si>
  <si>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</si>
  <si>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</si>
  <si>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</si>
  <si>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</si>
  <si>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</si>
  <si>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</si>
  <si>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</si>
  <si>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</si>
  <si>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</si>
  <si>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</si>
  <si>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</si>
  <si>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</si>
  <si>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</si>
  <si>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</si>
  <si>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</si>
  <si>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</si>
  <si>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</si>
  <si>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</si>
  <si>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</si>
  <si>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</si>
  <si>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</si>
  <si>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</si>
  <si>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</si>
  <si>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</si>
  <si>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</si>
  <si>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</si>
  <si>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</si>
  <si>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</si>
  <si>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</si>
  <si>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</si>
  <si>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</si>
  <si>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</si>
  <si>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</si>
  <si>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</si>
  <si>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</si>
  <si>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</si>
  <si>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</si>
  <si>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</si>
  <si>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</si>
  <si>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</si>
  <si>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</si>
  <si>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</si>
  <si>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</si>
  <si>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</si>
  <si>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</si>
  <si>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</si>
  <si>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</si>
  <si>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</si>
  <si>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</si>
  <si>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</si>
  <si>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</si>
  <si>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</si>
  <si>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</si>
  <si>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</si>
  <si>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</si>
  <si>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</si>
  <si>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</si>
  <si>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</si>
  <si>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</si>
  <si>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</si>
  <si>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</si>
  <si>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</si>
  <si>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</si>
  <si>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</si>
  <si>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</si>
  <si>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</si>
  <si>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</si>
  <si>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</si>
  <si>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</si>
  <si>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</si>
  <si>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</si>
  <si>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</si>
  <si>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</si>
  <si>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</si>
  <si>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</si>
  <si>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</si>
  <si>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</si>
  <si>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</si>
  <si>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</si>
  <si>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</si>
  <si>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</si>
  <si>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</si>
  <si>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</si>
  <si>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</si>
  <si>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</si>
  <si>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</si>
  <si>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</si>
  <si>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</si>
  <si>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</si>
  <si>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</si>
  <si>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</si>
  <si>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</si>
  <si>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</si>
  <si>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</si>
  <si>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</si>
  <si>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</si>
  <si>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</si>
  <si>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</si>
  <si>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</si>
  <si>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</si>
  <si>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</si>
  <si>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</si>
  <si>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</si>
  <si>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</si>
  <si>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</si>
  <si>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</si>
  <si>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</si>
  <si>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</si>
  <si>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</si>
  <si>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</si>
  <si>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</si>
  <si>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</si>
  <si>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</si>
  <si>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</si>
  <si>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</si>
  <si>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</si>
  <si>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</si>
  <si>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</si>
  <si>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</si>
  <si>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</si>
  <si>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</si>
  <si>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</si>
  <si>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</si>
  <si>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</si>
  <si>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</si>
  <si>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</si>
  <si>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</si>
  <si>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</si>
  <si>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</si>
  <si>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</si>
  <si>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</si>
  <si>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</si>
  <si>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</si>
  <si>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</si>
  <si>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</si>
  <si>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</si>
  <si>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</si>
  <si>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</si>
  <si>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</si>
  <si>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</si>
  <si>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</si>
  <si>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</si>
  <si>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</si>
  <si>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</si>
  <si>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</si>
  <si>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</si>
  <si>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</si>
  <si>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</si>
  <si>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</si>
  <si>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</si>
  <si>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</si>
  <si>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</si>
  <si>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</si>
  <si>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</si>
  <si>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</si>
  <si>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</si>
  <si>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</si>
  <si>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</si>
  <si>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</si>
  <si>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</si>
  <si>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</si>
  <si>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</si>
  <si>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</si>
  <si>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</si>
  <si>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</si>
  <si>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</si>
  <si>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</si>
  <si>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</si>
  <si>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</si>
  <si>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</si>
  <si>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</si>
  <si>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</si>
  <si>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</si>
  <si>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</si>
  <si>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</si>
  <si>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</si>
  <si>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</si>
  <si>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</si>
  <si>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</si>
  <si>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</si>
  <si>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</si>
  <si>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</si>
  <si>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</si>
  <si>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</si>
  <si>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</si>
  <si>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</si>
  <si>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</si>
  <si>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</si>
  <si>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</si>
  <si>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</si>
  <si>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</si>
  <si>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</si>
  <si>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</si>
  <si>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</si>
  <si>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</si>
  <si>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</si>
  <si>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</si>
  <si>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</si>
  <si>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</si>
  <si>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</si>
  <si>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</si>
  <si>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</si>
  <si>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</si>
  <si>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</si>
  <si>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</si>
  <si>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</si>
  <si>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</si>
  <si>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</si>
  <si>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</si>
  <si>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</si>
  <si>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</si>
  <si>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</si>
  <si>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</si>
  <si>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</si>
  <si>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</si>
  <si>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</si>
  <si>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</si>
  <si>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</si>
  <si>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</si>
  <si>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</si>
  <si>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</si>
  <si>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</si>
  <si>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</si>
  <si>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</si>
  <si>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</si>
  <si>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</si>
  <si>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</si>
  <si>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</si>
  <si>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</si>
  <si>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</si>
  <si>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</si>
  <si>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</si>
  <si>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</si>
  <si>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</si>
  <si>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</si>
  <si>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</si>
  <si>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</si>
  <si>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</si>
  <si>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</si>
  <si>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</si>
  <si>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</si>
  <si>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</si>
  <si>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</si>
  <si>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</si>
  <si>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</si>
  <si>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</si>
  <si>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</si>
  <si>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</si>
  <si>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</si>
  <si>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</si>
  <si>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</si>
  <si>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</si>
  <si>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</si>
  <si>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</si>
  <si>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</si>
  <si>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</si>
  <si>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</si>
  <si>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</si>
  <si>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</si>
  <si>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</si>
  <si>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</si>
  <si>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</si>
  <si>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</si>
  <si>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</si>
  <si>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</si>
  <si>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</si>
  <si>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</si>
  <si>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</si>
  <si>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</si>
  <si>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</si>
  <si>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</si>
  <si>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</si>
  <si>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</si>
  <si>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</si>
  <si>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</si>
  <si>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</si>
  <si>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</si>
  <si>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</si>
  <si>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</si>
  <si>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</si>
  <si>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</si>
  <si>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</si>
  <si>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</si>
  <si>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</si>
  <si>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</si>
  <si>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</si>
  <si>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</si>
  <si>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</si>
  <si>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</si>
  <si>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</si>
  <si>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</si>
  <si>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</si>
  <si>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</si>
  <si>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</si>
  <si>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</si>
  <si>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</si>
  <si>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</si>
  <si>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</si>
  <si>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</si>
  <si>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</si>
  <si>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</si>
  <si>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</si>
  <si>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</si>
  <si>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</si>
  <si>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</si>
  <si>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</si>
  <si>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</si>
  <si>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</si>
  <si>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</si>
  <si>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</si>
  <si>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</si>
  <si>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</si>
  <si>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</si>
  <si>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</si>
  <si>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</si>
  <si>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</si>
  <si>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</si>
  <si>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</si>
  <si>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</si>
  <si>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</si>
  <si>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</si>
  <si>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</si>
  <si>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</si>
  <si>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</si>
  <si>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</si>
  <si>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</si>
  <si>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</si>
  <si>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</si>
  <si>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</si>
  <si>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</si>
  <si>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</si>
  <si>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</si>
  <si>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</si>
  <si>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</si>
  <si>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</si>
  <si>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</si>
  <si>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</si>
  <si>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</si>
  <si>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</si>
  <si>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</si>
  <si>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</si>
  <si>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</si>
  <si>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</si>
  <si>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</si>
  <si>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</si>
  <si>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</si>
  <si>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</si>
  <si>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</si>
  <si>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</si>
  <si>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</si>
  <si>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</si>
  <si>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</si>
  <si>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</si>
  <si>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</si>
  <si>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</si>
  <si>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</si>
  <si>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</si>
  <si>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</si>
  <si>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</si>
  <si>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</si>
  <si>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</si>
  <si>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</si>
  <si>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</si>
  <si>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</si>
  <si>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</si>
  <si>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</si>
  <si>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</si>
  <si>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</si>
  <si>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</si>
  <si>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</si>
  <si>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</si>
  <si>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</si>
  <si>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</si>
  <si>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</si>
  <si>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</si>
  <si>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</si>
  <si>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</si>
  <si>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</si>
  <si>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</si>
  <si>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</si>
  <si>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</si>
  <si>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</si>
  <si>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</si>
  <si>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</si>
  <si>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</si>
  <si>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</si>
  <si>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</si>
  <si>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</si>
  <si>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</si>
  <si>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</si>
  <si>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</si>
  <si>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</si>
  <si>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</si>
  <si>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</si>
  <si>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</si>
  <si>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</si>
  <si>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</si>
  <si>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</si>
  <si>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</si>
  <si>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</si>
  <si>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</si>
  <si>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</si>
  <si>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</si>
  <si>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</si>
  <si>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</si>
  <si>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</si>
  <si>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</si>
  <si>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</si>
  <si>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</si>
  <si>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</si>
  <si>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</si>
  <si>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</si>
  <si>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</si>
  <si>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</si>
  <si>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</si>
  <si>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</si>
  <si>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</si>
  <si>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</si>
  <si>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</si>
  <si>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</si>
  <si>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</si>
  <si>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</si>
  <si>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</si>
  <si>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</si>
  <si>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</si>
  <si>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</si>
  <si>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</si>
  <si>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</si>
  <si>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</si>
  <si>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</si>
  <si>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</si>
  <si>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</si>
  <si>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</si>
  <si>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</si>
  <si>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</si>
  <si>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</si>
  <si>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</si>
  <si>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</si>
  <si>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</si>
  <si>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</si>
  <si>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</si>
  <si>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</si>
  <si>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</si>
  <si>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</si>
  <si>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</si>
  <si>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</si>
  <si>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</si>
  <si>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</si>
  <si>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</si>
  <si>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</si>
  <si>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</si>
  <si>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</si>
  <si>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</si>
  <si>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</si>
  <si>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</si>
  <si>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</si>
  <si>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</si>
  <si>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</si>
  <si>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</si>
  <si>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</si>
  <si>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</si>
  <si>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</si>
  <si>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</si>
  <si>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</si>
  <si>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</si>
  <si>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</si>
  <si>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</si>
  <si>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</si>
  <si>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</si>
  <si>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</si>
  <si>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</si>
  <si>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</si>
  <si>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</si>
  <si>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</si>
  <si>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</si>
  <si>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</si>
  <si>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</si>
  <si>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</si>
  <si>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</si>
  <si>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</si>
  <si>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</si>
  <si>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</si>
  <si>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</si>
  <si>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</si>
  <si>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</si>
  <si>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</si>
  <si>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</si>
  <si>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</si>
  <si>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</si>
  <si>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</si>
  <si>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</si>
  <si>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</si>
  <si>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</si>
  <si>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</si>
  <si>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</si>
  <si>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</si>
  <si>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</si>
  <si>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</si>
  <si>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</si>
  <si>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</si>
  <si>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</si>
  <si>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</si>
  <si>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</si>
  <si>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</si>
  <si>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</si>
  <si>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</si>
  <si>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</si>
  <si>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</si>
  <si>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</si>
  <si>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</si>
  <si>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</si>
  <si>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</si>
  <si>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</si>
  <si>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</si>
  <si>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</si>
  <si>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</si>
  <si>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</si>
  <si>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</si>
  <si>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</si>
  <si>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</si>
  <si>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</si>
  <si>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</si>
  <si>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</si>
  <si>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</si>
  <si>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</si>
  <si>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</si>
  <si>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</si>
  <si>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</si>
  <si>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</si>
  <si>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</si>
  <si>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</si>
  <si>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</si>
  <si>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</si>
  <si>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</si>
  <si>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</si>
  <si>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</si>
  <si>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</si>
  <si>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</si>
  <si>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</si>
  <si>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</si>
  <si>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</si>
  <si>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</si>
  <si>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</si>
  <si>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</si>
  <si>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</si>
  <si>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</si>
  <si>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</si>
  <si>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</si>
  <si>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</si>
  <si>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</si>
  <si>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</si>
  <si>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</si>
  <si>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</si>
  <si>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</si>
  <si>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</si>
  <si>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</si>
  <si>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</si>
  <si>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</si>
  <si>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</si>
  <si>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</si>
  <si>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</si>
  <si>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</si>
  <si>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</si>
  <si>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</si>
  <si>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</si>
  <si>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</si>
  <si>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</si>
  <si>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</si>
  <si>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</si>
  <si>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</si>
  <si>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</si>
  <si>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</si>
  <si>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</si>
  <si>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</si>
  <si>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</si>
  <si>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</si>
  <si>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</si>
  <si>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</si>
  <si>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</si>
  <si>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</si>
  <si>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</si>
  <si>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</si>
  <si>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</si>
  <si>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</si>
  <si>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</si>
  <si>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</si>
  <si>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</si>
  <si>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</si>
  <si>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</si>
  <si>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</si>
  <si>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</si>
  <si>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</si>
  <si>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</si>
  <si>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</si>
  <si>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</si>
  <si>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</si>
  <si>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</si>
  <si>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</si>
  <si>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</si>
  <si>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</si>
  <si>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</si>
  <si>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</si>
  <si>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</si>
  <si>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</si>
  <si>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</si>
  <si>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</si>
  <si>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</si>
  <si>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</si>
  <si>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</si>
  <si>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</si>
  <si>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</si>
  <si>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</si>
  <si>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</si>
  <si>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</si>
  <si>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</si>
  <si>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</si>
  <si>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</si>
  <si>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</si>
  <si>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</si>
  <si>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</si>
  <si>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</si>
  <si>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</si>
  <si>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</si>
  <si>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</si>
  <si>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</si>
  <si>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</si>
  <si>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</si>
  <si>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</si>
  <si>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</si>
  <si>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</si>
  <si>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</si>
  <si>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</si>
  <si>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</si>
  <si>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</si>
  <si>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</si>
  <si>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</si>
  <si>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</si>
  <si>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</si>
  <si>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</si>
  <si>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</si>
  <si>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</si>
  <si>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</si>
  <si>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</si>
  <si>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</si>
  <si>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</si>
  <si>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</si>
  <si>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</si>
  <si>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</si>
  <si>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</si>
  <si>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</si>
  <si>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</si>
  <si>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</si>
  <si>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</si>
  <si>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</si>
  <si>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</si>
  <si>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</si>
  <si>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</si>
  <si>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</si>
  <si>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</si>
  <si>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</si>
  <si>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</si>
  <si>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</si>
  <si>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</si>
  <si>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</si>
  <si>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</si>
  <si>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</si>
  <si>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</si>
  <si>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</si>
  <si>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</si>
  <si>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</si>
  <si>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</si>
  <si>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</si>
  <si>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</si>
  <si>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</si>
  <si>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</si>
  <si>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</si>
  <si>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</si>
  <si>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</si>
  <si>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</si>
  <si>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</si>
  <si>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</si>
  <si>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</si>
  <si>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</si>
  <si>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</si>
  <si>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</si>
  <si>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</si>
  <si>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</si>
  <si>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</si>
  <si>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</si>
  <si>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</si>
  <si>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</si>
  <si>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</si>
  <si>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</si>
  <si>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</si>
  <si>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</si>
  <si>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</si>
  <si>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</si>
  <si>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</si>
  <si>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</si>
  <si>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</si>
  <si>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</si>
  <si>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</si>
  <si>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</si>
  <si>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</si>
  <si>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</si>
  <si>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</si>
  <si>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</si>
  <si>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</si>
  <si>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</si>
  <si>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</si>
  <si>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</si>
  <si>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</si>
  <si>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</si>
  <si>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</si>
  <si>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</si>
  <si>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</si>
  <si>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</si>
  <si>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</si>
  <si>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</si>
  <si>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</si>
  <si>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</si>
  <si>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</si>
  <si>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</si>
  <si>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</si>
  <si>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</si>
  <si>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</si>
  <si>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</si>
  <si>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</si>
  <si>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</si>
  <si>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</si>
  <si>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</si>
  <si>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</si>
  <si>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</si>
  <si>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</si>
  <si>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</si>
  <si>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</si>
  <si>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</si>
  <si>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</si>
  <si>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</si>
  <si>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</si>
  <si>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</si>
  <si>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</si>
  <si>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</si>
  <si>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</si>
  <si>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</si>
  <si>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</si>
  <si>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</si>
  <si>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</si>
  <si>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</si>
  <si>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</si>
  <si>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</si>
  <si>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</si>
  <si>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</si>
  <si>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</si>
  <si>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</si>
  <si>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</si>
  <si>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</si>
  <si>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</si>
  <si>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</si>
  <si>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</si>
  <si>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</si>
  <si>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</si>
  <si>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</si>
  <si>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</si>
  <si>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</si>
  <si>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</si>
  <si>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</si>
  <si>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</si>
  <si>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</si>
  <si>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</si>
  <si>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</si>
  <si>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</si>
  <si>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</si>
  <si>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</si>
  <si>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</si>
  <si>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</si>
  <si>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</si>
  <si>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</si>
  <si>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</si>
  <si>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</si>
  <si>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</si>
  <si>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</si>
  <si>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</si>
  <si>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</si>
  <si>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</si>
  <si>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</si>
  <si>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</si>
  <si>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</si>
  <si>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</si>
  <si>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</si>
  <si>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</si>
  <si>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</si>
  <si>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</si>
  <si>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</si>
  <si>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</si>
  <si>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</si>
  <si>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</si>
  <si>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</si>
  <si>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</si>
  <si>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</si>
  <si>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</si>
  <si>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</si>
  <si>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</si>
  <si>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</si>
  <si>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</si>
  <si>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</si>
  <si>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</si>
  <si>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</si>
  <si>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</si>
  <si>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</si>
  <si>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</si>
  <si>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</si>
  <si>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</si>
  <si>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</si>
  <si>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</si>
  <si>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</si>
  <si>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</si>
  <si>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</si>
  <si>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</si>
  <si>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</si>
  <si>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</si>
  <si>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</si>
  <si>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</si>
  <si>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</si>
  <si>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</si>
  <si>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</si>
  <si>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</si>
  <si>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</si>
  <si>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</si>
  <si>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</si>
  <si>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</si>
  <si>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</si>
  <si>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</si>
  <si>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</si>
  <si>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</si>
  <si>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</si>
  <si>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</si>
  <si>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</si>
  <si>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</si>
  <si>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</si>
  <si>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</si>
  <si>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</si>
  <si>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</si>
  <si>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</si>
  <si>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</si>
  <si>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</si>
  <si>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</si>
  <si>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</si>
  <si>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</si>
  <si>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</si>
  <si>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</si>
  <si>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</si>
  <si>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</si>
  <si>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</si>
  <si>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</si>
  <si>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</si>
  <si>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</si>
  <si>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</si>
  <si>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</si>
  <si>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</si>
  <si>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</si>
  <si>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</si>
  <si>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</si>
  <si>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</si>
  <si>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</si>
  <si>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</si>
  <si>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</si>
  <si>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</si>
  <si>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</si>
  <si>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</si>
  <si>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</si>
  <si>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</si>
  <si>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</si>
  <si>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</si>
  <si>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</si>
  <si>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</si>
  <si>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</si>
  <si>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</si>
  <si>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</si>
  <si>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</si>
  <si>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</si>
  <si>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</si>
  <si>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</si>
  <si>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</si>
  <si>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</si>
  <si>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</si>
  <si>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</si>
  <si>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</si>
  <si>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</si>
  <si>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</si>
  <si>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</si>
  <si>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</si>
  <si>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</si>
  <si>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</si>
  <si>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</si>
  <si>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</si>
  <si>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</si>
  <si>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</si>
  <si>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</si>
  <si>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</si>
  <si>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</si>
  <si>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</si>
  <si>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</si>
  <si>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</si>
  <si>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</si>
  <si>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</si>
  <si>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</si>
  <si>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</si>
  <si>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</si>
  <si>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</si>
  <si>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</si>
  <si>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</si>
  <si>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</si>
  <si>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</si>
  <si>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</si>
  <si>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</si>
  <si>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</si>
  <si>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</si>
  <si>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</si>
  <si>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</si>
  <si>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</si>
  <si>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</si>
  <si>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</si>
  <si>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</si>
  <si>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</si>
  <si>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</si>
  <si>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</si>
  <si>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</si>
  <si>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</si>
  <si>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</si>
  <si>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</si>
  <si>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</si>
  <si>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</si>
  <si>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</si>
  <si>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</si>
  <si>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</si>
  <si>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</si>
  <si>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</si>
  <si>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</si>
  <si>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</si>
  <si>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</si>
  <si>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</si>
  <si>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</si>
  <si>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</si>
  <si>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</si>
  <si>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</si>
  <si>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</si>
  <si>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</si>
  <si>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</si>
  <si>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</si>
  <si>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</si>
  <si>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</si>
  <si>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</si>
  <si>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</si>
  <si>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</si>
  <si>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</si>
  <si>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</si>
  <si>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</si>
  <si>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</si>
  <si>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</si>
  <si>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</si>
  <si>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</si>
  <si>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</si>
  <si>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</si>
  <si>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</si>
  <si>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</si>
  <si>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</si>
  <si>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</si>
  <si>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</si>
  <si>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</si>
  <si>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</si>
  <si>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</si>
  <si>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</si>
  <si>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</si>
  <si>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</si>
  <si>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</si>
  <si>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</si>
  <si>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</si>
  <si>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</si>
  <si>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</si>
  <si>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</si>
  <si>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</si>
  <si>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</si>
  <si>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</si>
  <si>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</si>
  <si>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</si>
  <si>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</si>
  <si>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</si>
  <si>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</si>
  <si>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</si>
  <si>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</si>
  <si>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</si>
  <si>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</si>
  <si>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</si>
  <si>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</si>
  <si>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</si>
  <si>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</si>
  <si>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</si>
  <si>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</si>
  <si>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</si>
  <si>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</si>
  <si>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</si>
  <si>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</si>
  <si>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</si>
  <si>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</si>
  <si>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</si>
  <si>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</si>
  <si>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</si>
  <si>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</si>
  <si>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</si>
  <si>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</si>
  <si>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</si>
  <si>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</si>
  <si>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</si>
  <si>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</si>
  <si>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</si>
  <si>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</si>
  <si>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</si>
  <si>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</si>
  <si>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</si>
  <si>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</si>
  <si>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</si>
  <si>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</si>
  <si>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</si>
  <si>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</si>
  <si>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</si>
  <si>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</si>
  <si>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</si>
  <si>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</si>
  <si>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</si>
  <si>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</si>
  <si>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</si>
  <si>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</si>
  <si>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</si>
  <si>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</si>
  <si>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</si>
  <si>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</si>
  <si>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</si>
  <si>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</si>
  <si>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</si>
  <si>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</si>
  <si>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</si>
  <si>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</si>
  <si>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</si>
  <si>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</si>
  <si>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</si>
  <si>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</si>
  <si>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</si>
  <si>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</si>
  <si>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</si>
  <si>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</si>
  <si>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</si>
  <si>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</si>
  <si>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</si>
  <si>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</si>
  <si>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</si>
  <si>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</si>
  <si>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</si>
  <si>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</si>
  <si>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</si>
  <si>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</si>
  <si>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</si>
  <si>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</si>
  <si>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</si>
  <si>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</si>
  <si>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</si>
  <si>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</si>
  <si>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</si>
  <si>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</si>
  <si>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</si>
  <si>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</si>
  <si>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</si>
  <si>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</si>
  <si>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</si>
  <si>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</si>
  <si>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</si>
  <si>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</si>
  <si>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</si>
  <si>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</si>
  <si>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</si>
  <si>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</si>
  <si>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</si>
  <si>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</si>
  <si>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</si>
  <si>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</si>
  <si>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</si>
  <si>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</si>
  <si>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</si>
  <si>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</si>
  <si>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</si>
  <si>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</si>
  <si>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</si>
  <si>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</si>
  <si>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</si>
  <si>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</si>
  <si>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</si>
  <si>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</si>
  <si>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</si>
  <si>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</si>
  <si>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</si>
  <si>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</si>
  <si>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</si>
  <si>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</si>
  <si>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</si>
  <si>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</si>
  <si>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</si>
  <si>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</si>
  <si>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</si>
  <si>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</si>
  <si>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</si>
  <si>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</si>
  <si>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</si>
  <si>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</si>
  <si>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</si>
  <si>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</si>
  <si>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</si>
  <si>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</si>
  <si>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</si>
  <si>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</si>
  <si>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</si>
  <si>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</si>
  <si>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</si>
  <si>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</si>
  <si>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</si>
  <si>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</si>
  <si>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</si>
  <si>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</si>
  <si>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</si>
  <si>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</si>
  <si>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</si>
  <si>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</si>
  <si>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</si>
  <si>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</si>
  <si>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</si>
  <si>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</si>
  <si>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</si>
  <si>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</si>
  <si>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</si>
  <si>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</si>
  <si>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</si>
  <si>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</si>
  <si>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</si>
  <si>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</si>
  <si>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</si>
  <si>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</si>
  <si>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</si>
  <si>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</si>
  <si>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</si>
  <si>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</si>
  <si>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</si>
  <si>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</si>
  <si>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</si>
  <si>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</si>
  <si>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</si>
  <si>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</si>
  <si>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</si>
  <si>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</si>
  <si>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</si>
  <si>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</si>
  <si>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</si>
  <si>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</si>
  <si>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</si>
  <si>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</si>
  <si>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</si>
  <si>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</si>
  <si>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</si>
  <si>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</si>
  <si>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</si>
  <si>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</si>
  <si>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</si>
  <si>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</si>
  <si>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</si>
  <si>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</si>
  <si>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</si>
  <si>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</si>
  <si>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</si>
  <si>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</si>
  <si>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</si>
  <si>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</si>
  <si>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</si>
  <si>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</si>
  <si>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</si>
  <si>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</si>
  <si>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</si>
  <si>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</si>
  <si>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</si>
  <si>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</si>
  <si>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</si>
  <si>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</si>
  <si>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</si>
  <si>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</si>
  <si>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</si>
  <si>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</si>
  <si>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</si>
  <si>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</si>
  <si>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</si>
  <si>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</si>
  <si>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</si>
  <si>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</si>
  <si>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</si>
  <si>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</si>
  <si>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</si>
  <si>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</si>
  <si>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</si>
  <si>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</si>
  <si>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</si>
  <si>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</si>
  <si>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</si>
  <si>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</si>
  <si>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</si>
  <si>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</si>
  <si>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</si>
  <si>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</si>
  <si>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</si>
  <si>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</si>
  <si>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</si>
  <si>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</si>
  <si>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</si>
  <si>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</si>
  <si>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</si>
  <si>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</si>
  <si>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</si>
  <si>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</si>
  <si>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</si>
  <si>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</si>
  <si>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</si>
  <si>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</si>
  <si>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</si>
  <si>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</si>
  <si>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</si>
  <si>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</si>
  <si>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</si>
  <si>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</si>
  <si>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</si>
  <si>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</si>
  <si>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</si>
  <si>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</si>
  <si>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</si>
  <si>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</si>
  <si>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</si>
  <si>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</si>
  <si>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</si>
  <si>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</si>
  <si>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</si>
  <si>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</si>
  <si>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</si>
  <si>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</si>
  <si>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</si>
  <si>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</si>
  <si>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</si>
  <si>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</si>
  <si>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</si>
  <si>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</si>
  <si>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</si>
  <si>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</si>
  <si>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</si>
  <si>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</si>
  <si>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</si>
  <si>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</si>
  <si>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</si>
  <si>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</si>
  <si>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</si>
  <si>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</si>
  <si>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</si>
  <si>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</si>
  <si>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</si>
  <si>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</si>
  <si>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</si>
  <si>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</si>
  <si>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</si>
  <si>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</si>
  <si>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</si>
  <si>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</si>
  <si>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</si>
  <si>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</si>
  <si>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</si>
  <si>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</si>
  <si>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</si>
  <si>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</si>
  <si>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</si>
  <si>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</si>
  <si>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</si>
  <si>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</si>
  <si>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</si>
  <si>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</si>
  <si>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</si>
  <si>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</si>
  <si>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</si>
  <si>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</si>
  <si>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</si>
  <si>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</si>
  <si>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</si>
  <si>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</si>
  <si>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</si>
  <si>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</si>
  <si>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</si>
  <si>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</si>
  <si>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</si>
  <si>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</si>
  <si>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</si>
  <si>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</si>
  <si>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</si>
  <si>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</si>
  <si>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</si>
  <si>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</si>
  <si>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</si>
  <si>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</si>
  <si>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</si>
  <si>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</si>
  <si>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</si>
  <si>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</si>
  <si>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</si>
  <si>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</si>
  <si>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</si>
  <si>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</si>
  <si>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</si>
  <si>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</si>
  <si>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</si>
  <si>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</si>
  <si>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</si>
  <si>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</si>
  <si>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</si>
  <si>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</si>
  <si>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</si>
  <si>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</si>
  <si>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</si>
  <si>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</si>
  <si>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</si>
  <si>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</si>
  <si>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</si>
  <si>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</si>
  <si>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</si>
  <si>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</si>
  <si>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</si>
  <si>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</si>
  <si>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</si>
  <si>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</si>
  <si>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</si>
  <si>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</si>
  <si>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</si>
  <si>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</si>
  <si>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</si>
  <si>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</si>
  <si>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</si>
  <si>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</si>
  <si>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</si>
  <si>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</si>
  <si>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</si>
  <si>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</si>
  <si>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</si>
  <si>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</si>
  <si>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</si>
  <si>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</si>
  <si>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</si>
  <si>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</si>
  <si>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</si>
  <si>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</si>
  <si>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</si>
  <si>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</si>
  <si>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</si>
  <si>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</si>
  <si>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</si>
  <si>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</si>
  <si>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</si>
  <si>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</si>
  <si>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</si>
  <si>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</si>
  <si>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</si>
  <si>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</si>
  <si>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</si>
  <si>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</si>
  <si>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</si>
  <si>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</si>
  <si>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</si>
  <si>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</si>
  <si>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</si>
  <si>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</si>
  <si>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</si>
  <si>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</si>
  <si>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</si>
  <si>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</si>
  <si>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</si>
  <si>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</si>
  <si>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</si>
  <si>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</si>
  <si>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</si>
  <si>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</si>
  <si>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</si>
  <si>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</si>
  <si>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</si>
  <si>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</si>
  <si>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</si>
  <si>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</si>
  <si>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</si>
  <si>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</si>
  <si>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</si>
  <si>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</si>
  <si>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</si>
  <si>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</si>
  <si>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</si>
  <si>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</si>
  <si>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</si>
  <si>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</si>
  <si>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</si>
  <si>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</si>
  <si>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</si>
  <si>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</si>
  <si>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</si>
  <si>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</si>
  <si>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</si>
  <si>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</si>
  <si>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</si>
  <si>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</si>
  <si>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</si>
  <si>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</si>
  <si>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</si>
  <si>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</si>
  <si>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</si>
  <si>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</si>
  <si>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</si>
  <si>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</si>
  <si>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</si>
  <si>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</si>
  <si>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</si>
  <si>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</si>
  <si>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</si>
  <si>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</si>
  <si>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</si>
  <si>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</si>
  <si>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</si>
  <si>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</si>
  <si>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</si>
  <si>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</si>
  <si>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</si>
  <si>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</si>
  <si>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</si>
  <si>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</si>
  <si>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</si>
  <si>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</si>
  <si>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</si>
  <si>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</si>
  <si>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</si>
  <si>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</si>
  <si>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</si>
  <si>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</si>
  <si>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</si>
  <si>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</si>
  <si>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</si>
  <si>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</si>
  <si>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</si>
  <si>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</si>
  <si>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</si>
  <si>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</si>
  <si>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</si>
  <si>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</si>
  <si>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</si>
  <si>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</si>
  <si>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</si>
  <si>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</si>
  <si>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</si>
  <si>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</si>
  <si>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</si>
  <si>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</si>
  <si>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</si>
  <si>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</si>
  <si>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</si>
  <si>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</si>
  <si>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</si>
  <si>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</si>
  <si>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</si>
  <si>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</si>
  <si>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</si>
  <si>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</si>
  <si>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</si>
  <si>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</si>
  <si>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</si>
  <si>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</si>
  <si>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</si>
  <si>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</si>
  <si>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</si>
  <si>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</si>
  <si>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</si>
  <si>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</si>
  <si>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</si>
  <si>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</si>
  <si>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</si>
  <si>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</si>
  <si>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</si>
  <si>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</si>
  <si>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</si>
  <si>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</si>
  <si>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</si>
  <si>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</si>
  <si>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</si>
  <si>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</si>
  <si>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</si>
  <si>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</si>
  <si>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</si>
  <si>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</si>
  <si>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</si>
  <si>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</si>
  <si>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</si>
  <si>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</si>
  <si>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</si>
  <si>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</si>
  <si>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</si>
  <si>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</si>
  <si>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</si>
  <si>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</si>
  <si>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</si>
  <si>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</si>
  <si>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</si>
  <si>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</si>
  <si>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</si>
  <si>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</si>
  <si>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</si>
  <si>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</si>
  <si>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</si>
  <si>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</si>
  <si>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</si>
  <si>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</si>
  <si>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</si>
  <si>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</si>
  <si>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</si>
  <si>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</si>
  <si>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</si>
  <si>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</si>
  <si>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</si>
  <si>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</si>
  <si>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</si>
  <si>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</si>
  <si>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</si>
  <si>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</si>
  <si>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</si>
  <si>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</si>
  <si>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</si>
  <si>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</si>
  <si>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</si>
  <si>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</si>
  <si>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</si>
  <si>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</si>
  <si>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</si>
  <si>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</si>
  <si>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</si>
  <si>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</si>
  <si>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</si>
  <si>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</si>
  <si>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</si>
  <si>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</si>
  <si>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</si>
  <si>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</si>
  <si>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</si>
  <si>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</si>
  <si>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</si>
  <si>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</si>
  <si>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</si>
  <si>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</si>
  <si>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</si>
  <si>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</si>
  <si>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</si>
  <si>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</si>
  <si>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</si>
  <si>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</si>
  <si>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</si>
  <si>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</si>
  <si>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</si>
  <si>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</si>
  <si>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</si>
  <si>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</si>
  <si>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</si>
  <si>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</si>
  <si>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</si>
  <si>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</si>
  <si>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</si>
  <si>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</si>
  <si>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</si>
  <si>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</si>
  <si>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</si>
  <si>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</si>
  <si>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</si>
  <si>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</si>
  <si>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</si>
  <si>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</si>
  <si>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</si>
  <si>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</si>
  <si>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</si>
  <si>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</si>
  <si>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</si>
  <si>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</si>
  <si>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</si>
  <si>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</si>
  <si>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</si>
  <si>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</si>
  <si>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</si>
  <si>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</si>
  <si>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</si>
  <si>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</si>
  <si>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</si>
  <si>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</si>
  <si>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</si>
  <si>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</si>
  <si>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</si>
  <si>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</si>
  <si>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</si>
  <si>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</si>
  <si>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</si>
  <si>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</si>
  <si>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</si>
  <si>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</si>
  <si>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</si>
  <si>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</si>
  <si>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</si>
  <si>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</si>
  <si>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</si>
  <si>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</si>
  <si>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</si>
  <si>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</si>
  <si>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</si>
  <si>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</si>
  <si>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</si>
  <si>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</si>
  <si>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</si>
  <si>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</si>
  <si>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</si>
  <si>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</si>
  <si>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</si>
  <si>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</si>
  <si>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</si>
  <si>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</si>
  <si>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</si>
  <si>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</si>
  <si>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地上</t>
  </si>
  <si>
    <t>地下</t>
  </si>
  <si>
    <t>是</t>
  </si>
  <si>
    <t>办公</t>
    <phoneticPr fontId="7" type="noConversion"/>
  </si>
  <si>
    <t>车库</t>
    <phoneticPr fontId="7" type="noConversion"/>
  </si>
  <si>
    <t>直线</t>
    <phoneticPr fontId="3" type="noConversion"/>
  </si>
  <si>
    <t>观察</t>
    <phoneticPr fontId="3" type="noConversion"/>
  </si>
  <si>
    <t>成新度</t>
  </si>
  <si>
    <t>收益法</t>
  </si>
  <si>
    <t>办公</t>
    <phoneticPr fontId="3" type="noConversion"/>
  </si>
  <si>
    <t>押一</t>
  </si>
  <si>
    <t>钢混</t>
  </si>
  <si>
    <t>非生产用房</t>
  </si>
  <si>
    <t>否</t>
  </si>
  <si>
    <t>收益法(车库)</t>
  </si>
  <si>
    <t>收益法(车库)</t>
    <phoneticPr fontId="16" type="noConversion"/>
  </si>
  <si>
    <t>商务金融用地</t>
  </si>
  <si>
    <t>宗地容积率</t>
  </si>
  <si>
    <t>通路</t>
  </si>
  <si>
    <t>通电</t>
  </si>
  <si>
    <t>通讯</t>
  </si>
  <si>
    <t>通上水</t>
  </si>
  <si>
    <t>通下水</t>
  </si>
  <si>
    <t>平整</t>
  </si>
  <si>
    <t>与级别开发程度不一致</t>
  </si>
  <si>
    <t>较好</t>
  </si>
  <si>
    <t>好</t>
  </si>
  <si>
    <t>未包含在土地购买价格中</t>
  </si>
  <si>
    <t>全部缴纳</t>
  </si>
  <si>
    <t>已包含在土地取得成本中</t>
  </si>
  <si>
    <t>成本法</t>
  </si>
  <si>
    <t>收益法（汇总）</t>
  </si>
  <si>
    <t>项目模式</t>
  </si>
  <si>
    <t>售价</t>
  </si>
  <si>
    <t>办公</t>
    <phoneticPr fontId="7" type="noConversion"/>
  </si>
  <si>
    <t>车位</t>
    <phoneticPr fontId="7" type="noConversion"/>
  </si>
  <si>
    <t>成本法(车库)</t>
  </si>
  <si>
    <t>成本法(车库)</t>
    <phoneticPr fontId="16" type="noConversion"/>
  </si>
  <si>
    <t>比较法-办公</t>
  </si>
  <si>
    <t>地上</t>
    <phoneticPr fontId="3" type="noConversion"/>
  </si>
  <si>
    <t>地下</t>
    <phoneticPr fontId="3" type="noConversion"/>
  </si>
  <si>
    <t>自行车库</t>
    <phoneticPr fontId="3" type="noConversion"/>
  </si>
  <si>
    <t>设备用房</t>
    <phoneticPr fontId="3" type="noConversion"/>
  </si>
  <si>
    <t>管理用房</t>
    <phoneticPr fontId="3" type="noConversion"/>
  </si>
  <si>
    <t>员工餐厅</t>
    <phoneticPr fontId="3" type="noConversion"/>
  </si>
  <si>
    <t>健身房</t>
    <phoneticPr fontId="3" type="noConversion"/>
  </si>
  <si>
    <t>办公</t>
    <phoneticPr fontId="3" type="noConversion"/>
  </si>
  <si>
    <t>库房</t>
    <phoneticPr fontId="3" type="noConversion"/>
  </si>
  <si>
    <t>附属用房</t>
    <phoneticPr fontId="3" type="noConversion"/>
  </si>
  <si>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</si>
  <si>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</si>
  <si>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</si>
  <si>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</si>
  <si>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</si>
  <si>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</si>
  <si>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</si>
  <si>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</si>
  <si>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</si>
  <si>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</si>
  <si>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</si>
  <si>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</si>
  <si>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</si>
  <si>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</si>
  <si>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</si>
  <si>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</si>
  <si>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</si>
  <si>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北京市海淀区西北旺镇永丰产业基地(新)HD00-0403-004地块F3其他类多功能用地</t>
  </si>
  <si>
    <t>京土储挂(海)[2023]039号</t>
  </si>
  <si>
    <t xml:space="preserve"> 海淀区  </t>
  </si>
  <si>
    <t>商业/办公用地</t>
  </si>
  <si>
    <t xml:space="preserve"> 已成交  </t>
  </si>
  <si>
    <t xml:space="preserve"> F3其他类多功能用地  </t>
  </si>
  <si>
    <t>2023-08-03</t>
  </si>
  <si>
    <t xml:space="preserve"> 北京泽御置业有限公司  </t>
  </si>
  <si>
    <t>北京市海淀区西北旺镇永丰产业基地(新)HD00-0403-009地块F3其他类多功能用地</t>
  </si>
  <si>
    <t>京土储挂(海)[2022]063号</t>
  </si>
  <si>
    <t>2022-10-31</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</si>
  <si>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</si>
  <si>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</si>
  <si>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</si>
  <si>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</si>
  <si>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</si>
  <si>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</si>
  <si>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2021-10-26</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</si>
  <si>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</si>
  <si>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</si>
  <si>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</si>
  <si>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</si>
  <si>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</si>
  <si>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</si>
  <si>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</si>
  <si>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</si>
  <si>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</si>
  <si>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  </t>
  </si>
  <si>
    <t xml:space="preserve"> B4综合性商业金融服务业用地  </t>
  </si>
  <si>
    <t>2020-12-02</t>
  </si>
  <si>
    <t xml:space="preserve"> 中国电建地产集团有限公司  </t>
  </si>
  <si>
    <t>北京市海淀区学院路北端A、B、C、J地块B4综合性商业金融服务业用地、B23研发设计用地</t>
  </si>
  <si>
    <t>京土整储招(海)[2019]034号</t>
  </si>
  <si>
    <t xml:space="preserve"> ≤4.04  </t>
  </si>
  <si>
    <t xml:space="preserve"> B4综合性商业金融服务业用地、B23研发设计用地  </t>
  </si>
  <si>
    <t>2019-12-02</t>
  </si>
  <si>
    <t xml:space="preserve"> --  </t>
  </si>
  <si>
    <t xml:space="preserve"> 紫光集团有限公司、紫光股份有限公司、紫光国芯微电子股份有限公司、北京紫光科技服务集团有限公司联合体  </t>
  </si>
  <si>
    <t>北京市海淀区西三旗1811-L04地块B4综合性商业金融服务业用地</t>
  </si>
  <si>
    <t>京土整储挂(海)[2019]015号</t>
  </si>
  <si>
    <t xml:space="preserve"> ≤2.8  </t>
  </si>
  <si>
    <t>2019-07-04</t>
  </si>
  <si>
    <t xml:space="preserve"> 北京润置商业运营管理有限公司  </t>
  </si>
  <si>
    <t>北京市海淀区"海淀北部地区整体开发"西北旺镇HD00-0402-0102地块(永丰产业基地)B1商业用地</t>
  </si>
  <si>
    <t>京土整储挂(海)[2019]005号</t>
  </si>
  <si>
    <t xml:space="preserve"> ≤3  </t>
  </si>
  <si>
    <t xml:space="preserve"> B1商业用地  </t>
  </si>
  <si>
    <t>2019-05-28</t>
  </si>
  <si>
    <t xml:space="preserve"> 北京实创科技园开发建设股份有限公司  </t>
  </si>
  <si>
    <t>北京市海淀区西八里庄0711-653地块B4综合性商业金融服务业用地</t>
  </si>
  <si>
    <t>京土整储挂(海)[2017]087号</t>
  </si>
  <si>
    <t>2017-11-16</t>
  </si>
  <si>
    <t xml:space="preserve"> 中国电子科技集团公司  </t>
  </si>
  <si>
    <t>海淀区“海淀北部地区整体开发”中关村环保科技园HD-0303-0071地块</t>
  </si>
  <si>
    <t>京土整储挂(海)[2016]009号</t>
  </si>
  <si>
    <t xml:space="preserve"> B2商务用地  </t>
  </si>
  <si>
    <t>2016-06-02</t>
  </si>
  <si>
    <t xml:space="preserve"> 北京龙湖中佰置业有限公司、北京龙湖天行置业有限公司联合体  </t>
  </si>
  <si>
    <t>海淀区“海淀北部地区整体开发”HD-0303-0031地块</t>
  </si>
  <si>
    <t>京土整储挂(海)[2015]044号</t>
  </si>
  <si>
    <t>2015-10-28</t>
  </si>
  <si>
    <t xml:space="preserve"> 神州数码软件有限公司、神州数码(中国)有限公司联合体  </t>
  </si>
  <si>
    <t>海淀区“海淀北部地区整体开发”HD-0303-0062地块</t>
  </si>
  <si>
    <t>京土整储挂(海)[2015]042号</t>
  </si>
  <si>
    <t xml:space="preserve"> B2商务用地用地  </t>
  </si>
  <si>
    <t>2015-10-27</t>
  </si>
  <si>
    <t xml:space="preserve"> 北京万科企业有限公司  </t>
  </si>
  <si>
    <t>海淀北部地区整体开发中关村永丰产业基地HD-0402-0078地块B2商务用地</t>
  </si>
  <si>
    <t>京土整储挂(海)[2014]087号</t>
  </si>
  <si>
    <t>2015-01-13</t>
  </si>
  <si>
    <t xml:space="preserve"> 中关村发展集团股份有限公司、北京中关村软件园发展有限责任公司联合体  </t>
  </si>
  <si>
    <t>办公</t>
    <phoneticPr fontId="30" type="noConversion"/>
  </si>
  <si>
    <t>商业、办公</t>
  </si>
  <si>
    <t>商业、办公</t>
    <phoneticPr fontId="30" type="noConversion"/>
  </si>
  <si>
    <t>一般</t>
  </si>
  <si>
    <t>七通</t>
  </si>
  <si>
    <t>办公</t>
    <phoneticPr fontId="8" type="noConversion"/>
  </si>
  <si>
    <t>车库</t>
    <phoneticPr fontId="8" type="noConversion"/>
  </si>
  <si>
    <t>地下</t>
    <phoneticPr fontId="8" type="noConversion"/>
  </si>
  <si>
    <t>设备</t>
    <phoneticPr fontId="8"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</si>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</sst>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12" borderId="0" xfId="0" applyFont="1" applyFill="1" applyAlignment="1" applyProtection="1">
      <alignment vertical="center"/>
      <protection locked="0"/>
    </xf>
    <xf numFmtId="0" fontId="128" fillId="12" borderId="0" xfId="0" applyFont="1" applyFill="1" applyProtection="1">
      <alignment vertical="center"/>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94" fillId="0" borderId="9"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估价对象为北京市房地产，为所有。根据《国有土地使用证》[]，估价对象（分摊）出让国有建设用地使用权面积为16321.07平方米，建筑面积为87936.61平方米。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估价对象为北京市房地产,属开发建设的，该项目尚在开发建设中。根据《国有土地使用证》[]，估价对象（分摊）出让国有建设用地使用权面积为16321.07平方米，规划建筑面积为87936.61平方米。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2023年11月9日</v>
      </c>
    </row>
    <row r="13" spans="1:2" s="1203" customFormat="1">
      <c r="A13" s="1201" t="s">
        <v>529</v>
      </c>
      <c r="B13" s="1202" t="str">
        <f>'预评函-1'!A18</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461821</v>
      </c>
    </row>
    <row r="21" spans="1:2" s="1203" customFormat="1">
      <c r="A21" s="1201" t="s">
        <v>537</v>
      </c>
      <c r="B21" s="1202">
        <f ca="1">'预评函-2'!D7</f>
        <v>52517</v>
      </c>
    </row>
    <row r="22" spans="1:2" s="1203" customFormat="1">
      <c r="A22" s="1201" t="s">
        <v>538</v>
      </c>
      <c r="B22" s="1202" t="str">
        <f ca="1">'预评函-2'!D6</f>
        <v>肆拾陆亿壹仟捌佰贰拾壹万元整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461821</v>
      </c>
    </row>
    <row r="31" spans="1:2" s="1203" customFormat="1">
      <c r="A31" s="1201" t="s">
        <v>576</v>
      </c>
      <c r="B31" s="1202">
        <f ca="1">'预评函-2'!D15</f>
        <v>52517</v>
      </c>
    </row>
    <row r="32" spans="1:2" s="1203" customFormat="1">
      <c r="A32" s="1201" t="s">
        <v>543</v>
      </c>
      <c r="B32" s="1202" t="str">
        <f ca="1">'预评函-2'!D14</f>
        <v>肆拾陆亿壹仟捌佰贰拾壹万元整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87936.610000000015</v>
      </c>
    </row>
    <row r="44" spans="1:2" s="1203" customFormat="1">
      <c r="A44" s="1201" t="s">
        <v>575</v>
      </c>
      <c r="B44" s="1202" t="str">
        <f>'预评函-3'!C2</f>
        <v>(分摊)土地面积</v>
      </c>
    </row>
    <row r="45" spans="1:2" s="1203" customFormat="1">
      <c r="A45" s="1201" t="s">
        <v>547</v>
      </c>
      <c r="B45" s="1202">
        <f>'预评函-3'!C4</f>
        <v>16321.07</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3402</v>
      </c>
      <c r="C19" s="1547"/>
    </row>
    <row r="20" spans="1:3">
      <c r="A20" s="1546" t="s">
        <v>1048</v>
      </c>
      <c r="B20" s="1546" t="s">
        <v>3424</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4" t="s">
        <v>385</v>
      </c>
      <c r="C54" s="1551" t="s">
        <v>583</v>
      </c>
    </row>
    <row r="55" spans="1:4">
      <c r="A55" s="3521"/>
      <c r="B55" s="1554" t="s">
        <v>386</v>
      </c>
      <c r="C55" s="1551" t="s">
        <v>584</v>
      </c>
    </row>
    <row r="56" spans="1:4">
      <c r="A56" s="3521"/>
      <c r="B56" s="1554" t="s">
        <v>387</v>
      </c>
      <c r="C56" s="1551" t="s">
        <v>588</v>
      </c>
    </row>
    <row r="57" spans="1:4">
      <c r="A57" s="352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22" t="s">
        <v>2584</v>
      </c>
      <c r="J2" s="3522"/>
      <c r="K2" s="3522"/>
      <c r="L2" s="3522"/>
      <c r="M2" s="3522"/>
      <c r="N2" s="3522"/>
      <c r="O2" s="3522"/>
      <c r="P2" s="3522"/>
      <c r="Q2" s="3522"/>
      <c r="R2" s="3522"/>
    </row>
    <row r="3" spans="1:18">
      <c r="A3" s="3020" t="s">
        <v>2505</v>
      </c>
      <c r="B3" s="3021">
        <f>项目基本情况!D3</f>
        <v>45239</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3.11</v>
      </c>
      <c r="D5" s="3025">
        <f>IF(ISERROR(ROUND(POWER(1+E5,A5-C5)*(POWER(1+E5,C5)-1)/(POWER(1+E5,A5)-1),3)),0,ROUND(POWER(1+E5,A5-C5)*(POWER(1+E5,C5)-1)/(POWER(1+E5,A5)-1),4))</f>
        <v>0.14499999999999999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13.12</v>
      </c>
      <c r="D6" s="3025">
        <f>IF(ISERROR(ROUND(POWER(1+E6,A6-C6)*(POWER(1+E6,C6)-1)/(POWER(1+E6,A6)-1),3)),0,ROUND(POWER(1+E6,A6-C6)*(POWER(1+E6,C6)-1)/(POWER(1+E6,A6)-1),4))</f>
        <v>0.46810000000000002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33.130000000000003</v>
      </c>
      <c r="D7" s="3025">
        <f>IF(ISERROR(ROUND(POWER(1+E7,A7-C7)*(POWER(1+E7,C7)-1)/(POWER(1+E7,A7)-1),3)),0,ROUND(POWER(1+E7,A7-C7)*(POWER(1+E7,C7)-1)/(POWER(1+E7,A7)-1),4))</f>
        <v>0.7772</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8" sqref="G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3" t="str">
        <f>IF(B10="北京市","北京市",C10)&amp;F10&amp;IF(结果表!G1="在建","出让国有建设用地使用权及在建建筑物",IF(结果表!G1="土地","出让国有建设用地使用权",))&amp;B9&amp;"预评估"</f>
        <v>北京市房地产抵押价值预评估</v>
      </c>
      <c r="C1" s="3524"/>
      <c r="D1" s="3524"/>
      <c r="E1" s="3524"/>
      <c r="F1" s="3524"/>
      <c r="G1" s="3524"/>
      <c r="H1" s="3524"/>
      <c r="I1" s="352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45239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26"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27"/>
      <c r="E9" s="2394"/>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v>56137</v>
      </c>
      <c r="F13" s="856">
        <f>E13</f>
        <v>56137</v>
      </c>
      <c r="G13" s="856"/>
      <c r="H13" s="856"/>
      <c r="I13" s="856"/>
      <c r="J13" s="3062"/>
      <c r="K13" s="2613"/>
      <c r="L13" s="2613"/>
      <c r="M13" s="2439"/>
      <c r="N13" s="2450"/>
      <c r="O13" s="2439"/>
      <c r="P13" s="2439"/>
      <c r="Q13" s="2439"/>
      <c r="AD13" s="1745"/>
    </row>
    <row r="14" spans="1:30">
      <c r="A14" s="1081"/>
      <c r="B14" s="2407" t="s">
        <v>2191</v>
      </c>
      <c r="C14" s="2408"/>
      <c r="D14" s="2408"/>
      <c r="E14" s="2408">
        <v>50</v>
      </c>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29.85</v>
      </c>
      <c r="F15" s="2410">
        <f>IF(A13="出让",IF(F13="","",ROUNDDOWN(MIN((F13-$D$3)/365,F14),2)),F14)</f>
        <v>29.85</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3"/>
      <c r="C16" s="3534"/>
      <c r="D16" s="3535"/>
      <c r="E16" s="2413" t="s">
        <v>2194</v>
      </c>
      <c r="F16" s="3536"/>
      <c r="G16" s="3537"/>
      <c r="H16" s="3537"/>
      <c r="I16" s="3538"/>
      <c r="J16" s="2439"/>
      <c r="K16" s="2617"/>
      <c r="L16" s="2451"/>
      <c r="M16" s="2451"/>
      <c r="N16" s="2509"/>
      <c r="O16" s="2451"/>
      <c r="P16" s="2509"/>
      <c r="Q16" s="2439"/>
      <c r="R16" s="2439"/>
    </row>
    <row r="17" spans="1:28">
      <c r="A17" s="313" t="s">
        <v>2195</v>
      </c>
      <c r="B17" s="302" t="s">
        <v>2196</v>
      </c>
      <c r="C17" s="8">
        <f>'数据-汇总表'!E3</f>
        <v>87936.610000000015</v>
      </c>
      <c r="D17" s="2322" t="s">
        <v>2197</v>
      </c>
      <c r="E17" s="3539" t="s">
        <v>2198</v>
      </c>
      <c r="F17" s="3540"/>
      <c r="G17" s="3540"/>
      <c r="H17" s="3540"/>
      <c r="I17" s="354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16321.07</v>
      </c>
      <c r="D18" s="1092" t="s">
        <v>2201</v>
      </c>
      <c r="E18" s="3542" t="s">
        <v>2202</v>
      </c>
      <c r="F18" s="3543"/>
      <c r="G18" s="3543"/>
      <c r="H18" s="3543"/>
      <c r="I18" s="354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9" t="s">
        <v>2206</v>
      </c>
      <c r="C20" s="3530"/>
      <c r="D20" s="3531" t="s">
        <v>2207</v>
      </c>
      <c r="E20" s="3532"/>
      <c r="F20" s="2647" t="s">
        <v>1056</v>
      </c>
      <c r="G20" s="2664"/>
      <c r="H20" s="2664"/>
      <c r="I20" s="2664"/>
      <c r="J20" s="2439"/>
      <c r="K20" s="352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7"/>
      <c r="B30" s="302" t="s">
        <v>2218</v>
      </c>
      <c r="C30" s="3548"/>
      <c r="D30" s="3549"/>
      <c r="E30" s="2664"/>
      <c r="F30" s="2664"/>
      <c r="G30" s="2664"/>
      <c r="H30" s="2664"/>
      <c r="I30" s="2664"/>
      <c r="J30" s="2439"/>
      <c r="K30" s="2616"/>
      <c r="L30" s="2613"/>
      <c r="M30" s="2613"/>
      <c r="N30" s="2439"/>
      <c r="O30" s="2450"/>
      <c r="P30" s="2439"/>
      <c r="Q30" s="2439"/>
      <c r="R30" s="2439"/>
      <c r="S30" s="2439"/>
      <c r="T30" s="2439"/>
      <c r="U30" s="2439"/>
      <c r="V30" s="2439"/>
    </row>
    <row r="31" spans="1:28">
      <c r="A31" s="355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5" t="s">
        <v>2228</v>
      </c>
      <c r="T34" s="2428" t="str">
        <f>NUMBERSTRING(7-K34,1)&amp;"通"</f>
        <v>七通</v>
      </c>
      <c r="U34" s="2439"/>
      <c r="V34" s="2439"/>
    </row>
    <row r="35" spans="1:30">
      <c r="A35" s="2429"/>
      <c r="B35" s="3552" t="s">
        <v>2229</v>
      </c>
      <c r="C35" s="3552"/>
      <c r="D35" s="3552"/>
      <c r="E35" s="355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184</v>
      </c>
      <c r="D37" s="2431" t="s">
        <v>184</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146</v>
      </c>
      <c r="D38" s="2432" t="s">
        <v>146</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3" sqref="M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16321.07</v>
      </c>
      <c r="B3" s="11">
        <f>IF(C3="否",G5-AT5,G5)</f>
        <v>87936.610000000015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87936.610000000015</v>
      </c>
      <c r="H5" s="13">
        <f t="shared" ref="H5:AT5" si="0">SUM(H13:H656)</f>
        <v>87936.610000000015</v>
      </c>
      <c r="I5" s="13">
        <f t="shared" si="0"/>
        <v>65713.740000000005</v>
      </c>
      <c r="J5" s="13">
        <f t="shared" si="0"/>
        <v>0</v>
      </c>
      <c r="K5" s="13">
        <f t="shared" si="0"/>
        <v>5437.93</v>
      </c>
      <c r="L5" s="13">
        <f t="shared" si="0"/>
        <v>0</v>
      </c>
      <c r="M5" s="13">
        <f t="shared" si="0"/>
        <v>16784.940000000002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87936.610000000015</v>
      </c>
      <c r="BA5" s="15">
        <f t="shared" si="1"/>
        <v>87936.610000000015</v>
      </c>
      <c r="BB5" s="15">
        <f t="shared" si="1"/>
        <v>65713.740000000005</v>
      </c>
      <c r="BC5" s="15">
        <f t="shared" si="1"/>
        <v>5437.93</v>
      </c>
      <c r="BD5" s="15">
        <f t="shared" si="1"/>
        <v>16784.940000000002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16321.07</v>
      </c>
      <c r="F6" s="13" t="s">
        <v>0</v>
      </c>
      <c r="G6" s="13" t="s">
        <v>1</v>
      </c>
      <c r="H6" s="17">
        <f>SUMIF(I$12:AB$12,"总值",I6:AB6)</f>
        <v>16321.07</v>
      </c>
      <c r="I6" s="13">
        <f t="shared" ref="I6:AB6" si="2">ROUND($A$3*I5/$B$3,2)</f>
        <v>12196.5</v>
      </c>
      <c r="J6" s="13">
        <f t="shared" si="2"/>
        <v>0</v>
      </c>
      <c r="K6" s="13">
        <f t="shared" si="2"/>
        <v>1009.28</v>
      </c>
      <c r="L6" s="13">
        <f t="shared" si="2"/>
        <v>0</v>
      </c>
      <c r="M6" s="13">
        <f t="shared" si="2"/>
        <v>3115.29</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16321.07</v>
      </c>
      <c r="AZ6" s="13" t="s">
        <v>2</v>
      </c>
      <c r="BA6" s="13">
        <f>ROUND($AY$6*BA5/$AZ$5,2)</f>
        <v>16321.07</v>
      </c>
      <c r="BB6" s="13">
        <f>ROUND($AY$6*BB5/$AZ$5,2)</f>
        <v>12196.5</v>
      </c>
      <c r="BC6" s="13">
        <f t="shared" ref="BC6:BH6" si="4">ROUND($AY$6*BC5/$AZ$5,2)</f>
        <v>1009.28</v>
      </c>
      <c r="BD6" s="13">
        <f t="shared" si="4"/>
        <v>3115.29</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t="s">
        <v>3388</v>
      </c>
      <c r="L9" s="809"/>
      <c r="M9" s="1603" t="s">
        <v>3388</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3337</v>
      </c>
      <c r="L10" s="809"/>
      <c r="M10" s="1609" t="s">
        <v>21</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车库</v>
      </c>
      <c r="BD11" s="1599" t="str">
        <f>M10</f>
        <v>办公</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3389</v>
      </c>
      <c r="E13" s="13">
        <f>IF($C$3="是",ROUND($A$3*G13/$B$3,2),ROUND($A$3*(G13-AT13)/$B$3,2))</f>
        <v>16321.07</v>
      </c>
      <c r="F13" s="29"/>
      <c r="G13" s="30">
        <f>H13+AC13+AT13</f>
        <v>87936.610000000015</v>
      </c>
      <c r="H13" s="17">
        <f>SUMIF(I$12:AB$12,"总值",I13:AB13)</f>
        <v>87936.610000000015</v>
      </c>
      <c r="I13" s="1626">
        <v>65713.740000000005</v>
      </c>
      <c r="J13" s="1626"/>
      <c r="K13" s="1626">
        <v>5437.93</v>
      </c>
      <c r="L13" s="1626"/>
      <c r="M13" s="1626">
        <f>269.19+7965.5+438.68+2121.62+2614.11+2782.09+143.07+450.68</f>
        <v>16784.940000000002</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16321.07</v>
      </c>
      <c r="AZ13" s="13">
        <f>BA13+BL13</f>
        <v>87936.610000000015</v>
      </c>
      <c r="BA13" s="13">
        <f>SUM(BB13:BK13)</f>
        <v>87936.610000000015</v>
      </c>
      <c r="BB13" s="13">
        <f>IF($D13="是",I13-J13,0)</f>
        <v>65713.740000000005</v>
      </c>
      <c r="BC13" s="13">
        <f>IF($D13="是",K13-L13,0)</f>
        <v>5437.93</v>
      </c>
      <c r="BD13" s="13">
        <f>IF($D13="是",M13-N13,0)</f>
        <v>16784.940000000002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19" sqref="G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2" t="s">
        <v>1131</v>
      </c>
      <c r="B2" s="3562"/>
      <c r="C2" s="3562"/>
      <c r="D2" s="796" t="s">
        <v>1107</v>
      </c>
      <c r="E2" s="1639" t="s">
        <v>1108</v>
      </c>
      <c r="F2" s="2659"/>
      <c r="G2" s="2650"/>
      <c r="H2" s="2651"/>
      <c r="I2" s="2325" t="s">
        <v>1132</v>
      </c>
      <c r="J2" s="2659"/>
      <c r="K2" s="2659"/>
      <c r="L2" s="2659"/>
      <c r="M2" s="2659"/>
      <c r="N2" s="2661"/>
      <c r="O2" s="2659"/>
      <c r="P2" s="2659"/>
    </row>
    <row r="3" spans="1:16" ht="15.75" thickBot="1">
      <c r="A3" s="3563" t="s">
        <v>1105</v>
      </c>
      <c r="B3" s="3563"/>
      <c r="C3" s="3563"/>
      <c r="D3" s="43">
        <f>'数据-基础表'!AY6</f>
        <v>16321.07</v>
      </c>
      <c r="E3" s="43">
        <f>'数据-基础表'!AZ5</f>
        <v>87936.610000000015</v>
      </c>
      <c r="F3" s="2659"/>
      <c r="G3" s="1145"/>
      <c r="H3" s="1026" t="s">
        <v>1106</v>
      </c>
      <c r="I3" s="855">
        <f>ROUND('数据-基础表'!B3/'数据-基础表'!A3,2)</f>
        <v>5.39</v>
      </c>
      <c r="J3" s="2659"/>
      <c r="K3" s="2659"/>
      <c r="L3" s="2659"/>
      <c r="M3" s="2659"/>
      <c r="N3" s="2661"/>
      <c r="O3" s="2659"/>
      <c r="P3" s="2659"/>
    </row>
    <row r="4" spans="1:16" ht="15">
      <c r="A4" s="3564"/>
      <c r="B4" s="3565"/>
      <c r="C4" s="3566"/>
      <c r="D4" s="1641" t="s">
        <v>1107</v>
      </c>
      <c r="E4" s="1642" t="s">
        <v>1108</v>
      </c>
      <c r="F4" s="2659"/>
      <c r="G4" s="2652" t="s">
        <v>1133</v>
      </c>
      <c r="H4" s="1026" t="s">
        <v>1113</v>
      </c>
      <c r="I4" s="855">
        <f>ROUND(SUMIF('数据-基础表'!I9:AS9,"地上",'数据-基础表'!I5:AS5)/'数据-基础表'!A3,2)</f>
        <v>4.03</v>
      </c>
      <c r="J4" s="2659"/>
      <c r="K4" s="2659"/>
      <c r="L4" s="2659"/>
      <c r="M4" s="2659"/>
      <c r="N4" s="2661"/>
      <c r="O4" s="2659"/>
      <c r="P4" s="2659"/>
    </row>
    <row r="5" spans="1:16">
      <c r="A5" s="44" t="s">
        <v>1109</v>
      </c>
      <c r="B5" s="3567" t="s">
        <v>1110</v>
      </c>
      <c r="C5" s="3567"/>
      <c r="D5" s="45">
        <f>ROUND($D$3*E5/$E$3,2)</f>
        <v>0</v>
      </c>
      <c r="E5" s="46">
        <f>SUMIF('数据-基础表'!$11:$11,"住宅",'数据-基础表'!$5:$5)</f>
        <v>0</v>
      </c>
      <c r="F5" s="2659"/>
      <c r="G5" s="1145"/>
      <c r="H5" s="1026" t="s">
        <v>1106</v>
      </c>
      <c r="I5" s="855">
        <f>ROUND(E31/D31,2)</f>
        <v>5.39</v>
      </c>
      <c r="J5" s="2659"/>
      <c r="K5" s="2659"/>
      <c r="L5" s="2659"/>
      <c r="M5" s="2659"/>
      <c r="N5" s="2659"/>
      <c r="O5" s="2659"/>
      <c r="P5" s="2659"/>
    </row>
    <row r="6" spans="1:16" ht="15" thickBot="1">
      <c r="A6" s="1644"/>
      <c r="B6" s="3567" t="s">
        <v>1111</v>
      </c>
      <c r="C6" s="3567"/>
      <c r="D6" s="45">
        <f>ROUND($D$3*E6/$E$3,2)</f>
        <v>16321.07</v>
      </c>
      <c r="E6" s="46">
        <f>E3-E5</f>
        <v>87936.610000000015</v>
      </c>
      <c r="F6" s="2659"/>
      <c r="G6" s="2653" t="s">
        <v>1112</v>
      </c>
      <c r="H6" s="1146" t="s">
        <v>1113</v>
      </c>
      <c r="I6" s="2654">
        <f>ROUND(F31/D31,2)</f>
        <v>4.03</v>
      </c>
      <c r="J6" s="2659"/>
      <c r="K6" s="2659"/>
      <c r="L6" s="2659"/>
      <c r="M6" s="2659"/>
      <c r="N6" s="2659"/>
      <c r="O6" s="2659"/>
      <c r="P6" s="2659"/>
    </row>
    <row r="7" spans="1:16" ht="15.75" thickBot="1">
      <c r="A7" s="3559"/>
      <c r="B7" s="3560"/>
      <c r="C7" s="356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12196.5</v>
      </c>
      <c r="E8" s="48">
        <f>SUMIF('数据-基础表'!BB10:BK10,"地上",'数据-基础表'!BB5:BK5)</f>
        <v>65713.740000000005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3474" t="s">
        <v>3421</v>
      </c>
      <c r="L9" s="2659">
        <f>F19</f>
        <v>65713.740000000005</v>
      </c>
      <c r="M9" s="2659">
        <v>42000</v>
      </c>
      <c r="N9" s="2659">
        <f>M9*L9/10000</f>
        <v>275997.70799999998</v>
      </c>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3474" t="s">
        <v>3422</v>
      </c>
      <c r="L10" s="2659">
        <f>'数据-取费表'!AH7</f>
        <v>155</v>
      </c>
      <c r="M10" s="2659">
        <v>20</v>
      </c>
      <c r="N10" s="2659">
        <f>M10*L10</f>
        <v>3100</v>
      </c>
      <c r="O10" s="2659"/>
      <c r="P10" s="2659"/>
    </row>
    <row r="11" spans="1:16">
      <c r="A11" s="1646"/>
      <c r="B11" s="1647"/>
      <c r="C11" s="45" t="s">
        <v>1120</v>
      </c>
      <c r="D11" s="45">
        <f t="shared" si="0"/>
        <v>3115.29</v>
      </c>
      <c r="E11" s="48">
        <f>SUMPRODUCT(('数据-基础表'!BB10:BK10="地下")*('数据-基础表'!BB11:BK11="办公")*('数据-基础表'!BB5:BK5))+'数据-基础表'!BP5</f>
        <v>16784.940000000002</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1009.28</v>
      </c>
      <c r="E13" s="48">
        <f>SUMPRODUCT(('数据-基础表'!BB10:BK10="地下")*('数据-基础表'!BB11:BK11="车库")*('数据-基础表'!BB5:BK5))</f>
        <v>5437.93</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16321.070000000002</v>
      </c>
      <c r="E16" s="50">
        <f>SUM(E8:E15)</f>
        <v>87936.610000000015</v>
      </c>
      <c r="F16" s="2659"/>
      <c r="G16" s="2660"/>
      <c r="H16" s="1648" t="s">
        <v>1135</v>
      </c>
      <c r="I16" s="1649"/>
      <c r="J16" s="1139"/>
      <c r="K16" s="3556" t="s">
        <v>1135</v>
      </c>
      <c r="L16" s="3557"/>
      <c r="M16" s="3557"/>
      <c r="N16" s="3557"/>
      <c r="O16" s="3557"/>
      <c r="P16" s="3558"/>
    </row>
    <row r="17" spans="1:19" ht="15">
      <c r="A17" s="1650" t="s">
        <v>1136</v>
      </c>
      <c r="B17" s="1651" t="s">
        <v>1137</v>
      </c>
      <c r="C17" s="1652" t="s">
        <v>1138</v>
      </c>
      <c r="D17" s="1653" t="s">
        <v>1126</v>
      </c>
      <c r="E17" s="1654" t="s">
        <v>1127</v>
      </c>
      <c r="F17" s="1655"/>
      <c r="G17" s="1656"/>
      <c r="H17" s="1657" t="s">
        <v>1139</v>
      </c>
      <c r="I17" s="1658" t="s">
        <v>1124</v>
      </c>
      <c r="J17" s="1139"/>
      <c r="K17" s="3553" t="s">
        <v>1140</v>
      </c>
      <c r="L17" s="3554"/>
      <c r="M17" s="3555"/>
      <c r="N17" s="3553" t="s">
        <v>1141</v>
      </c>
      <c r="O17" s="3554"/>
      <c r="P17" s="355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3390</v>
      </c>
      <c r="D19" s="45">
        <f>ROUND($D$3*E19/$E$3,2)</f>
        <v>15311.79</v>
      </c>
      <c r="E19" s="53">
        <f t="shared" ref="E19:E26" si="1">SUM(F19:G19)</f>
        <v>82498.680000000008</v>
      </c>
      <c r="F19" s="2795">
        <f>'数据-基础表'!I13</f>
        <v>65713.740000000005</v>
      </c>
      <c r="G19" s="2796">
        <f>'数据-基础表'!M13</f>
        <v>16784.940000000002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15311.79</v>
      </c>
      <c r="S19" s="1027">
        <f t="shared" si="5"/>
        <v>82498.680000000008</v>
      </c>
    </row>
    <row r="20" spans="1:19">
      <c r="A20" s="1670"/>
      <c r="B20" s="47" t="s">
        <v>1153</v>
      </c>
      <c r="C20" s="3417" t="s">
        <v>3391</v>
      </c>
      <c r="D20" s="45">
        <f t="shared" ref="D20:D26" si="6">ROUND($D$3*E20/$E$3,2)</f>
        <v>1009.28</v>
      </c>
      <c r="E20" s="53">
        <f t="shared" si="1"/>
        <v>5437.93</v>
      </c>
      <c r="F20" s="2795"/>
      <c r="G20" s="2796">
        <f>'数据-基础表'!K13</f>
        <v>5437.93</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1009.28</v>
      </c>
      <c r="S20" s="1027">
        <f t="shared" si="5"/>
        <v>5437.93</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16321.070000000002</v>
      </c>
      <c r="E27" s="1141">
        <f>IF(SUM(E19:E26)='数据-基础表'!BA5,SUM(E19:E26),IF(F27="地上面积有误","面积有误","地下面积有误"))</f>
        <v>87936.610000000015</v>
      </c>
      <c r="F27" s="1140">
        <f>IF(SUM(F19:F26)=E8,SUM(F19:F26),"地上面积有误")</f>
        <v>65713.740000000005</v>
      </c>
      <c r="G27" s="1142">
        <f>SUM(G19:G26)</f>
        <v>22222.870000000003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16321.070000000002</v>
      </c>
      <c r="S27" s="1026">
        <f>IF(SUM(S19:S26)=$E$3,SUM(S19:S26),SUM(S19:S26)&amp;"误差"&amp;ROUND(SUM(S19:S26)-E3,2))</f>
        <v>87936.610000000015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16321.070000000002</v>
      </c>
      <c r="E31" s="676">
        <f>E27+E30</f>
        <v>87936.610000000015</v>
      </c>
      <c r="F31" s="677">
        <f>F27+F30</f>
        <v>65713.740000000005</v>
      </c>
      <c r="G31" s="678">
        <f>G27+G30</f>
        <v>22222.870000000003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45239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56137</v>
      </c>
      <c r="F6" s="64">
        <f>SUMIF(项目基本情况!C$12:I$12,C6,项目基本情况!C$15:I$15)</f>
        <v>29.85</v>
      </c>
      <c r="G6" s="65">
        <f>IF(ISERROR(ROUND(POWER(1+H6,D6-F6)*(POWER(1+H6,F6)-1)/(POWER(1+H6,D6)-1),3)),0,ROUND(POWER(1+H6,D6-F6)*(POWER(1+H6,F6)-1)/(POWER(1+H6,D6)-1),3))</f>
        <v>0.84</v>
      </c>
      <c r="H6" s="732">
        <v>0.05</v>
      </c>
      <c r="I6" s="732">
        <v>5.5E-2</v>
      </c>
      <c r="J6" s="66">
        <v>7.0000000000000007E-2</v>
      </c>
      <c r="K6" s="1030">
        <f>SUMIF('数据-汇总表'!C$19:C$33,A6,'数据-汇总表'!E$19:E$33)</f>
        <v>82498.680000000008</v>
      </c>
      <c r="L6" s="733">
        <v>6000</v>
      </c>
      <c r="M6" s="67">
        <f t="shared" ref="M6:M14" si="0">ROUND(K6*L6/10000,0)</f>
        <v>49499</v>
      </c>
      <c r="N6" s="731">
        <f>N21</f>
        <v>0.79</v>
      </c>
      <c r="O6" s="67" t="str">
        <f>IF($N$5="成新度","——",ROUND(M6*N6,0))</f>
        <v>——</v>
      </c>
      <c r="P6" s="68" t="str">
        <f>IF($N$5="成新度","——",M6-O6)</f>
        <v>——</v>
      </c>
      <c r="Q6" s="734">
        <v>0.15</v>
      </c>
      <c r="R6" s="69">
        <f ca="1">SUMIF('数据-汇总表'!C$19:C$33,A6,'数据-汇总表'!R$19:R$27)</f>
        <v>15311.79</v>
      </c>
      <c r="S6" s="51">
        <f>IF('数据-汇总表'!$I$17="按面积比例",SUMIF('数据-汇总表'!C$19:C$33,A6,'数据-汇总表'!K$19:K$33),SUMIF('数据-汇总表'!C$19:C$33,A6,'数据-汇总表'!N$19:N$33))</f>
        <v>0</v>
      </c>
      <c r="T6" s="1172">
        <f>ROUND($L$14*S6/10000,0)</f>
        <v>0</v>
      </c>
      <c r="U6" s="3428">
        <v>12.5</v>
      </c>
      <c r="V6" s="70">
        <v>2.5000000000000001E-2</v>
      </c>
      <c r="W6" s="70">
        <v>0.1</v>
      </c>
      <c r="X6" s="1040"/>
      <c r="Y6" s="71">
        <f>N6</f>
        <v>0.79</v>
      </c>
      <c r="Z6" s="72"/>
      <c r="AA6" s="66"/>
      <c r="AB6" s="66"/>
      <c r="AC6" s="1040"/>
      <c r="AD6" s="73"/>
      <c r="AE6" s="1041">
        <f ca="1">IF(AN6="",0,SUMIF(INDIRECT("'"&amp;AN6&amp;"'"&amp;"!E:E"),$AE$5,INDIRECT("'"&amp;AN6&amp;"'"&amp;"!F:F")))</f>
        <v>29.85</v>
      </c>
      <c r="AF6" s="1348"/>
      <c r="AG6" s="138">
        <f>IF(AF6="",0,AE6-AF6)</f>
        <v>0</v>
      </c>
      <c r="AH6" s="74"/>
      <c r="AI6" s="76">
        <v>365</v>
      </c>
      <c r="AJ6" s="77"/>
      <c r="AK6" s="78">
        <v>0.01</v>
      </c>
      <c r="AL6" s="79">
        <v>1E-3</v>
      </c>
      <c r="AM6" s="80">
        <v>0.01</v>
      </c>
      <c r="AN6" s="1715" t="s">
        <v>3395</v>
      </c>
      <c r="AO6" s="52">
        <f ca="1">SUMIF(INDIRECT("'"&amp;AN6&amp;"'"&amp;"!A:A"),"总价",INDIRECT("'"&amp;AN6&amp;"'"&amp;"!B:B"))</f>
        <v>525539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3337</v>
      </c>
      <c r="D7" s="858">
        <f>SUMIF(项目基本情况!C$12:I$12,C7,项目基本情况!C$14:I$14)</f>
        <v>50</v>
      </c>
      <c r="E7" s="857">
        <f>IF(B7="","",SUMIF(项目基本情况!C$12:I$12,C7,项目基本情况!C$13:I$13))</f>
        <v>56137</v>
      </c>
      <c r="F7" s="64">
        <f>SUMIF(项目基本情况!C$12:I$12,C7,项目基本情况!C$15:I$15)</f>
        <v>29.85</v>
      </c>
      <c r="G7" s="65">
        <f t="shared" ref="G7:G11" si="2">IF(ISERROR(ROUND(POWER(1+H7,D7-F7)*(POWER(1+H7,F7)-1)/(POWER(1+H7,D7)-1),3)),0,ROUND(POWER(1+H7,D7-F7)*(POWER(1+H7,F7)-1)/(POWER(1+H7,D7)-1),3))</f>
        <v>0.82199999999999995</v>
      </c>
      <c r="H7" s="732">
        <v>4.4999999999999998E-2</v>
      </c>
      <c r="I7" s="732">
        <v>0.05</v>
      </c>
      <c r="J7" s="66">
        <v>7.0000000000000007E-2</v>
      </c>
      <c r="K7" s="1030">
        <f>SUMIF('数据-汇总表'!C$19:C$33,A7,'数据-汇总表'!E$19:E$33)</f>
        <v>5437.93</v>
      </c>
      <c r="L7" s="733">
        <f>L6</f>
        <v>6000</v>
      </c>
      <c r="M7" s="67">
        <f t="shared" si="0"/>
        <v>3263</v>
      </c>
      <c r="N7" s="731">
        <f>N6</f>
        <v>0.79</v>
      </c>
      <c r="O7" s="67" t="str">
        <f t="shared" ref="O7:O14" si="3">IF($N$5="成新度","——",ROUND(M7*N7,0))</f>
        <v>——</v>
      </c>
      <c r="P7" s="68" t="str">
        <f t="shared" ref="P7:P14" si="4">IF($N$5="成新度","——",M7-O7)</f>
        <v>——</v>
      </c>
      <c r="Q7" s="734">
        <v>0.1</v>
      </c>
      <c r="R7" s="69">
        <f ca="1">SUMIF('数据-汇总表'!C$19:C$33,A7,'数据-汇总表'!R$19:R$27)</f>
        <v>1009.28</v>
      </c>
      <c r="S7" s="51">
        <f>IF('数据-汇总表'!$I$17="按面积比例",SUMIF('数据-汇总表'!C$19:C$33,A7,'数据-汇总表'!K$19:K$33),SUMIF('数据-汇总表'!C$19:C$33,A7,'数据-汇总表'!N$19:N$33))</f>
        <v>0</v>
      </c>
      <c r="T7" s="1172">
        <f t="shared" ref="T7:T13" si="5">ROUND($L$14*S7/10000,0)</f>
        <v>0</v>
      </c>
      <c r="U7" s="3428">
        <v>1600</v>
      </c>
      <c r="V7" s="70">
        <f>V6</f>
        <v>2.5000000000000001E-2</v>
      </c>
      <c r="W7" s="70">
        <v>0.1</v>
      </c>
      <c r="X7" s="1040"/>
      <c r="Y7" s="71">
        <f>N7</f>
        <v>0.79</v>
      </c>
      <c r="Z7" s="72"/>
      <c r="AA7" s="66"/>
      <c r="AB7" s="66"/>
      <c r="AC7" s="1040"/>
      <c r="AD7" s="73"/>
      <c r="AE7" s="1041">
        <f t="shared" ref="AE7:AE13" ca="1" si="6">IF(AN7="",0,SUMIF(INDIRECT("'"&amp;AN7&amp;"'"&amp;"!E:E"),$AE$5,INDIRECT("'"&amp;AN7&amp;"'"&amp;"!F:F")))</f>
        <v>29.85</v>
      </c>
      <c r="AF7" s="1348"/>
      <c r="AG7" s="138">
        <f t="shared" ref="AG7:AG13" si="7">IF(AF7="",0,AE7-AF7)</f>
        <v>0</v>
      </c>
      <c r="AH7" s="74">
        <f>ROUNDDOWN('数据-汇总表'!G20/35,0)</f>
        <v>155</v>
      </c>
      <c r="AI7" s="76">
        <v>12</v>
      </c>
      <c r="AJ7" s="77"/>
      <c r="AK7" s="78">
        <v>5.0000000000000001E-3</v>
      </c>
      <c r="AL7" s="79">
        <v>1E-3</v>
      </c>
      <c r="AM7" s="80">
        <v>0.01</v>
      </c>
      <c r="AN7" s="1715" t="s">
        <v>3401</v>
      </c>
      <c r="AO7" s="52">
        <f t="shared" ref="AO7:AO13" ca="1" si="8">SUMIF(INDIRECT("'"&amp;AN7&amp;"'"&amp;"!A:A"),"总价",INDIRECT("'"&amp;AN7&amp;"'"&amp;"!B:B"))</f>
        <v>4204</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0.83899999999999997</v>
      </c>
      <c r="H16" s="90">
        <f>ROUND(SUMPRODUCT(H6:H13,K6:K13)/SUMPRODUCT((H6:H13&gt;0)*(K6:K13)),3)</f>
        <v>0.05</v>
      </c>
      <c r="I16" s="91"/>
      <c r="J16" s="91"/>
      <c r="K16" s="92">
        <f>SUM(K6:K15)</f>
        <v>87936.610000000015</v>
      </c>
      <c r="L16" s="93">
        <f>ROUND(M16*10000/SUM(K6:K14),0)</f>
        <v>6000</v>
      </c>
      <c r="M16" s="93">
        <f>SUM(M6:M14)</f>
        <v>52762</v>
      </c>
      <c r="N16" s="94">
        <f>ROUND(SUMPRODUCT(M6:M14,N6:N14)/M16,3)</f>
        <v>0.79</v>
      </c>
      <c r="O16" s="93">
        <f>SUM(O6:O14)</f>
        <v>0</v>
      </c>
      <c r="P16" s="93">
        <f>SUM(P6:P14)</f>
        <v>0</v>
      </c>
      <c r="Q16" s="95">
        <f>ROUND(SUMPRODUCT(Q6:Q13,K6:K13)/SUMPRODUCT((Q6:Q13&gt;0)*(K6:K13)),2)</f>
        <v>0.15</v>
      </c>
      <c r="R16" s="1034">
        <f ca="1">SUM(R6:R13)</f>
        <v>16321.070000000002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73" t="s">
        <v>3392</v>
      </c>
      <c r="N19" s="2671">
        <f>ROUND(1-(2023-2004)/60,2)</f>
        <v>0.68</v>
      </c>
      <c r="O19" s="2671"/>
      <c r="P19" s="2671"/>
      <c r="Q19" s="2671"/>
      <c r="R19" s="3473" t="s">
        <v>3426</v>
      </c>
      <c r="S19" s="3473" t="s">
        <v>3396</v>
      </c>
      <c r="T19" s="3473">
        <f>'数据-汇总表'!F19</f>
        <v>65713.740000000005</v>
      </c>
      <c r="U19" s="2671">
        <v>15</v>
      </c>
      <c r="V19" s="2671">
        <f>U19*T19</f>
        <v>985706.10000000009</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3473" t="s">
        <v>3393</v>
      </c>
      <c r="N20" s="2671">
        <v>0.9</v>
      </c>
      <c r="O20" s="2671"/>
      <c r="P20" s="2671"/>
      <c r="Q20" s="2671"/>
      <c r="R20" s="3473" t="s">
        <v>3427</v>
      </c>
      <c r="S20" s="3473" t="s">
        <v>3428</v>
      </c>
      <c r="T20" s="2671">
        <v>269.19</v>
      </c>
      <c r="U20" s="2671">
        <v>0</v>
      </c>
      <c r="V20" s="2671">
        <f>U20*T20</f>
        <v>0</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(N19+N20)/2</f>
        <v>0.79</v>
      </c>
      <c r="O21" s="2671"/>
      <c r="P21" s="2671"/>
      <c r="Q21" s="2671"/>
      <c r="R21" s="2671"/>
      <c r="S21" s="3473" t="s">
        <v>3429</v>
      </c>
      <c r="T21" s="2671">
        <v>7965.5</v>
      </c>
      <c r="U21" s="2671">
        <v>0</v>
      </c>
      <c r="V21" s="2671">
        <f t="shared" ref="V21:V27" si="12">U21*T21</f>
        <v>0</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3473" t="s">
        <v>3430</v>
      </c>
      <c r="T22" s="2671">
        <v>438.68</v>
      </c>
      <c r="U22" s="2671">
        <v>6</v>
      </c>
      <c r="V22" s="2671">
        <f t="shared" si="12"/>
        <v>2632.08</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3473" t="s">
        <v>3431</v>
      </c>
      <c r="T23" s="2671">
        <v>2121.62</v>
      </c>
      <c r="U23" s="2671">
        <v>6</v>
      </c>
      <c r="V23" s="2671">
        <f t="shared" si="12"/>
        <v>12729.72</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3473" t="s">
        <v>3432</v>
      </c>
      <c r="T24" s="2671">
        <v>2614.11</v>
      </c>
      <c r="U24" s="2671">
        <v>6</v>
      </c>
      <c r="V24" s="2671">
        <f t="shared" si="12"/>
        <v>15684.66</v>
      </c>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3473" t="s">
        <v>3433</v>
      </c>
      <c r="T25" s="2671">
        <v>2782.09</v>
      </c>
      <c r="U25" s="2671">
        <v>6</v>
      </c>
      <c r="V25" s="2671">
        <f t="shared" si="12"/>
        <v>16692.54</v>
      </c>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3473" t="s">
        <v>3434</v>
      </c>
      <c r="T26" s="2671">
        <v>143.07</v>
      </c>
      <c r="U26" s="2671">
        <v>2.5</v>
      </c>
      <c r="V26" s="2671">
        <f t="shared" si="12"/>
        <v>357.67499999999995</v>
      </c>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3473" t="s">
        <v>3435</v>
      </c>
      <c r="T27" s="2671">
        <v>450.68</v>
      </c>
      <c r="U27" s="2671">
        <v>2.5</v>
      </c>
      <c r="V27" s="2671">
        <f t="shared" si="12"/>
        <v>1126.7</v>
      </c>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f>SUM(T19:T27)</f>
        <v>82498.679999999993</v>
      </c>
      <c r="U28" s="2671">
        <f>V28/T28</f>
        <v>12.54480041377632</v>
      </c>
      <c r="V28" s="2671">
        <f>SUM(V19:V27)</f>
        <v>1034929.4750000001</v>
      </c>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1759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f>C58</f>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8" t="s">
        <v>2286</v>
      </c>
      <c r="B1" s="3569"/>
      <c r="C1" s="3569"/>
      <c r="D1" s="3569"/>
      <c r="E1" s="3569"/>
      <c r="F1" s="3569"/>
      <c r="G1" s="356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8" sqref="G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87936.610000000015</v>
      </c>
      <c r="C1" s="2686"/>
      <c r="D1" s="2686"/>
      <c r="E1" s="2686"/>
      <c r="F1" s="2686"/>
      <c r="G1" s="2687"/>
      <c r="H1" s="2688"/>
      <c r="I1" s="2688"/>
      <c r="J1" s="2688"/>
      <c r="K1" s="2688"/>
    </row>
    <row r="2" spans="1:11" ht="16.5">
      <c r="A2" s="2512" t="s">
        <v>653</v>
      </c>
      <c r="B2" s="2512">
        <f>SUM(C14:C23)</f>
        <v>16321.07</v>
      </c>
      <c r="C2" s="2686"/>
      <c r="D2" s="2686"/>
      <c r="E2" s="2686"/>
      <c r="F2" s="2686"/>
      <c r="G2" s="2687"/>
      <c r="H2" s="2688"/>
      <c r="I2" s="2688"/>
      <c r="J2" s="2688"/>
      <c r="K2" s="2688"/>
    </row>
    <row r="3" spans="1:11" ht="16.5">
      <c r="A3" s="2512" t="s">
        <v>662</v>
      </c>
      <c r="B3" s="2514">
        <f>项目基本情况!D3</f>
        <v>45239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461821</v>
      </c>
      <c r="C5" s="2512">
        <f ca="1">IF(B5=D14,结果表!H102,ROUND(B5*10000/$B$1,0))</f>
        <v>52517</v>
      </c>
      <c r="D5" s="2512">
        <f ca="1">ROUND(B5*10000/$B$2,0)</f>
        <v>282960</v>
      </c>
      <c r="E5" s="2686"/>
      <c r="F5" s="2687"/>
      <c r="G5" s="2687"/>
      <c r="H5" s="2688"/>
      <c r="I5" s="2688"/>
      <c r="J5" s="2688"/>
      <c r="K5" s="2688"/>
    </row>
    <row r="6" spans="1:11" ht="16.5">
      <c r="A6" s="2512" t="s">
        <v>656</v>
      </c>
      <c r="B6" s="2512">
        <f>SUM(G14:G23)</f>
        <v>0</v>
      </c>
      <c r="C6" s="2512">
        <f ca="1">IF(B6=G14,结果表!H108,ROUND(B6*10000/$B$1,0))</f>
        <v>52517</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87936.610000000015</v>
      </c>
      <c r="C14" s="2518">
        <f>结果表!C118</f>
        <v>16321.07</v>
      </c>
      <c r="D14" s="2518">
        <f ca="1">结果表!H118</f>
        <v>461821</v>
      </c>
      <c r="E14" s="2518">
        <f ca="1">ROUND(D14*10000/B14,0)</f>
        <v>52517</v>
      </c>
      <c r="F14" s="2518">
        <f ca="1">ROUND(D14*10000/C14,0)</f>
        <v>282960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SheetLayoutView="100" zoomScalePageLayoutView="80" workbookViewId="0">
      <selection activeCell="D123" sqref="D123:I123"/>
    </sheetView>
  </sheetViews>
  <sheetFormatPr defaultColWidth="12.625" defaultRowHeight="21.75" customHeight="1"/>
  <cols>
    <col min="1" max="2" width="12.625" style="1753"/>
    <col min="3" max="3" width="12.625" style="1753" customWidth="1"/>
    <col min="4" max="4" width="1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7" t="str">
        <f>项目基本情况!S2</f>
        <v>北京市房地产</v>
      </c>
      <c r="B2" s="3638"/>
      <c r="C2" s="3638"/>
      <c r="D2" s="3638"/>
      <c r="E2" s="3638"/>
      <c r="F2" s="3638"/>
      <c r="G2" s="3638"/>
      <c r="H2" s="3638"/>
      <c r="I2" s="3639"/>
    </row>
    <row r="3" spans="1:12" ht="12.75">
      <c r="A3" s="3641" t="s">
        <v>1264</v>
      </c>
      <c r="B3" s="3642"/>
      <c r="C3" s="3642"/>
      <c r="D3" s="3642"/>
      <c r="E3" s="3642"/>
      <c r="F3" s="3642"/>
      <c r="G3" s="3642"/>
      <c r="H3" s="3642"/>
      <c r="I3" s="3642"/>
    </row>
    <row r="4" spans="1:12" ht="14.25">
      <c r="A4" s="1754" t="s">
        <v>1265</v>
      </c>
      <c r="B4" s="1755" t="s">
        <v>1266</v>
      </c>
      <c r="C4" s="1756" t="s">
        <v>3417</v>
      </c>
      <c r="D4" s="1756" t="s">
        <v>3418</v>
      </c>
      <c r="E4" s="3646" t="s">
        <v>1267</v>
      </c>
      <c r="F4" s="3647"/>
      <c r="G4" s="3647"/>
      <c r="H4" s="3647"/>
      <c r="I4" s="364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5" t="s">
        <v>1268</v>
      </c>
      <c r="B5" s="3640">
        <v>25</v>
      </c>
      <c r="C5" s="3643"/>
      <c r="D5" s="3631"/>
      <c r="E5" s="131" t="s">
        <v>1269</v>
      </c>
      <c r="F5" s="1757"/>
      <c r="G5" s="1757"/>
      <c r="H5" s="1757"/>
      <c r="I5" s="1373"/>
    </row>
    <row r="6" spans="1:12" ht="12.75">
      <c r="A6" s="3585"/>
      <c r="B6" s="3640"/>
      <c r="C6" s="3645"/>
      <c r="D6" s="3631"/>
      <c r="E6" s="131" t="s">
        <v>1270</v>
      </c>
      <c r="F6" s="1757"/>
      <c r="G6" s="1757"/>
      <c r="H6" s="1757"/>
      <c r="I6" s="1373"/>
    </row>
    <row r="7" spans="1:12" ht="12.75">
      <c r="A7" s="3585"/>
      <c r="B7" s="3640"/>
      <c r="C7" s="3644"/>
      <c r="D7" s="3631"/>
      <c r="E7" s="131" t="s">
        <v>1271</v>
      </c>
      <c r="F7" s="1757"/>
      <c r="G7" s="1757"/>
      <c r="H7" s="1757"/>
      <c r="I7" s="1373"/>
    </row>
    <row r="8" spans="1:12" ht="12.75">
      <c r="A8" s="3585" t="s">
        <v>1272</v>
      </c>
      <c r="B8" s="3640">
        <v>15</v>
      </c>
      <c r="C8" s="3643"/>
      <c r="D8" s="3631"/>
      <c r="E8" s="131" t="s">
        <v>1273</v>
      </c>
      <c r="F8" s="1757"/>
      <c r="G8" s="1757"/>
      <c r="H8" s="1757"/>
      <c r="I8" s="1373"/>
    </row>
    <row r="9" spans="1:12" ht="12.75">
      <c r="A9" s="3585"/>
      <c r="B9" s="3640"/>
      <c r="C9" s="3644"/>
      <c r="D9" s="3631"/>
      <c r="E9" s="131" t="s">
        <v>1274</v>
      </c>
      <c r="F9" s="1757"/>
      <c r="G9" s="1757"/>
      <c r="H9" s="1757"/>
      <c r="I9" s="1373"/>
    </row>
    <row r="10" spans="1:12" ht="12.75">
      <c r="A10" s="3585" t="s">
        <v>1275</v>
      </c>
      <c r="B10" s="3640">
        <v>15</v>
      </c>
      <c r="C10" s="3643"/>
      <c r="D10" s="3631"/>
      <c r="E10" s="131" t="s">
        <v>1276</v>
      </c>
      <c r="F10" s="1757"/>
      <c r="G10" s="1757"/>
      <c r="H10" s="1757"/>
      <c r="I10" s="1373"/>
    </row>
    <row r="11" spans="1:12" ht="12.75">
      <c r="A11" s="3585"/>
      <c r="B11" s="3640"/>
      <c r="C11" s="3644"/>
      <c r="D11" s="3631"/>
      <c r="E11" s="131" t="s">
        <v>1277</v>
      </c>
      <c r="F11" s="1757"/>
      <c r="G11" s="1757"/>
      <c r="H11" s="1757"/>
      <c r="I11" s="1373"/>
    </row>
    <row r="12" spans="1:12" ht="12.75">
      <c r="A12" s="3585" t="s">
        <v>1278</v>
      </c>
      <c r="B12" s="3640">
        <v>15</v>
      </c>
      <c r="C12" s="3643"/>
      <c r="D12" s="3631"/>
      <c r="E12" s="131" t="s">
        <v>1279</v>
      </c>
      <c r="F12" s="1757"/>
      <c r="G12" s="1757"/>
      <c r="H12" s="1757"/>
      <c r="I12" s="1373"/>
    </row>
    <row r="13" spans="1:12" ht="12.75">
      <c r="A13" s="3585"/>
      <c r="B13" s="3640"/>
      <c r="C13" s="3644"/>
      <c r="D13" s="3631"/>
      <c r="E13" s="131" t="s">
        <v>1280</v>
      </c>
      <c r="F13" s="1757"/>
      <c r="G13" s="1757"/>
      <c r="H13" s="1757"/>
      <c r="I13" s="1373"/>
    </row>
    <row r="14" spans="1:12" ht="12.75">
      <c r="A14" s="3585" t="s">
        <v>1281</v>
      </c>
      <c r="B14" s="3640">
        <v>30</v>
      </c>
      <c r="C14" s="3643">
        <v>3</v>
      </c>
      <c r="D14" s="3631">
        <v>7</v>
      </c>
      <c r="E14" s="131" t="s">
        <v>1282</v>
      </c>
      <c r="F14" s="1757"/>
      <c r="G14" s="1757"/>
      <c r="H14" s="1757"/>
      <c r="I14" s="1373"/>
    </row>
    <row r="15" spans="1:12" ht="12.75">
      <c r="A15" s="3585"/>
      <c r="B15" s="3640"/>
      <c r="C15" s="3645"/>
      <c r="D15" s="3631"/>
      <c r="E15" s="131" t="s">
        <v>1283</v>
      </c>
      <c r="F15" s="1757"/>
      <c r="G15" s="1757"/>
      <c r="H15" s="1757"/>
      <c r="I15" s="1373"/>
    </row>
    <row r="16" spans="1:12" ht="12.75">
      <c r="A16" s="3585"/>
      <c r="B16" s="3640"/>
      <c r="C16" s="3644"/>
      <c r="D16" s="3631"/>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662" t="s">
        <v>2131</v>
      </c>
      <c r="F18" s="3663"/>
      <c r="G18" s="3663"/>
      <c r="H18" s="3663"/>
      <c r="I18" s="3663"/>
      <c r="K18" s="302" t="s">
        <v>1289</v>
      </c>
      <c r="L18" s="302">
        <f>IF(C1="",'数据-汇总表'!E3,SUMIF(项目类型,C1,'数据-汇总表'!E17:E26)+SUMIF(项目类型,C1,'数据-汇总表'!I17:I26))</f>
        <v>87936.610000000015</v>
      </c>
      <c r="M18" s="302">
        <f>IF(C1="",'数据-汇总表'!E3,SUMIF(项目类型,C1,'数据-汇总表'!E17:E26))</f>
        <v>87936.610000000015</v>
      </c>
    </row>
    <row r="19" spans="1:36" ht="15">
      <c r="A19" s="1761" t="s">
        <v>1290</v>
      </c>
      <c r="B19" s="1762" t="s">
        <v>1291</v>
      </c>
      <c r="C19" s="134">
        <f ca="1">SUMIF(INDIRECT("'"&amp;C4&amp;"'"&amp;"!A:A"),结果表!B19,INDIRECT("'"&amp;C4&amp;"'"&amp;"!B:B"))</f>
        <v>303337</v>
      </c>
      <c r="D19" s="135">
        <f ca="1">SUMIF(INDIRECT("'"&amp;D4&amp;"'"&amp;"!A:A"),结果表!B19,INDIRECT("'"&amp;D4&amp;"'"&amp;"!B:B"))</f>
        <v>529743</v>
      </c>
      <c r="E19" s="1761" t="s">
        <v>1292</v>
      </c>
      <c r="F19" s="1762" t="s">
        <v>1291</v>
      </c>
      <c r="G19" s="136">
        <f ca="1">ROUND(C19*$C$18+D19*$D$18,0)</f>
        <v>461821</v>
      </c>
      <c r="H19" s="1763" t="s">
        <v>1293</v>
      </c>
      <c r="I19" s="129"/>
      <c r="K19" s="302" t="s">
        <v>1294</v>
      </c>
      <c r="L19" s="302">
        <f>IF(C1="",'数据-汇总表'!D3,SUMIF(项目类型,C1,'数据-汇总表'!D17:D26)+SUMIF(项目类型,C1,'数据-汇总表'!H17:H27))</f>
        <v>16321.07</v>
      </c>
      <c r="M19" s="302">
        <f>IF(C1="",'数据-汇总表'!D3,SUMIF(项目类型,C1,'数据-汇总表'!D17:D26))</f>
        <v>16321.07</v>
      </c>
    </row>
    <row r="20" spans="1:36" ht="15">
      <c r="A20" s="1764"/>
      <c r="B20" s="1026" t="s">
        <v>1295</v>
      </c>
      <c r="C20" s="137">
        <f ca="1">SUMIF(INDIRECT("'"&amp;C4&amp;"'"&amp;"!A:A"),结果表!B20,INDIRECT("'"&amp;C4&amp;"'"&amp;"!B:B"))</f>
        <v>34495</v>
      </c>
      <c r="D20" s="138">
        <f ca="1">SUMIF(INDIRECT("'"&amp;D4&amp;"'"&amp;"!A:A"),结果表!B20,INDIRECT("'"&amp;D4&amp;"'"&amp;"!B:B"))</f>
        <v>60241</v>
      </c>
      <c r="E20" s="1764"/>
      <c r="F20" s="1026" t="s">
        <v>1295</v>
      </c>
      <c r="G20" s="139">
        <f ca="1">ROUND(C20*$C$18+D20*$D$18,0)</f>
        <v>52517</v>
      </c>
      <c r="H20" s="808" t="s">
        <v>1296</v>
      </c>
      <c r="I20" s="129"/>
    </row>
    <row r="21" spans="1:36" ht="15" customHeight="1" thickBot="1">
      <c r="A21" s="828"/>
      <c r="B21" s="1765" t="s">
        <v>1297</v>
      </c>
      <c r="C21" s="719">
        <f ca="1">ROUND(C19*10000/L19,0)</f>
        <v>185856</v>
      </c>
      <c r="D21" s="720">
        <f ca="1">ROUND(D19*10000/L19,0)</f>
        <v>324576</v>
      </c>
      <c r="E21" s="828"/>
      <c r="F21" s="1765" t="s">
        <v>1297</v>
      </c>
      <c r="G21" s="140">
        <f ca="1">ROUND(G19*10000/L19,0)</f>
        <v>282960</v>
      </c>
      <c r="H21" s="1766" t="s">
        <v>1296</v>
      </c>
      <c r="I21" s="129"/>
    </row>
    <row r="22" spans="1:36" ht="15" thickBot="1">
      <c r="A22" s="1688" t="s">
        <v>1298</v>
      </c>
      <c r="B22" s="1767"/>
      <c r="C22" s="1768"/>
      <c r="D22" s="721">
        <f ca="1">IF(C19&lt;D19,D19/C19-1,C19/D19-1)</f>
        <v>0.74638438436458454</v>
      </c>
      <c r="E22" s="129"/>
      <c r="F22" s="129"/>
      <c r="G22" s="129"/>
      <c r="H22" s="129"/>
      <c r="I22" s="129"/>
    </row>
    <row r="23" spans="1:36" ht="13.5" thickBot="1">
      <c r="A23" s="1747"/>
      <c r="B23" s="1747"/>
      <c r="C23" s="1747"/>
      <c r="D23" s="1747"/>
      <c r="E23" s="129"/>
      <c r="F23" s="129"/>
      <c r="G23" s="129"/>
      <c r="H23" s="129"/>
      <c r="I23" s="129"/>
      <c r="J23" s="3480" t="s">
        <v>3529</v>
      </c>
      <c r="K23" s="725">
        <f>'数据-汇总表'!F19</f>
        <v>65713.740000000005</v>
      </c>
      <c r="L23" s="725">
        <v>62000</v>
      </c>
      <c r="M23" s="725">
        <f>L23*K23/10000</f>
        <v>407425.18800000002</v>
      </c>
    </row>
    <row r="24" spans="1:36" ht="14.25">
      <c r="A24" s="3655" t="s">
        <v>1299</v>
      </c>
      <c r="B24" s="1762" t="s">
        <v>1291</v>
      </c>
      <c r="C24" s="136">
        <f>IF(B30=0,0,D30)</f>
        <v>0</v>
      </c>
      <c r="D24" s="1769"/>
      <c r="E24" s="129"/>
      <c r="F24" s="129"/>
      <c r="G24" s="129"/>
      <c r="H24" s="129"/>
      <c r="I24" s="129"/>
      <c r="J24" s="3480" t="s">
        <v>3530</v>
      </c>
      <c r="K24" s="725">
        <f>ROUNDDOWN('数据-汇总表'!G20/35,0)</f>
        <v>155</v>
      </c>
      <c r="L24" s="725">
        <v>30</v>
      </c>
      <c r="M24" s="725">
        <f>L24*K24</f>
        <v>4650</v>
      </c>
    </row>
    <row r="25" spans="1:36" ht="14.25">
      <c r="A25" s="3656"/>
      <c r="B25" s="1026" t="s">
        <v>1295</v>
      </c>
      <c r="C25" s="141">
        <f>IF(B30=0,0,C30)</f>
        <v>0</v>
      </c>
      <c r="D25" s="1770"/>
      <c r="E25" s="129"/>
      <c r="F25" s="129"/>
      <c r="G25" s="129"/>
      <c r="H25" s="129"/>
      <c r="I25" s="129"/>
      <c r="J25" s="3480" t="s">
        <v>3531</v>
      </c>
      <c r="K25" s="725">
        <f>'数据-取费表'!T22+'数据-取费表'!T23+'数据-取费表'!T24+'数据-取费表'!T25+'数据-取费表'!T26+'数据-取费表'!T27</f>
        <v>8550.25</v>
      </c>
      <c r="L25" s="725">
        <v>35000</v>
      </c>
      <c r="M25" s="725">
        <f>L25*K25/10000</f>
        <v>29925.875</v>
      </c>
    </row>
    <row r="26" spans="1:36" ht="13.5" customHeight="1">
      <c r="A26" s="1771" t="s">
        <v>1300</v>
      </c>
      <c r="B26" s="142" t="s">
        <v>1301</v>
      </c>
      <c r="C26" s="142" t="s">
        <v>1302</v>
      </c>
      <c r="D26" s="143" t="s">
        <v>1303</v>
      </c>
      <c r="E26" s="129"/>
      <c r="F26" s="129"/>
      <c r="G26" s="129"/>
      <c r="H26" s="129"/>
      <c r="I26" s="129"/>
      <c r="J26" s="3480" t="s">
        <v>3532</v>
      </c>
      <c r="K26" s="725">
        <f>'数据-取费表'!T20+'数据-取费表'!T21</f>
        <v>8234.69</v>
      </c>
      <c r="L26" s="725">
        <v>10000</v>
      </c>
      <c r="M26" s="725">
        <f>L26*K26/10000</f>
        <v>8234.69</v>
      </c>
    </row>
    <row r="27" spans="1:36" ht="14.25">
      <c r="A27" s="1771"/>
      <c r="B27" s="142">
        <v>0</v>
      </c>
      <c r="C27" s="142">
        <v>0</v>
      </c>
      <c r="D27" s="143">
        <f>ROUND(C27*B27/10000,0)</f>
        <v>0</v>
      </c>
      <c r="E27" s="129"/>
      <c r="F27" s="129"/>
      <c r="G27" s="129"/>
      <c r="H27" s="129"/>
      <c r="I27" s="129"/>
      <c r="M27" s="725">
        <f>SUM(M23:M26)</f>
        <v>450235.75300000003</v>
      </c>
    </row>
    <row r="28" spans="1:36" ht="14.25">
      <c r="A28" s="1771"/>
      <c r="B28" s="142"/>
      <c r="C28" s="142"/>
      <c r="D28" s="143">
        <f ca="1">G19/'数据-汇总表'!F31</f>
        <v>7.0277692306053492</v>
      </c>
      <c r="E28" s="129"/>
      <c r="F28" s="129"/>
      <c r="G28" s="129"/>
      <c r="H28" s="129"/>
      <c r="I28" s="129"/>
    </row>
    <row r="29" spans="1:36" ht="14.25">
      <c r="A29" s="1771"/>
      <c r="B29" s="142"/>
      <c r="C29" s="142">
        <f ca="1">(G19-D29)/'数据-汇总表'!F31</f>
        <v>6.7572276969778313</v>
      </c>
      <c r="D29" s="143">
        <f>8000*'数据-汇总表'!G31/10000</f>
        <v>17778.296000000002</v>
      </c>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461821</v>
      </c>
      <c r="D32" s="1775" t="s">
        <v>3533</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2" t="s">
        <v>1312</v>
      </c>
      <c r="B36" s="1787" t="s">
        <v>1313</v>
      </c>
      <c r="C36" s="145"/>
      <c r="D36" s="1788"/>
      <c r="E36" s="1789"/>
      <c r="F36" s="1790"/>
      <c r="G36" s="129"/>
      <c r="H36" s="129"/>
      <c r="I36" s="129"/>
    </row>
    <row r="37" spans="1:15" ht="15.75" thickBot="1">
      <c r="A37" s="3633"/>
      <c r="B37" s="1674" t="s">
        <v>1314</v>
      </c>
      <c r="C37" s="147"/>
      <c r="D37" s="1139"/>
      <c r="E37" s="1139"/>
      <c r="F37" s="1790"/>
      <c r="G37" s="129"/>
      <c r="H37" s="129"/>
      <c r="I37" s="129"/>
    </row>
    <row r="38" spans="1:15" ht="15.75" thickBot="1">
      <c r="A38" s="363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2" t="s">
        <v>1326</v>
      </c>
      <c r="B45" s="3653"/>
      <c r="C45" s="3654"/>
      <c r="D45" s="155">
        <f ca="1">ROUND(H101*F45,0)</f>
        <v>461821</v>
      </c>
      <c r="E45" s="156" t="s">
        <v>1327</v>
      </c>
      <c r="F45" s="157">
        <v>1</v>
      </c>
      <c r="G45" s="158" t="s">
        <v>1328</v>
      </c>
      <c r="H45" s="129"/>
      <c r="I45" s="129"/>
      <c r="J45" s="3572" t="s">
        <v>1329</v>
      </c>
      <c r="K45" s="3572"/>
      <c r="L45" s="3572"/>
      <c r="M45" s="3572"/>
      <c r="N45" s="3572"/>
      <c r="O45" s="3572"/>
    </row>
    <row r="46" spans="1:15" ht="14.25" customHeight="1">
      <c r="A46" s="3649" t="s">
        <v>1330</v>
      </c>
      <c r="B46" s="3650"/>
      <c r="C46" s="3650"/>
      <c r="D46" s="3650"/>
      <c r="E46" s="3650"/>
      <c r="F46" s="3650"/>
      <c r="G46" s="3651"/>
      <c r="H46" s="1806"/>
      <c r="I46" s="159"/>
      <c r="J46" s="2523">
        <v>1</v>
      </c>
      <c r="K46" s="3573" t="s">
        <v>1331</v>
      </c>
      <c r="L46" s="3573"/>
      <c r="M46" s="3574"/>
      <c r="N46" s="3574"/>
      <c r="O46" s="3574"/>
    </row>
    <row r="47" spans="1:15" ht="12" customHeight="1">
      <c r="A47" s="160" t="s">
        <v>1332</v>
      </c>
      <c r="B47" s="161"/>
      <c r="C47" s="162"/>
      <c r="D47" s="1087" t="s">
        <v>1333</v>
      </c>
      <c r="E47" s="302" t="s">
        <v>1334</v>
      </c>
      <c r="F47" s="163" t="s">
        <v>1335</v>
      </c>
      <c r="G47" s="2546" t="s">
        <v>1336</v>
      </c>
      <c r="H47" s="2547"/>
      <c r="I47" s="159"/>
      <c r="J47" s="2523">
        <v>2</v>
      </c>
      <c r="K47" s="3573" t="s">
        <v>1337</v>
      </c>
      <c r="L47" s="3573"/>
      <c r="M47" s="3575">
        <f>'数据-取费表'!B2</f>
        <v>45239</v>
      </c>
      <c r="N47" s="3575"/>
      <c r="O47" s="3575"/>
    </row>
    <row r="48" spans="1:15" ht="25.5">
      <c r="A48" s="3635" t="s">
        <v>1338</v>
      </c>
      <c r="B48" s="3636"/>
      <c r="C48" s="363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3" t="s">
        <v>1340</v>
      </c>
      <c r="L48" s="3573"/>
      <c r="M48" s="3576">
        <f ca="1">H101</f>
        <v>461821</v>
      </c>
      <c r="N48" s="3576"/>
      <c r="O48" s="3576"/>
    </row>
    <row r="49" spans="1:35" ht="25.5" customHeight="1">
      <c r="A49" s="2333" t="s">
        <v>1341</v>
      </c>
      <c r="B49" s="3621" t="s">
        <v>1342</v>
      </c>
      <c r="C49" s="3621"/>
      <c r="D49" s="1590">
        <v>0</v>
      </c>
      <c r="E49" s="324" t="s">
        <v>1343</v>
      </c>
      <c r="F49" s="2424" t="s">
        <v>28</v>
      </c>
      <c r="G49" s="3604"/>
      <c r="H49" s="2310" t="s">
        <v>2134</v>
      </c>
      <c r="I49" s="2311"/>
      <c r="J49" s="2523">
        <v>4</v>
      </c>
      <c r="K49" s="3573" t="str">
        <f>IF(项目基本情况!E8="房地产抵押价值","房地产抵押价值","抵押担保权已注销时的房地产抵押价值")</f>
        <v>房地产抵押价值</v>
      </c>
      <c r="L49" s="3573"/>
      <c r="M49" s="3576">
        <f ca="1">IF(项目基本情况!E8="房地产抵押价值",H107,H109)</f>
        <v>461821</v>
      </c>
      <c r="N49" s="3576"/>
      <c r="O49" s="3576"/>
    </row>
    <row r="50" spans="1:35" ht="25.5" customHeight="1">
      <c r="A50" s="2551"/>
      <c r="B50" s="3621" t="s">
        <v>1344</v>
      </c>
      <c r="C50" s="3621"/>
      <c r="D50" s="2552"/>
      <c r="E50" s="332"/>
      <c r="F50" s="2424"/>
      <c r="G50" s="3605"/>
      <c r="H50" s="2312" t="s">
        <v>2135</v>
      </c>
      <c r="I50" s="2311"/>
      <c r="J50" s="3572" t="s">
        <v>1345</v>
      </c>
      <c r="K50" s="3572"/>
      <c r="L50" s="3572"/>
      <c r="M50" s="3572"/>
      <c r="N50" s="3572"/>
      <c r="O50" s="3572"/>
    </row>
    <row r="51" spans="1:35" ht="20.45" customHeight="1">
      <c r="A51" s="2553"/>
      <c r="B51" s="3621" t="s">
        <v>1346</v>
      </c>
      <c r="C51" s="3621"/>
      <c r="D51" s="1087"/>
      <c r="E51" s="327"/>
      <c r="F51" s="2424"/>
      <c r="G51" s="3606"/>
      <c r="H51" s="2312" t="s">
        <v>2136</v>
      </c>
      <c r="I51" s="2311"/>
      <c r="J51" s="2524" t="s">
        <v>1347</v>
      </c>
      <c r="K51" s="3573" t="s">
        <v>1348</v>
      </c>
      <c r="L51" s="3573"/>
      <c r="M51" s="2524" t="s">
        <v>1349</v>
      </c>
      <c r="N51" s="2524" t="s">
        <v>1350</v>
      </c>
      <c r="O51" s="2524" t="s">
        <v>1351</v>
      </c>
    </row>
    <row r="52" spans="1:35" ht="24" customHeight="1">
      <c r="A52" s="2335" t="s">
        <v>1352</v>
      </c>
      <c r="B52" s="3621" t="s">
        <v>1353</v>
      </c>
      <c r="C52" s="3621"/>
      <c r="D52" s="1087">
        <f ca="1">ROUND(D45*'数据-取费表'!B41/(1+'数据-取费表'!C42),0)</f>
        <v>24630</v>
      </c>
      <c r="E52" s="2334" t="s">
        <v>1354</v>
      </c>
      <c r="F52" s="2554">
        <f>'数据-取费表'!B41</f>
        <v>5.6000000000000001E-2</v>
      </c>
      <c r="G52" s="2555"/>
      <c r="H52" s="2544"/>
      <c r="I52" s="1807"/>
      <c r="J52" s="2523">
        <v>1</v>
      </c>
      <c r="K52" s="3598" t="s">
        <v>1355</v>
      </c>
      <c r="L52" s="3598"/>
      <c r="M52" s="2525" t="b">
        <f>D48</f>
        <v>0</v>
      </c>
      <c r="N52" s="2523" t="str">
        <f>E48</f>
        <v>销售额×税（费）率</v>
      </c>
      <c r="O52" s="2526">
        <f>F48</f>
        <v>5.6000000000000001E-2</v>
      </c>
    </row>
    <row r="53" spans="1:35" ht="12" customHeight="1">
      <c r="A53" s="2335" t="s">
        <v>1356</v>
      </c>
      <c r="B53" s="3622" t="s">
        <v>2291</v>
      </c>
      <c r="C53" s="3623"/>
      <c r="D53" s="1087">
        <f ca="1">ROUND(D45*'数据-取费表'!B41/(1+'数据-取费表'!C42),0)</f>
        <v>24630</v>
      </c>
      <c r="E53" s="2334" t="s">
        <v>1354</v>
      </c>
      <c r="F53" s="2554">
        <f>'数据-取费表'!B41</f>
        <v>5.6000000000000001E-2</v>
      </c>
      <c r="G53" s="2555"/>
      <c r="H53" s="2544"/>
      <c r="I53" s="1807"/>
      <c r="J53" s="2523">
        <v>2</v>
      </c>
      <c r="K53" s="3598" t="s">
        <v>1357</v>
      </c>
      <c r="L53" s="3598"/>
      <c r="M53" s="2525">
        <f t="shared" ref="M53:O54" ca="1" si="0">D55</f>
        <v>231</v>
      </c>
      <c r="N53" s="2523" t="str">
        <f t="shared" si="0"/>
        <v>销售额×税（费）率</v>
      </c>
      <c r="O53" s="2526" t="str">
        <f t="shared" si="0"/>
        <v>免征</v>
      </c>
    </row>
    <row r="54" spans="1:35" ht="12" customHeight="1">
      <c r="A54" s="2335" t="s">
        <v>1358</v>
      </c>
      <c r="B54" s="3622" t="s">
        <v>2292</v>
      </c>
      <c r="C54" s="3623"/>
      <c r="D54" s="1087">
        <f ca="1">C68</f>
        <v>24630</v>
      </c>
      <c r="E54" s="327" t="s">
        <v>1359</v>
      </c>
      <c r="F54" s="2554">
        <f>'数据-取费表'!B41</f>
        <v>5.6000000000000001E-2</v>
      </c>
      <c r="G54" s="2555"/>
      <c r="H54" s="2556"/>
      <c r="I54" s="1807"/>
      <c r="J54" s="2523">
        <v>3</v>
      </c>
      <c r="K54" s="3598" t="s">
        <v>1360</v>
      </c>
      <c r="L54" s="3598"/>
      <c r="M54" s="2525">
        <f t="shared" ca="1" si="0"/>
        <v>261391</v>
      </c>
      <c r="N54" s="2523" t="str">
        <f t="shared" si="0"/>
        <v>增值额×税（费）率</v>
      </c>
      <c r="O54" s="2527" t="str">
        <f t="shared" si="0"/>
        <v>免征</v>
      </c>
    </row>
    <row r="55" spans="1:35" ht="24" customHeight="1">
      <c r="A55" s="3658" t="s">
        <v>1361</v>
      </c>
      <c r="B55" s="3636"/>
      <c r="C55" s="3636"/>
      <c r="D55" s="2324">
        <f ca="1">IF(H55="个人住宅",0,ROUND(D45*I55,0))</f>
        <v>231</v>
      </c>
      <c r="E55" s="2334" t="s">
        <v>1362</v>
      </c>
      <c r="F55" s="2554" t="str">
        <f>IF(H55="正常",I55,"免征")</f>
        <v>免征</v>
      </c>
      <c r="G55" s="2555"/>
      <c r="H55" s="2550"/>
      <c r="I55" s="165">
        <f>'数据-取费表'!B49</f>
        <v>5.0000000000000001E-4</v>
      </c>
      <c r="J55" s="2523">
        <f>IF(H59="非个人房产","",4)</f>
        <v>4</v>
      </c>
      <c r="K55" s="3598" t="str">
        <f>IF(H59="非个人房产","——","个人所得税")</f>
        <v>个人所得税</v>
      </c>
      <c r="L55" s="3598"/>
      <c r="M55" s="2528">
        <f ca="1">D59</f>
        <v>4398</v>
      </c>
      <c r="N55" s="2040" t="str">
        <f>E59</f>
        <v>差额计税</v>
      </c>
      <c r="O55" s="2529">
        <f>F59</f>
        <v>0.01</v>
      </c>
    </row>
    <row r="56" spans="1:35" ht="24.75">
      <c r="A56" s="3658" t="s">
        <v>1363</v>
      </c>
      <c r="B56" s="3636"/>
      <c r="C56" s="3636"/>
      <c r="D56" s="2324">
        <f ca="1">IF(H56="个人住宅",D57,D58)</f>
        <v>261391</v>
      </c>
      <c r="E56" s="2334" t="s">
        <v>1364</v>
      </c>
      <c r="F56" s="2554" t="str">
        <f>IF(H56="正常",F58,"免征")</f>
        <v>免征</v>
      </c>
      <c r="G56" s="2557" t="s">
        <v>1365</v>
      </c>
      <c r="H56" s="2558"/>
      <c r="I56" s="1808"/>
      <c r="J56" s="2523" t="str">
        <f>IF(项目基本情况!K6="上海银行",IF(J55="",4,J55+1),"")</f>
        <v/>
      </c>
      <c r="K56" s="3579" t="str">
        <f>IF(项目基本情况!K6="上海银行","其他处置费用","")</f>
        <v/>
      </c>
      <c r="L56" s="3580"/>
      <c r="M56" s="2525" t="str">
        <f>IF(项目基本情况!K6="上海银行",M69,"")</f>
        <v/>
      </c>
      <c r="N56" s="3579" t="str">
        <f>IF(项目基本情况!K6="上海银行","包含处置中涉及的律师、诉讼、拍卖、评估等费用","")</f>
        <v/>
      </c>
      <c r="O56" s="3582"/>
    </row>
    <row r="57" spans="1:35" ht="12.75">
      <c r="A57" s="2335" t="s">
        <v>1341</v>
      </c>
      <c r="B57" s="3622" t="s">
        <v>1366</v>
      </c>
      <c r="C57" s="3623"/>
      <c r="D57" s="1590">
        <v>0</v>
      </c>
      <c r="E57" s="324" t="s">
        <v>1343</v>
      </c>
      <c r="F57" s="302"/>
      <c r="G57" s="2555"/>
      <c r="H57" s="2559"/>
      <c r="I57" s="1808"/>
      <c r="J57" s="3598">
        <f>IF(AND(J55="",J56=""),4,IF(项目基本情况!K6="上海银行",结果表!J56+1,结果表!J55+1))</f>
        <v>5</v>
      </c>
      <c r="K57" s="3598" t="s">
        <v>1367</v>
      </c>
      <c r="L57" s="2530" t="s">
        <v>1368</v>
      </c>
      <c r="M57" s="2531"/>
      <c r="N57" s="2532">
        <f ca="1">SUMIF(M52:M56,"&lt;9e307")</f>
        <v>266020</v>
      </c>
      <c r="O57" s="2533"/>
      <c r="P57" s="2690">
        <f ca="1">N57/M49</f>
        <v>0.5760240439477633</v>
      </c>
    </row>
    <row r="58" spans="1:35" ht="24.75">
      <c r="A58" s="2335" t="s">
        <v>1352</v>
      </c>
      <c r="B58" s="3622" t="s">
        <v>1369</v>
      </c>
      <c r="C58" s="3621"/>
      <c r="D58" s="2324">
        <f ca="1">IF(H58="转让取得",C81,C97)</f>
        <v>261391</v>
      </c>
      <c r="E58" s="2334" t="s">
        <v>1364</v>
      </c>
      <c r="F58" s="302" t="s">
        <v>28</v>
      </c>
      <c r="G58" s="2555"/>
      <c r="H58" s="2558"/>
      <c r="I58" s="1808"/>
      <c r="J58" s="3598"/>
      <c r="K58" s="3598"/>
      <c r="L58" s="2530" t="s">
        <v>1370</v>
      </c>
      <c r="M58" s="2534"/>
      <c r="N58" s="2535" t="str">
        <f ca="1">NUMBERSTRING(INT(N57*10000),2)&amp;"元整"</f>
        <v>贰拾陆亿陆仟零贰拾万元整</v>
      </c>
      <c r="O58" s="2536"/>
    </row>
    <row r="59" spans="1:35" ht="24.75" thickBot="1">
      <c r="A59" s="3602" t="s">
        <v>1371</v>
      </c>
      <c r="B59" s="3603"/>
      <c r="C59" s="3603"/>
      <c r="D59" s="2560">
        <f ca="1">IF(H59="非个人房产","——",IF(H59="个人住宅（满五唯一有凭证）",0,IF(H59="个人其他（无凭证）",ROUND(D45*F59,0),ROUND(C67*F59,0))))</f>
        <v>4398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0">
        <f>J57+1</f>
        <v>6</v>
      </c>
      <c r="K59" s="3598" t="s">
        <v>1372</v>
      </c>
      <c r="L59" s="2523" t="s">
        <v>1368</v>
      </c>
      <c r="M59" s="2537"/>
      <c r="N59" s="2538">
        <f ca="1">M49-N57</f>
        <v>195801</v>
      </c>
      <c r="O59" s="2539"/>
    </row>
    <row r="60" spans="1:35" ht="12" customHeight="1">
      <c r="A60" s="1809"/>
      <c r="B60" s="1747"/>
      <c r="C60" s="1747"/>
      <c r="D60" s="1747"/>
      <c r="E60" s="1578"/>
      <c r="F60" s="1808"/>
      <c r="G60" s="1808"/>
      <c r="H60" s="1810"/>
      <c r="I60" s="129"/>
      <c r="J60" s="3601"/>
      <c r="K60" s="3598"/>
      <c r="L60" s="2530" t="s">
        <v>1370</v>
      </c>
      <c r="M60" s="2534"/>
      <c r="N60" s="2535" t="str">
        <f ca="1">NUMBERSTRING(INT(N59*10000),2)&amp;"元整"</f>
        <v>壹拾玖亿伍仟捌佰零壹万元整</v>
      </c>
      <c r="O60" s="2536"/>
    </row>
    <row r="61" spans="1:35" ht="13.5" thickBot="1">
      <c r="A61" s="3657" t="s">
        <v>1373</v>
      </c>
      <c r="B61" s="3657"/>
      <c r="C61" s="3657"/>
      <c r="D61" s="3657"/>
      <c r="E61" s="3657"/>
      <c r="F61" s="1808"/>
      <c r="G61" s="1808"/>
      <c r="H61" s="1810"/>
      <c r="I61" s="129"/>
      <c r="J61" s="2523">
        <f>J59+1</f>
        <v>7</v>
      </c>
      <c r="K61" s="3598" t="s">
        <v>1374</v>
      </c>
      <c r="L61" s="3598"/>
      <c r="M61" s="2540"/>
      <c r="N61" s="2541">
        <f ca="1">ROUND(N59*10000/'数据-汇总表'!E3,0)</f>
        <v>22266</v>
      </c>
      <c r="O61" s="2542"/>
    </row>
    <row r="62" spans="1:35" ht="12.75">
      <c r="A62" s="3617" t="s">
        <v>1375</v>
      </c>
      <c r="B62" s="3618"/>
      <c r="C62" s="2021"/>
      <c r="D62" s="2021" t="s">
        <v>1376</v>
      </c>
      <c r="E62" s="166" t="s">
        <v>1377</v>
      </c>
      <c r="F62" s="1808"/>
      <c r="G62" s="1808"/>
      <c r="H62" s="1810"/>
      <c r="I62" s="129"/>
    </row>
    <row r="63" spans="1:35" ht="12.75">
      <c r="A63" s="173" t="s">
        <v>330</v>
      </c>
      <c r="B63" s="167" t="s">
        <v>1378</v>
      </c>
      <c r="C63" s="2564">
        <f ca="1">ROUND((C64+C65)/(1+'数据-取费表'!C42),0)</f>
        <v>439830</v>
      </c>
      <c r="D63" s="167"/>
      <c r="E63" s="168"/>
      <c r="F63" s="1808"/>
      <c r="G63" s="1808"/>
      <c r="H63" s="1810"/>
      <c r="I63" s="129"/>
      <c r="J63" s="3581" t="s">
        <v>1379</v>
      </c>
      <c r="K63" s="1332" t="s">
        <v>1380</v>
      </c>
      <c r="L63" s="1332">
        <f ca="1">IF(M49&gt;10000,M49*0.5%,IF(AND(M49&gt;1000,M49&lt;=10000),M49*1%,IF(AND(M49&gt;100,M49&lt;=1000),M49*3%,IF(AND(M49&gt;10,M49&lt;=100),M49*5%,M49*8%))))</f>
        <v>2309.105</v>
      </c>
      <c r="M63" s="302">
        <f ca="1">ROUND(L63,1)</f>
        <v>2309.1</v>
      </c>
      <c r="N63" s="2543"/>
      <c r="Z63" s="1752"/>
      <c r="AI63" s="1753"/>
    </row>
    <row r="64" spans="1:35" ht="14.25" customHeight="1">
      <c r="A64" s="169" t="s">
        <v>325</v>
      </c>
      <c r="B64" s="170" t="s">
        <v>1381</v>
      </c>
      <c r="C64" s="2565">
        <f ca="1">D45</f>
        <v>461821</v>
      </c>
      <c r="D64" s="170" t="s">
        <v>26</v>
      </c>
      <c r="E64" s="172"/>
      <c r="F64" s="1808"/>
      <c r="G64" s="1808"/>
      <c r="H64" s="1810"/>
      <c r="I64" s="129"/>
      <c r="J64" s="3581"/>
      <c r="K64" s="1332" t="s">
        <v>1382</v>
      </c>
      <c r="L64" s="1332">
        <f ca="1">IF(M49&gt;2000,M49*0.5%,IF(AND(M49&gt;1000,M49&lt;=2000),M49*0.6%,IF(AND(M49&gt;500,M49&lt;=1000),M49*0.7%,IF(AND(M49&gt;200,M49&lt;=500),M49*0.8%,IF(AND(M49&gt;100,M49&lt;=200),M49*0.9%,IF(AND(M49&gt;50,M49&lt;=100),M49*1%,IF(AND(M49&gt;20,M49&lt;=50),M49*1.5%,IF(AND(M49&gt;10,M49&lt;=20),M49*2%,IF(AND(M49&gt;1,M49&lt;=10),M49*2.5%)))))))))</f>
        <v>2309.105</v>
      </c>
      <c r="M64" s="302">
        <f t="shared" ref="M64:M65" ca="1" si="1">ROUND(L64,1)</f>
        <v>2309.1</v>
      </c>
      <c r="N64" s="2544" t="s">
        <v>1383</v>
      </c>
      <c r="Z64" s="1752"/>
      <c r="AI64" s="1753"/>
    </row>
    <row r="65" spans="1:35" ht="14.25" customHeight="1">
      <c r="A65" s="169" t="s">
        <v>326</v>
      </c>
      <c r="B65" s="170" t="s">
        <v>1384</v>
      </c>
      <c r="C65" s="2566"/>
      <c r="D65" s="170"/>
      <c r="E65" s="172"/>
      <c r="F65" s="1808"/>
      <c r="G65" s="1808"/>
      <c r="H65" s="1810"/>
      <c r="I65" s="129"/>
      <c r="J65" s="3581"/>
      <c r="K65" s="1332" t="s">
        <v>1385</v>
      </c>
      <c r="L65" s="1332">
        <f ca="1">IF(M49&gt;1000,M49*0.1%,IF(AND(M49&gt;500,M49&lt;=1000),M49*0.5%,IF(AND(M49&gt;50,M49&lt;=500),M49*1%,IF(AND(M49&gt;1,M49&lt;=50),M49*1.5%))))</f>
        <v>461.82100000000003</v>
      </c>
      <c r="M65" s="302">
        <f t="shared" ca="1" si="1"/>
        <v>461.8</v>
      </c>
      <c r="N65" s="2544" t="s">
        <v>1383</v>
      </c>
      <c r="Z65" s="1752"/>
      <c r="AI65" s="1753"/>
    </row>
    <row r="66" spans="1:35" ht="14.25" customHeight="1">
      <c r="A66" s="173" t="s">
        <v>327</v>
      </c>
      <c r="B66" s="174" t="s">
        <v>1386</v>
      </c>
      <c r="C66" s="2567"/>
      <c r="D66" s="174" t="s">
        <v>26</v>
      </c>
      <c r="E66" s="1338" t="s">
        <v>671</v>
      </c>
      <c r="F66" s="1808"/>
      <c r="G66" s="1808"/>
      <c r="H66" s="1810"/>
      <c r="I66" s="129"/>
      <c r="J66" s="3581"/>
      <c r="K66" s="1332" t="s">
        <v>1387</v>
      </c>
      <c r="L66" s="1332">
        <f ca="1">M49*0.5%</f>
        <v>2309.105</v>
      </c>
      <c r="M66" s="302">
        <f ca="1">IF(L66&gt;0.5,0.5,ROUND(L66,0))</f>
        <v>0.5</v>
      </c>
      <c r="N66" s="2544" t="s">
        <v>1388</v>
      </c>
      <c r="Z66" s="1752"/>
      <c r="AI66" s="1753"/>
    </row>
    <row r="67" spans="1:35" ht="14.25" customHeight="1">
      <c r="A67" s="173" t="s">
        <v>328</v>
      </c>
      <c r="B67" s="174" t="s">
        <v>1389</v>
      </c>
      <c r="C67" s="2568">
        <f ca="1">C63-C66</f>
        <v>439830</v>
      </c>
      <c r="D67" s="170" t="s">
        <v>26</v>
      </c>
      <c r="E67" s="172"/>
      <c r="F67" s="1808"/>
      <c r="G67" s="1808"/>
      <c r="H67" s="1810"/>
      <c r="I67" s="129"/>
      <c r="J67" s="3581"/>
      <c r="K67" s="1332" t="s">
        <v>1390</v>
      </c>
      <c r="L67" s="1332">
        <f ca="1">IF(M49&gt;=10000,(8.25+(M49-10000)*0.01%),IF(AND(M49&gt;=8000,M49&lt;10000),(7.85+(M49-8000)*0.02%),IF(AND(M49&gt;=5000,M49&lt;8000),(6.65+(M49-5000)*0.04%),IF(AND(M49&gt;=2000,M49&lt;5000),(4.25+(PM49-2000)*0.08%),IF(AND(M49&gt;=1000,M49&lt;2000),(2.75+(M49-1000)*0.15%),IF(AND(M49&gt;=100,M49&lt;1000),(0.5+(M49-100)*0.25%),IF(AND(M49&gt;0,M49&lt;100),M49*0.5%)))))))</f>
        <v>53.432100000000005</v>
      </c>
      <c r="M67" s="302">
        <f ca="1">ROUND(L67*0.9,1)</f>
        <v>48.1</v>
      </c>
      <c r="N67" s="2543"/>
      <c r="Z67" s="1752"/>
      <c r="AI67" s="1753"/>
    </row>
    <row r="68" spans="1:35" ht="14.25" customHeight="1" thickBot="1">
      <c r="A68" s="176" t="s">
        <v>329</v>
      </c>
      <c r="B68" s="177" t="s">
        <v>1391</v>
      </c>
      <c r="C68" s="2569">
        <f ca="1">IF(C67&lt;=0,0,ROUND(C67*D68,0))</f>
        <v>24630</v>
      </c>
      <c r="D68" s="2570">
        <f>'数据-取费表'!B41</f>
        <v>5.6000000000000001E-2</v>
      </c>
      <c r="E68" s="178"/>
      <c r="F68" s="1808"/>
      <c r="G68" s="1808"/>
      <c r="H68" s="1810"/>
      <c r="I68" s="129"/>
      <c r="J68" s="3581"/>
      <c r="K68" s="1332" t="s">
        <v>1392</v>
      </c>
      <c r="L68" s="1332">
        <f ca="1">IF(M49&gt;10000,M49*0.5%,IF(AND(M49&gt;5000,M49&lt;=10000),M49*1%,IF(AND(M49&gt;1000,M49&lt;=5000),M49*2%,IF(AND(M49&gt;200,M49&lt;=1000),M49*3%,M49*5%))))</f>
        <v>2309.105</v>
      </c>
      <c r="M68" s="302">
        <f ca="1">ROUND(L68,1)</f>
        <v>2309.1</v>
      </c>
      <c r="N68" s="2543"/>
      <c r="Z68" s="1752"/>
      <c r="AI68" s="1753"/>
    </row>
    <row r="69" spans="1:35" s="1772" customFormat="1" ht="16.5" customHeight="1">
      <c r="A69" s="1811"/>
      <c r="B69" s="1812"/>
      <c r="C69" s="1813"/>
      <c r="D69" s="1814"/>
      <c r="E69" s="1815"/>
      <c r="F69" s="1578"/>
      <c r="G69" s="1578"/>
      <c r="H69" s="1577"/>
      <c r="I69" s="1747"/>
      <c r="J69" s="3581"/>
      <c r="K69" s="1332" t="s">
        <v>1393</v>
      </c>
      <c r="L69" s="1332"/>
      <c r="M69" s="302">
        <f ca="1">ROUND(SUM(M63:M68),0)</f>
        <v>7438</v>
      </c>
      <c r="N69" s="2545">
        <f ca="1">M69/M49</f>
        <v>1.6105807228341717E-2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5" t="s">
        <v>1394</v>
      </c>
      <c r="B70" s="3626"/>
      <c r="C70" s="3626"/>
      <c r="D70" s="3626"/>
      <c r="E70" s="3626"/>
      <c r="F70" s="3626"/>
      <c r="G70" s="3626"/>
      <c r="H70" s="362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7" t="s">
        <v>1375</v>
      </c>
      <c r="B71" s="361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439830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2639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2" t="s">
        <v>1402</v>
      </c>
      <c r="F76" s="3621"/>
      <c r="G76" s="3621"/>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2639</v>
      </c>
      <c r="D78" s="2577">
        <f>'数据-取费表'!B43</f>
        <v>6.000000000000001E-3</v>
      </c>
      <c r="E78" s="3614" t="s">
        <v>1406</v>
      </c>
      <c r="F78" s="3615"/>
      <c r="G78" s="3615"/>
      <c r="H78" s="361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437191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165.66540356195529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261391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5" t="s">
        <v>1410</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7" t="s">
        <v>1375</v>
      </c>
      <c r="B84" s="361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439830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2639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3" t="s">
        <v>2129</v>
      </c>
      <c r="H90" s="358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4" t="s">
        <v>1419</v>
      </c>
      <c r="F91" s="3615"/>
      <c r="G91" s="361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4" t="s">
        <v>1422</v>
      </c>
      <c r="F92" s="3615"/>
      <c r="G92" s="3615"/>
      <c r="H92" s="361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2639</v>
      </c>
      <c r="D93" s="2577">
        <f>'数据-取费表'!B43</f>
        <v>6.000000000000001E-3</v>
      </c>
      <c r="E93" s="3614" t="s">
        <v>1406</v>
      </c>
      <c r="F93" s="3615"/>
      <c r="G93" s="3615"/>
      <c r="H93" s="361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9" t="s">
        <v>1426</v>
      </c>
      <c r="F94" s="3660"/>
      <c r="G94" s="3660"/>
      <c r="H94" s="36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437191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165.66540356195529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261391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4" t="s">
        <v>1428</v>
      </c>
      <c r="B100" s="3565"/>
      <c r="C100" s="3565"/>
      <c r="D100" s="3599"/>
      <c r="E100" s="3565" t="s">
        <v>1429</v>
      </c>
      <c r="F100" s="3565"/>
      <c r="G100" s="3565"/>
      <c r="H100" s="3599"/>
      <c r="I100" s="129"/>
    </row>
    <row r="101" spans="1:35" ht="18.75" customHeight="1">
      <c r="A101" s="3607" t="s">
        <v>1430</v>
      </c>
      <c r="B101" s="3608"/>
      <c r="C101" s="2585" t="str">
        <f>C4</f>
        <v>成本法</v>
      </c>
      <c r="D101" s="2586" t="str">
        <f>D4</f>
        <v>收益法（汇总）</v>
      </c>
      <c r="E101" s="3577" t="s">
        <v>1431</v>
      </c>
      <c r="F101" s="3578"/>
      <c r="G101" s="1827" t="s">
        <v>1432</v>
      </c>
      <c r="H101" s="2595">
        <f ca="1">H118</f>
        <v>461821</v>
      </c>
      <c r="I101" s="129"/>
    </row>
    <row r="102" spans="1:35" ht="18.75" customHeight="1">
      <c r="A102" s="3609" t="s">
        <v>1433</v>
      </c>
      <c r="B102" s="2584" t="s">
        <v>1432</v>
      </c>
      <c r="C102" s="2585">
        <f ca="1">IF(D32="楼面单价",ROUND(C19,0),C19)</f>
        <v>303337</v>
      </c>
      <c r="D102" s="2586">
        <f ca="1">IF(D32="楼面单价",ROUND(D19,0),D19)</f>
        <v>529743</v>
      </c>
      <c r="E102" s="3577"/>
      <c r="F102" s="3578"/>
      <c r="G102" s="1827" t="s">
        <v>1434</v>
      </c>
      <c r="H102" s="2555">
        <f ca="1">I118</f>
        <v>52517</v>
      </c>
      <c r="I102" s="129"/>
    </row>
    <row r="103" spans="1:35" ht="42.75" customHeight="1">
      <c r="A103" s="3609"/>
      <c r="B103" s="2584" t="s">
        <v>1434</v>
      </c>
      <c r="C103" s="2587">
        <f ca="1">C20</f>
        <v>34495</v>
      </c>
      <c r="D103" s="2588">
        <f ca="1">D20</f>
        <v>60241</v>
      </c>
      <c r="E103" s="3570" t="s">
        <v>1435</v>
      </c>
      <c r="F103" s="3571"/>
      <c r="G103" s="1828" t="s">
        <v>1436</v>
      </c>
      <c r="H103" s="2595">
        <f>IF(D36="正常操作",H104+H105+H106,H105+H106)</f>
        <v>0</v>
      </c>
      <c r="I103" s="129"/>
    </row>
    <row r="104" spans="1:35" ht="18.75" customHeight="1">
      <c r="A104" s="3609" t="s">
        <v>1437</v>
      </c>
      <c r="B104" s="2589" t="s">
        <v>1432</v>
      </c>
      <c r="C104" s="2590">
        <f ca="1">H118</f>
        <v>461821</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f ca="1">I118</f>
        <v>52517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0" t="str">
        <f>IF(项目基本情况!E8="已注销","——","3.房地产抵押价值")</f>
        <v>3.房地产抵押价值</v>
      </c>
      <c r="F107" s="3578"/>
      <c r="G107" s="1827" t="s">
        <v>1432</v>
      </c>
      <c r="H107" s="2595">
        <f ca="1">IF(E107="——","——",H101-H103)</f>
        <v>461821</v>
      </c>
      <c r="I107" s="129"/>
    </row>
    <row r="108" spans="1:35" ht="18.75" customHeight="1">
      <c r="A108" s="129"/>
      <c r="B108" s="129"/>
      <c r="C108" s="129"/>
      <c r="D108" s="129"/>
      <c r="E108" s="3610"/>
      <c r="F108" s="3578"/>
      <c r="G108" s="1827" t="s">
        <v>1434</v>
      </c>
      <c r="H108" s="2555">
        <f ca="1">IF(H107=H101,H102,ROUND(H107*10000/'数据-汇总表'!E3,0))</f>
        <v>52517</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7" t="s">
        <v>1432</v>
      </c>
      <c r="H109" s="2598" t="str">
        <f>IF(E109="——","——",H101-H105-H106)</f>
        <v>——</v>
      </c>
      <c r="I109" s="129"/>
    </row>
    <row r="110" spans="1:35" ht="18.75" customHeight="1">
      <c r="A110" s="129"/>
      <c r="B110" s="129"/>
      <c r="C110" s="129"/>
      <c r="D110" s="129"/>
      <c r="E110" s="3610"/>
      <c r="F110" s="3578"/>
      <c r="G110" s="1827" t="s">
        <v>1434</v>
      </c>
      <c r="H110" s="2555"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v>
      </c>
      <c r="F111" s="3597"/>
      <c r="G111" s="1827" t="s">
        <v>1432</v>
      </c>
      <c r="H111" s="2595" t="str">
        <f>IF(E111="——","——",N59)</f>
        <v>——</v>
      </c>
      <c r="I111" s="129"/>
    </row>
    <row r="112" spans="1:35" ht="18.75" customHeight="1" thickBot="1">
      <c r="A112" s="129"/>
      <c r="B112" s="129"/>
      <c r="C112" s="129"/>
      <c r="D112" s="129"/>
      <c r="E112" s="3612"/>
      <c r="F112" s="3613"/>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5" t="s">
        <v>1443</v>
      </c>
      <c r="B116" s="3589" t="s">
        <v>1444</v>
      </c>
      <c r="C116" s="3589" t="s">
        <v>1445</v>
      </c>
      <c r="D116" s="3595" t="s">
        <v>1446</v>
      </c>
      <c r="E116" s="3596"/>
      <c r="F116" s="3627" t="s">
        <v>1447</v>
      </c>
      <c r="G116" s="3627"/>
      <c r="H116" s="3585" t="s">
        <v>1448</v>
      </c>
      <c r="I116" s="3585"/>
    </row>
    <row r="117" spans="1:27" ht="18.75" customHeight="1">
      <c r="A117" s="3585"/>
      <c r="B117" s="3590"/>
      <c r="C117" s="359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87936.610000000015</v>
      </c>
      <c r="C118" s="2329">
        <f>M19</f>
        <v>16321.07</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461821</v>
      </c>
      <c r="I118" s="2329">
        <f ca="1">ROUND(IF(D32="楼面单价",C32,H118*10000/B118),0)</f>
        <v>52517</v>
      </c>
    </row>
    <row r="119" spans="1:27" ht="18.75" customHeight="1">
      <c r="A119" s="3585" t="s">
        <v>1452</v>
      </c>
      <c r="B119" s="3585"/>
      <c r="C119" s="3585"/>
      <c r="D119" s="3591" t="e">
        <f ca="1">NUMBERSTRING(INT(D118*10000),2)&amp;"元整"</f>
        <v>#REF!</v>
      </c>
      <c r="E119" s="3592"/>
      <c r="F119" s="3591" t="e">
        <f ca="1">NUMBERSTRING(INT(F118*10000),2)&amp;"元整"</f>
        <v>#REF!</v>
      </c>
      <c r="G119" s="3592"/>
      <c r="H119" s="3591" t="str">
        <f ca="1">NUMBERSTRING(INT(H118*10000),2)&amp;"元整"</f>
        <v>肆拾陆亿壹仟捌佰贰拾壹万元整</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1" t="s">
        <v>1452</v>
      </c>
      <c r="B121" s="3593"/>
      <c r="C121" s="3592"/>
      <c r="D121" s="3591" t="str">
        <f>IF(D120=0,"零元整",NUMBERSTRING(INT(D120*10000),2)&amp;"元整")</f>
        <v>零元整</v>
      </c>
      <c r="E121" s="3593"/>
      <c r="F121" s="3593"/>
      <c r="G121" s="3593"/>
      <c r="H121" s="3593"/>
      <c r="I121" s="3592"/>
      <c r="AA121" s="725"/>
    </row>
    <row r="122" spans="1:27" ht="18.75" customHeight="1">
      <c r="A122" s="3597" t="str">
        <f>IF(项目基本情况!B9="房地产市场价值","",MID(E107,3,LEN(E107)-2))</f>
        <v>房地产抵押价值</v>
      </c>
      <c r="B122" s="3597"/>
      <c r="C122" s="3597"/>
      <c r="D122" s="3586">
        <f ca="1">H107</f>
        <v>461821</v>
      </c>
      <c r="E122" s="3587"/>
      <c r="F122" s="3587"/>
      <c r="G122" s="3587"/>
      <c r="H122" s="3587"/>
      <c r="I122" s="3588"/>
      <c r="AA122" s="725"/>
    </row>
    <row r="123" spans="1:27" ht="18.75" customHeight="1">
      <c r="A123" s="3585" t="s">
        <v>1452</v>
      </c>
      <c r="B123" s="3585"/>
      <c r="C123" s="3585"/>
      <c r="D123" s="3591" t="str">
        <f ca="1">NUMBERSTRING(INT(D122*10000),2)&amp;"元整"</f>
        <v>肆拾陆亿壹仟捌佰贰拾壹万元整</v>
      </c>
      <c r="E123" s="3593"/>
      <c r="F123" s="3593"/>
      <c r="G123" s="3593"/>
      <c r="H123" s="3593"/>
      <c r="I123" s="3592"/>
      <c r="AA123" s="725"/>
    </row>
    <row r="124" spans="1:27" ht="18.75" customHeight="1">
      <c r="A124" s="3597" t="str">
        <f>IF(项目基本情况!B9="房地产市场价值","",MID(E109,3,LEN(E109)-2))</f>
        <v/>
      </c>
      <c r="B124" s="3597"/>
      <c r="C124" s="3597"/>
      <c r="D124" s="3586" t="str">
        <f>H109</f>
        <v>——</v>
      </c>
      <c r="E124" s="3587"/>
      <c r="F124" s="3587"/>
      <c r="G124" s="3587"/>
      <c r="H124" s="3587"/>
      <c r="I124" s="3588"/>
      <c r="AA124" s="725"/>
    </row>
    <row r="125" spans="1:27" ht="18.75" customHeight="1">
      <c r="A125" s="3585" t="s">
        <v>1452</v>
      </c>
      <c r="B125" s="3585"/>
      <c r="C125" s="3585"/>
      <c r="D125" s="3591" t="e">
        <f>NUMBERSTRING(INT(D124*10000),2)&amp;"元整"</f>
        <v>#VALUE!</v>
      </c>
      <c r="E125" s="3593"/>
      <c r="F125" s="3593"/>
      <c r="G125" s="3593"/>
      <c r="H125" s="3593"/>
      <c r="I125" s="3592"/>
      <c r="AA125" s="725"/>
    </row>
    <row r="126" spans="1:27" ht="18.75" customHeight="1">
      <c r="A126" s="3597" t="str">
        <f>IF(项目基本情况!B9="房地产市场价值","",MID(E111,3,LEN(E111)-2))</f>
        <v/>
      </c>
      <c r="B126" s="3597"/>
      <c r="C126" s="3597"/>
      <c r="D126" s="3586" t="str">
        <f>H111</f>
        <v>——</v>
      </c>
      <c r="E126" s="3587"/>
      <c r="F126" s="3587"/>
      <c r="G126" s="3587"/>
      <c r="H126" s="3587"/>
      <c r="I126" s="3588"/>
      <c r="AA126" s="725"/>
    </row>
    <row r="127" spans="1:27" ht="18.75" customHeight="1">
      <c r="A127" s="3585" t="s">
        <v>1452</v>
      </c>
      <c r="B127" s="3585"/>
      <c r="C127" s="3585"/>
      <c r="D127" s="3591" t="e">
        <f>NUMBERSTRING(INT(D126*10000),2)&amp;"元整"</f>
        <v>#VALUE!</v>
      </c>
      <c r="E127" s="3593"/>
      <c r="F127" s="3593"/>
      <c r="G127" s="3593"/>
      <c r="H127" s="3593"/>
      <c r="I127" s="3592"/>
      <c r="AA127" s="725"/>
    </row>
    <row r="128" spans="1:27" ht="21.75" customHeight="1">
      <c r="A128" s="3594" t="s">
        <v>1453</v>
      </c>
      <c r="B128" s="3594"/>
      <c r="C128" s="3594"/>
      <c r="D128" s="3594"/>
      <c r="E128" s="3594"/>
      <c r="F128" s="3594"/>
      <c r="G128" s="3594"/>
      <c r="H128" s="3594"/>
      <c r="I128" s="359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I22" sqref="I22"/>
    </sheetView>
  </sheetViews>
  <sheetFormatPr defaultColWidth="12.625" defaultRowHeight="21.75" customHeight="1"/>
  <cols>
    <col min="1" max="2" width="12.625" style="1753"/>
    <col min="3" max="3" width="12.625" style="1753" customWidth="1"/>
    <col min="4" max="4" width="1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7" t="str">
        <f>项目基本情况!S2</f>
        <v>北京市房地产</v>
      </c>
      <c r="B2" s="3638"/>
      <c r="C2" s="3638"/>
      <c r="D2" s="3638"/>
      <c r="E2" s="3638"/>
      <c r="F2" s="3638"/>
      <c r="G2" s="3638"/>
      <c r="H2" s="3638"/>
      <c r="I2" s="3639"/>
    </row>
    <row r="3" spans="1:12" ht="12.75">
      <c r="A3" s="3641" t="s">
        <v>1264</v>
      </c>
      <c r="B3" s="3642"/>
      <c r="C3" s="3642"/>
      <c r="D3" s="3642"/>
      <c r="E3" s="3642"/>
      <c r="F3" s="3642"/>
      <c r="G3" s="3642"/>
      <c r="H3" s="3642"/>
      <c r="I3" s="3642"/>
    </row>
    <row r="4" spans="1:12" ht="14.25">
      <c r="A4" s="1754" t="s">
        <v>1265</v>
      </c>
      <c r="B4" s="1755" t="s">
        <v>1266</v>
      </c>
      <c r="C4" s="1756" t="s">
        <v>3425</v>
      </c>
      <c r="D4" s="1756" t="s">
        <v>3395</v>
      </c>
      <c r="E4" s="3646" t="s">
        <v>1267</v>
      </c>
      <c r="F4" s="3647"/>
      <c r="G4" s="3647"/>
      <c r="H4" s="3647"/>
      <c r="I4" s="3648"/>
      <c r="K4" s="146" t="str">
        <f>IF(ISNUMBER(FIND("比较法",'结果表 (2)'!C4)),"比较法",IF(ISNUMBER(FIND("成本法",'结果表 (2)'!C4)),"成本法",IF(ISNUMBER(FIND("假设开发法",'结果表 (2)'!C4)),"假设开发法",IF(ISNUMBER(FIND("收益法",'结果表 (2)'!C4)),"收益法","基准地价系数修正法"))))</f>
        <v>比较法</v>
      </c>
      <c r="L4" s="146" t="str">
        <f>IF(ISNUMBER(FIND("比较法",'结果表 (2)'!D4)),"比较法",IF(ISNUMBER(FIND("成本法",'结果表 (2)'!D4)),"成本法",IF(ISNUMBER(FIND("假设开发法",'结果表 (2)'!D4)),"假设开发法",IF(ISNUMBER(FIND("收益法",'结果表 (2)'!D4)),"收益法","基准地价系数修正法"))))</f>
        <v>收益法</v>
      </c>
    </row>
    <row r="5" spans="1:12" ht="12.75">
      <c r="A5" s="3585" t="s">
        <v>1268</v>
      </c>
      <c r="B5" s="3640">
        <v>25</v>
      </c>
      <c r="C5" s="3643"/>
      <c r="D5" s="3631"/>
      <c r="E5" s="131" t="s">
        <v>1269</v>
      </c>
      <c r="F5" s="1757"/>
      <c r="G5" s="1757"/>
      <c r="H5" s="1757"/>
      <c r="I5" s="1373"/>
    </row>
    <row r="6" spans="1:12" ht="12.75">
      <c r="A6" s="3585"/>
      <c r="B6" s="3640"/>
      <c r="C6" s="3645"/>
      <c r="D6" s="3631"/>
      <c r="E6" s="131" t="s">
        <v>1270</v>
      </c>
      <c r="F6" s="1757"/>
      <c r="G6" s="1757"/>
      <c r="H6" s="1757"/>
      <c r="I6" s="1373"/>
    </row>
    <row r="7" spans="1:12" ht="12.75">
      <c r="A7" s="3585"/>
      <c r="B7" s="3640"/>
      <c r="C7" s="3644"/>
      <c r="D7" s="3631"/>
      <c r="E7" s="131" t="s">
        <v>1271</v>
      </c>
      <c r="F7" s="1757"/>
      <c r="G7" s="1757"/>
      <c r="H7" s="1757"/>
      <c r="I7" s="1373"/>
    </row>
    <row r="8" spans="1:12" ht="12.75">
      <c r="A8" s="3585" t="s">
        <v>1272</v>
      </c>
      <c r="B8" s="3640">
        <v>15</v>
      </c>
      <c r="C8" s="3643"/>
      <c r="D8" s="3631"/>
      <c r="E8" s="131" t="s">
        <v>1273</v>
      </c>
      <c r="F8" s="1757"/>
      <c r="G8" s="1757"/>
      <c r="H8" s="1757"/>
      <c r="I8" s="1373"/>
    </row>
    <row r="9" spans="1:12" ht="12.75">
      <c r="A9" s="3585"/>
      <c r="B9" s="3640"/>
      <c r="C9" s="3644"/>
      <c r="D9" s="3631"/>
      <c r="E9" s="131" t="s">
        <v>1274</v>
      </c>
      <c r="F9" s="1757"/>
      <c r="G9" s="1757"/>
      <c r="H9" s="1757"/>
      <c r="I9" s="1373"/>
    </row>
    <row r="10" spans="1:12" ht="12.75">
      <c r="A10" s="3585" t="s">
        <v>1275</v>
      </c>
      <c r="B10" s="3640">
        <v>15</v>
      </c>
      <c r="C10" s="3643"/>
      <c r="D10" s="3631"/>
      <c r="E10" s="131" t="s">
        <v>1276</v>
      </c>
      <c r="F10" s="1757"/>
      <c r="G10" s="1757"/>
      <c r="H10" s="1757"/>
      <c r="I10" s="1373"/>
    </row>
    <row r="11" spans="1:12" ht="12.75">
      <c r="A11" s="3585"/>
      <c r="B11" s="3640"/>
      <c r="C11" s="3644"/>
      <c r="D11" s="3631"/>
      <c r="E11" s="131" t="s">
        <v>1277</v>
      </c>
      <c r="F11" s="1757"/>
      <c r="G11" s="1757"/>
      <c r="H11" s="1757"/>
      <c r="I11" s="1373"/>
    </row>
    <row r="12" spans="1:12" ht="12.75">
      <c r="A12" s="3585" t="s">
        <v>1278</v>
      </c>
      <c r="B12" s="3640">
        <v>15</v>
      </c>
      <c r="C12" s="3643"/>
      <c r="D12" s="3631"/>
      <c r="E12" s="131" t="s">
        <v>1279</v>
      </c>
      <c r="F12" s="1757"/>
      <c r="G12" s="1757"/>
      <c r="H12" s="1757"/>
      <c r="I12" s="1373"/>
    </row>
    <row r="13" spans="1:12" ht="12.75">
      <c r="A13" s="3585"/>
      <c r="B13" s="3640"/>
      <c r="C13" s="3644"/>
      <c r="D13" s="3631"/>
      <c r="E13" s="131" t="s">
        <v>1280</v>
      </c>
      <c r="F13" s="1757"/>
      <c r="G13" s="1757"/>
      <c r="H13" s="1757"/>
      <c r="I13" s="1373"/>
    </row>
    <row r="14" spans="1:12" ht="12.75">
      <c r="A14" s="3585" t="s">
        <v>1281</v>
      </c>
      <c r="B14" s="3640">
        <v>30</v>
      </c>
      <c r="C14" s="3643">
        <v>5</v>
      </c>
      <c r="D14" s="3631">
        <v>5</v>
      </c>
      <c r="E14" s="131" t="s">
        <v>1282</v>
      </c>
      <c r="F14" s="1757"/>
      <c r="G14" s="1757"/>
      <c r="H14" s="1757"/>
      <c r="I14" s="1373"/>
    </row>
    <row r="15" spans="1:12" ht="12.75">
      <c r="A15" s="3585"/>
      <c r="B15" s="3640"/>
      <c r="C15" s="3645"/>
      <c r="D15" s="3631"/>
      <c r="E15" s="131" t="s">
        <v>1283</v>
      </c>
      <c r="F15" s="1757"/>
      <c r="G15" s="1757"/>
      <c r="H15" s="1757"/>
      <c r="I15" s="1373"/>
    </row>
    <row r="16" spans="1:12" ht="12.75">
      <c r="A16" s="3585"/>
      <c r="B16" s="3640"/>
      <c r="C16" s="3644"/>
      <c r="D16" s="363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2" t="s">
        <v>2131</v>
      </c>
      <c r="F18" s="3663"/>
      <c r="G18" s="3663"/>
      <c r="H18" s="3663"/>
      <c r="I18" s="3663"/>
      <c r="K18" s="302" t="s">
        <v>1289</v>
      </c>
      <c r="L18" s="302">
        <f>IF(C1="",'数据-汇总表'!E3,SUMIF(项目类型,C1,'数据-汇总表'!E17:E26)+SUMIF(项目类型,C1,'数据-汇总表'!I17:I26))</f>
        <v>87936.610000000015</v>
      </c>
      <c r="M18" s="302">
        <f>IF(C1="",'数据-汇总表'!E3,SUMIF(项目类型,C1,'数据-汇总表'!E17:E26))</f>
        <v>87936.610000000015</v>
      </c>
    </row>
    <row r="19" spans="1:36" ht="15">
      <c r="A19" s="1761" t="s">
        <v>1290</v>
      </c>
      <c r="B19" s="1762" t="s">
        <v>1291</v>
      </c>
      <c r="C19" s="134">
        <f ca="1">SUMIF(INDIRECT("'"&amp;C4&amp;"'"&amp;"!A:A"),'结果表 (2)'!B19,INDIRECT("'"&amp;C4&amp;"'"&amp;"!B:B"))</f>
        <v>295712</v>
      </c>
      <c r="D19" s="135">
        <f ca="1">SUMIF(INDIRECT("'"&amp;D4&amp;"'"&amp;"!A:A"),'结果表 (2)'!B19,INDIRECT("'"&amp;D4&amp;"'"&amp;"!B:B"))</f>
        <v>525539</v>
      </c>
      <c r="E19" s="1761" t="s">
        <v>1292</v>
      </c>
      <c r="F19" s="1762" t="s">
        <v>1291</v>
      </c>
      <c r="G19" s="136">
        <f ca="1">ROUND(C19*$C$18+D19*$D$18,0)</f>
        <v>410626</v>
      </c>
      <c r="H19" s="1763" t="s">
        <v>1293</v>
      </c>
      <c r="I19" s="129"/>
      <c r="K19" s="302" t="s">
        <v>1294</v>
      </c>
      <c r="L19" s="302">
        <f>IF(C1="",'数据-汇总表'!D3,SUMIF(项目类型,C1,'数据-汇总表'!D17:D26)+SUMIF(项目类型,C1,'数据-汇总表'!H17:H27))</f>
        <v>16321.07</v>
      </c>
      <c r="M19" s="302">
        <f>IF(C1="",'数据-汇总表'!D3,SUMIF(项目类型,C1,'数据-汇总表'!D17:D26))</f>
        <v>16321.07</v>
      </c>
    </row>
    <row r="20" spans="1:36" ht="15">
      <c r="A20" s="1764"/>
      <c r="B20" s="1026" t="s">
        <v>1295</v>
      </c>
      <c r="C20" s="137">
        <f ca="1">SUMIF(INDIRECT("'"&amp;C4&amp;"'"&amp;"!A:A"),'结果表 (2)'!B20,INDIRECT("'"&amp;C4&amp;"'"&amp;"!B:B"))</f>
        <v>45000</v>
      </c>
      <c r="D20" s="138">
        <f ca="1">SUMIF(INDIRECT("'"&amp;D4&amp;"'"&amp;"!A:A"),'结果表 (2)'!B20,INDIRECT("'"&amp;D4&amp;"'"&amp;"!B:B"))</f>
        <v>63703</v>
      </c>
      <c r="E20" s="1764"/>
      <c r="F20" s="1026" t="s">
        <v>1295</v>
      </c>
      <c r="G20" s="139">
        <f ca="1">ROUND(C20*$C$18+D20*$D$18,0)</f>
        <v>54352</v>
      </c>
      <c r="H20" s="808" t="s">
        <v>1296</v>
      </c>
      <c r="I20" s="129"/>
    </row>
    <row r="21" spans="1:36" ht="15" customHeight="1" thickBot="1">
      <c r="A21" s="828"/>
      <c r="B21" s="1765" t="s">
        <v>1297</v>
      </c>
      <c r="C21" s="719">
        <f ca="1">ROUND(C19*10000/L19,0)</f>
        <v>181184</v>
      </c>
      <c r="D21" s="720">
        <f ca="1">ROUND(D19*10000/L19,0)</f>
        <v>322000</v>
      </c>
      <c r="E21" s="828"/>
      <c r="F21" s="1765" t="s">
        <v>1297</v>
      </c>
      <c r="G21" s="140">
        <f ca="1">ROUND(G19*10000/L19,0)</f>
        <v>251593</v>
      </c>
      <c r="H21" s="1766" t="s">
        <v>1296</v>
      </c>
      <c r="I21" s="129"/>
    </row>
    <row r="22" spans="1:36" ht="15" thickBot="1">
      <c r="A22" s="1688" t="s">
        <v>1298</v>
      </c>
      <c r="B22" s="1767"/>
      <c r="C22" s="1768"/>
      <c r="D22" s="721">
        <f ca="1">IF(C19&lt;D19,D19/C19-1,C19/D19-1)</f>
        <v>0.77719876095660645</v>
      </c>
      <c r="E22" s="129"/>
      <c r="F22" s="129"/>
      <c r="G22" s="129"/>
      <c r="H22" s="129"/>
      <c r="I22" s="129"/>
    </row>
    <row r="23" spans="1:36" ht="13.5" thickBot="1">
      <c r="A23" s="1747"/>
      <c r="B23" s="1747"/>
      <c r="C23" s="1747"/>
      <c r="D23" s="1747"/>
      <c r="E23" s="129"/>
      <c r="F23" s="129"/>
      <c r="G23" s="129"/>
      <c r="H23" s="129"/>
      <c r="I23" s="129"/>
    </row>
    <row r="24" spans="1:36" ht="14.25">
      <c r="A24" s="3655" t="s">
        <v>1299</v>
      </c>
      <c r="B24" s="1762" t="s">
        <v>1291</v>
      </c>
      <c r="C24" s="136">
        <f>IF(B30=0,0,D30)</f>
        <v>0</v>
      </c>
      <c r="D24" s="1769"/>
      <c r="E24" s="129"/>
      <c r="F24" s="129"/>
      <c r="G24" s="129"/>
      <c r="H24" s="129"/>
      <c r="I24" s="129"/>
    </row>
    <row r="25" spans="1:36" ht="14.25">
      <c r="A25" s="36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f ca="1">G19/'数据-汇总表'!F31</f>
        <v>6.2487084131872566</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54352</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2" t="s">
        <v>1312</v>
      </c>
      <c r="B36" s="1787" t="s">
        <v>1313</v>
      </c>
      <c r="C36" s="145"/>
      <c r="D36" s="1788"/>
      <c r="E36" s="1789"/>
      <c r="F36" s="1790"/>
      <c r="G36" s="129"/>
      <c r="H36" s="129"/>
      <c r="I36" s="129"/>
    </row>
    <row r="37" spans="1:15" ht="15.75" thickBot="1">
      <c r="A37" s="3633"/>
      <c r="B37" s="1674" t="s">
        <v>1314</v>
      </c>
      <c r="C37" s="147"/>
      <c r="D37" s="1139"/>
      <c r="E37" s="1139"/>
      <c r="F37" s="1790"/>
      <c r="G37" s="129"/>
      <c r="H37" s="129"/>
      <c r="I37" s="129"/>
    </row>
    <row r="38" spans="1:15" ht="15.75" thickBot="1">
      <c r="A38" s="3634"/>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2" t="s">
        <v>1326</v>
      </c>
      <c r="B45" s="3653"/>
      <c r="C45" s="3654"/>
      <c r="D45" s="155" t="e">
        <f ca="1">ROUND(H101*F45,0)</f>
        <v>#REF!</v>
      </c>
      <c r="E45" s="156" t="s">
        <v>1327</v>
      </c>
      <c r="F45" s="157">
        <v>1</v>
      </c>
      <c r="G45" s="158" t="s">
        <v>1328</v>
      </c>
      <c r="H45" s="129"/>
      <c r="I45" s="129"/>
      <c r="J45" s="3572" t="s">
        <v>1329</v>
      </c>
      <c r="K45" s="3572"/>
      <c r="L45" s="3572"/>
      <c r="M45" s="3572"/>
      <c r="N45" s="3572"/>
      <c r="O45" s="3572"/>
    </row>
    <row r="46" spans="1:15" ht="14.25" customHeight="1">
      <c r="A46" s="3649" t="s">
        <v>1330</v>
      </c>
      <c r="B46" s="3650"/>
      <c r="C46" s="3650"/>
      <c r="D46" s="3650"/>
      <c r="E46" s="3650"/>
      <c r="F46" s="3650"/>
      <c r="G46" s="3651"/>
      <c r="H46" s="1806"/>
      <c r="I46" s="159"/>
      <c r="J46" s="3458">
        <v>1</v>
      </c>
      <c r="K46" s="3573" t="s">
        <v>1331</v>
      </c>
      <c r="L46" s="3573"/>
      <c r="M46" s="3574"/>
      <c r="N46" s="3574"/>
      <c r="O46" s="3574"/>
    </row>
    <row r="47" spans="1:15" ht="12" customHeight="1">
      <c r="A47" s="160" t="s">
        <v>1332</v>
      </c>
      <c r="B47" s="161"/>
      <c r="C47" s="162"/>
      <c r="D47" s="1087" t="s">
        <v>1333</v>
      </c>
      <c r="E47" s="302" t="s">
        <v>1334</v>
      </c>
      <c r="F47" s="163" t="s">
        <v>1335</v>
      </c>
      <c r="G47" s="2546" t="s">
        <v>1336</v>
      </c>
      <c r="H47" s="2547"/>
      <c r="I47" s="159"/>
      <c r="J47" s="3458">
        <v>2</v>
      </c>
      <c r="K47" s="3573" t="s">
        <v>1337</v>
      </c>
      <c r="L47" s="3573"/>
      <c r="M47" s="3575">
        <f>'数据-取费表'!B2</f>
        <v>45239</v>
      </c>
      <c r="N47" s="3575"/>
      <c r="O47" s="3575"/>
    </row>
    <row r="48" spans="1:15" ht="25.5">
      <c r="A48" s="3635" t="s">
        <v>1338</v>
      </c>
      <c r="B48" s="3636"/>
      <c r="C48" s="3636"/>
      <c r="D48" s="3453" t="b">
        <f>IF(H48="情况1",0,IF(H48="情况2",D52,IF(H48="情况3",D53,IF(H48="情况4",D54))))</f>
        <v>0</v>
      </c>
      <c r="E48" s="3468" t="str">
        <f>IF(H48="情况4","(销售额-原购置价)×税（费）率","销售额×税（费）率")</f>
        <v>销售额×税（费）率</v>
      </c>
      <c r="F48" s="2548">
        <f>IF(H48="情况1","免征",'数据-取费表'!B41)</f>
        <v>5.6000000000000001E-2</v>
      </c>
      <c r="G48" s="2549" t="s">
        <v>1339</v>
      </c>
      <c r="H48" s="2550"/>
      <c r="I48" s="1806"/>
      <c r="J48" s="3458">
        <v>3</v>
      </c>
      <c r="K48" s="3573" t="s">
        <v>1340</v>
      </c>
      <c r="L48" s="3573"/>
      <c r="M48" s="3576" t="e">
        <f ca="1">H101</f>
        <v>#REF!</v>
      </c>
      <c r="N48" s="3576"/>
      <c r="O48" s="3576"/>
    </row>
    <row r="49" spans="1:35" ht="25.5" customHeight="1">
      <c r="A49" s="3467" t="s">
        <v>1341</v>
      </c>
      <c r="B49" s="3621" t="s">
        <v>1342</v>
      </c>
      <c r="C49" s="3621"/>
      <c r="D49" s="1590">
        <v>0</v>
      </c>
      <c r="E49" s="324" t="s">
        <v>1343</v>
      </c>
      <c r="F49" s="3451" t="s">
        <v>28</v>
      </c>
      <c r="G49" s="3604"/>
      <c r="H49" s="2310" t="s">
        <v>2134</v>
      </c>
      <c r="I49" s="2311"/>
      <c r="J49" s="3458">
        <v>4</v>
      </c>
      <c r="K49" s="3573" t="str">
        <f>IF(项目基本情况!E8="房地产抵押价值","房地产抵押价值","抵押担保权已注销时的房地产抵押价值")</f>
        <v>房地产抵押价值</v>
      </c>
      <c r="L49" s="3573"/>
      <c r="M49" s="3576" t="str">
        <f ca="1">IF(项目基本情况!E8="房地产抵押价值",H107,H109)</f>
        <v>——</v>
      </c>
      <c r="N49" s="3576"/>
      <c r="O49" s="3576"/>
    </row>
    <row r="50" spans="1:35" ht="25.5" customHeight="1">
      <c r="A50" s="2551"/>
      <c r="B50" s="3621" t="s">
        <v>1344</v>
      </c>
      <c r="C50" s="3621"/>
      <c r="D50" s="2552"/>
      <c r="E50" s="332"/>
      <c r="F50" s="3451"/>
      <c r="G50" s="3605"/>
      <c r="H50" s="2312" t="s">
        <v>2135</v>
      </c>
      <c r="I50" s="2311"/>
      <c r="J50" s="3572" t="s">
        <v>1345</v>
      </c>
      <c r="K50" s="3572"/>
      <c r="L50" s="3572"/>
      <c r="M50" s="3572"/>
      <c r="N50" s="3572"/>
      <c r="O50" s="3572"/>
    </row>
    <row r="51" spans="1:35" ht="20.45" customHeight="1">
      <c r="A51" s="2553"/>
      <c r="B51" s="3621" t="s">
        <v>1346</v>
      </c>
      <c r="C51" s="3621"/>
      <c r="D51" s="1087"/>
      <c r="E51" s="327"/>
      <c r="F51" s="3451"/>
      <c r="G51" s="3606"/>
      <c r="H51" s="2312" t="s">
        <v>2136</v>
      </c>
      <c r="I51" s="2311"/>
      <c r="J51" s="3452" t="s">
        <v>1347</v>
      </c>
      <c r="K51" s="3573" t="s">
        <v>1348</v>
      </c>
      <c r="L51" s="3573"/>
      <c r="M51" s="3452" t="s">
        <v>1349</v>
      </c>
      <c r="N51" s="3452" t="s">
        <v>1350</v>
      </c>
      <c r="O51" s="3452" t="s">
        <v>1351</v>
      </c>
    </row>
    <row r="52" spans="1:35" ht="24" customHeight="1">
      <c r="A52" s="3470" t="s">
        <v>1352</v>
      </c>
      <c r="B52" s="3621" t="s">
        <v>1353</v>
      </c>
      <c r="C52" s="3621"/>
      <c r="D52" s="1087" t="e">
        <f ca="1">ROUND(D45*'数据-取费表'!B41/(1+'数据-取费表'!C42),0)</f>
        <v>#REF!</v>
      </c>
      <c r="E52" s="3468" t="s">
        <v>1354</v>
      </c>
      <c r="F52" s="2554">
        <f>'数据-取费表'!B41</f>
        <v>5.6000000000000001E-2</v>
      </c>
      <c r="G52" s="2555"/>
      <c r="H52" s="2544"/>
      <c r="I52" s="1807"/>
      <c r="J52" s="3458">
        <v>1</v>
      </c>
      <c r="K52" s="3598" t="s">
        <v>1355</v>
      </c>
      <c r="L52" s="3598"/>
      <c r="M52" s="2525" t="b">
        <f>D48</f>
        <v>0</v>
      </c>
      <c r="N52" s="3458" t="str">
        <f>E48</f>
        <v>销售额×税（费）率</v>
      </c>
      <c r="O52" s="2526">
        <f>F48</f>
        <v>5.6000000000000001E-2</v>
      </c>
    </row>
    <row r="53" spans="1:35" ht="12" customHeight="1">
      <c r="A53" s="3470" t="s">
        <v>1356</v>
      </c>
      <c r="B53" s="3622" t="s">
        <v>2291</v>
      </c>
      <c r="C53" s="3623"/>
      <c r="D53" s="1087" t="e">
        <f ca="1">ROUND(D45*'数据-取费表'!B41/(1+'数据-取费表'!C42),0)</f>
        <v>#REF!</v>
      </c>
      <c r="E53" s="3468" t="s">
        <v>1354</v>
      </c>
      <c r="F53" s="2554">
        <f>'数据-取费表'!B41</f>
        <v>5.6000000000000001E-2</v>
      </c>
      <c r="G53" s="2555"/>
      <c r="H53" s="2544"/>
      <c r="I53" s="1807"/>
      <c r="J53" s="3458">
        <v>2</v>
      </c>
      <c r="K53" s="3598" t="s">
        <v>1357</v>
      </c>
      <c r="L53" s="3598"/>
      <c r="M53" s="2525" t="e">
        <f t="shared" ref="M53:O54" ca="1" si="0">D55</f>
        <v>#REF!</v>
      </c>
      <c r="N53" s="3458" t="str">
        <f t="shared" si="0"/>
        <v>销售额×税（费）率</v>
      </c>
      <c r="O53" s="2526" t="str">
        <f t="shared" si="0"/>
        <v>免征</v>
      </c>
    </row>
    <row r="54" spans="1:35" ht="12" customHeight="1">
      <c r="A54" s="3470" t="s">
        <v>1358</v>
      </c>
      <c r="B54" s="3622" t="s">
        <v>2292</v>
      </c>
      <c r="C54" s="3623"/>
      <c r="D54" s="1087" t="e">
        <f ca="1">C68</f>
        <v>#REF!</v>
      </c>
      <c r="E54" s="327" t="s">
        <v>1359</v>
      </c>
      <c r="F54" s="2554">
        <f>'数据-取费表'!B41</f>
        <v>5.6000000000000001E-2</v>
      </c>
      <c r="G54" s="2555"/>
      <c r="H54" s="2556"/>
      <c r="I54" s="1807"/>
      <c r="J54" s="3458">
        <v>3</v>
      </c>
      <c r="K54" s="3598" t="s">
        <v>1360</v>
      </c>
      <c r="L54" s="3598"/>
      <c r="M54" s="2525" t="e">
        <f t="shared" ca="1" si="0"/>
        <v>#REF!</v>
      </c>
      <c r="N54" s="3458" t="str">
        <f t="shared" si="0"/>
        <v>增值额×税（费）率</v>
      </c>
      <c r="O54" s="2527" t="str">
        <f t="shared" si="0"/>
        <v>免征</v>
      </c>
    </row>
    <row r="55" spans="1:35" ht="24" customHeight="1">
      <c r="A55" s="3658" t="s">
        <v>1361</v>
      </c>
      <c r="B55" s="3636"/>
      <c r="C55" s="3636"/>
      <c r="D55" s="3453" t="e">
        <f ca="1">IF(H55="个人住宅",0,ROUND(D45*I55,0))</f>
        <v>#REF!</v>
      </c>
      <c r="E55" s="3468" t="s">
        <v>1362</v>
      </c>
      <c r="F55" s="2554" t="str">
        <f>IF(H55="正常",I55,"免征")</f>
        <v>免征</v>
      </c>
      <c r="G55" s="2555"/>
      <c r="H55" s="2550"/>
      <c r="I55" s="165">
        <f>'数据-取费表'!B49</f>
        <v>5.0000000000000001E-4</v>
      </c>
      <c r="J55" s="3458">
        <f>IF(H59="非个人房产","",4)</f>
        <v>4</v>
      </c>
      <c r="K55" s="3598" t="str">
        <f>IF(H59="非个人房产","——","个人所得税")</f>
        <v>个人所得税</v>
      </c>
      <c r="L55" s="3598"/>
      <c r="M55" s="2528" t="e">
        <f ca="1">D59</f>
        <v>#REF!</v>
      </c>
      <c r="N55" s="3459" t="str">
        <f>E59</f>
        <v>差额计税</v>
      </c>
      <c r="O55" s="2529">
        <f>F59</f>
        <v>0.01</v>
      </c>
    </row>
    <row r="56" spans="1:35" ht="24.75">
      <c r="A56" s="3658" t="s">
        <v>1363</v>
      </c>
      <c r="B56" s="3636"/>
      <c r="C56" s="3636"/>
      <c r="D56" s="3453" t="e">
        <f ca="1">IF(H56="个人住宅",D57,D58)</f>
        <v>#REF!</v>
      </c>
      <c r="E56" s="3468" t="s">
        <v>1364</v>
      </c>
      <c r="F56" s="2554" t="str">
        <f>IF(H56="正常",F58,"免征")</f>
        <v>免征</v>
      </c>
      <c r="G56" s="2557" t="s">
        <v>1365</v>
      </c>
      <c r="H56" s="2558"/>
      <c r="I56" s="1808"/>
      <c r="J56" s="3458" t="str">
        <f>IF(项目基本情况!K6="上海银行",IF(J55="",4,J55+1),"")</f>
        <v/>
      </c>
      <c r="K56" s="3579" t="str">
        <f>IF(项目基本情况!K6="上海银行","其他处置费用","")</f>
        <v/>
      </c>
      <c r="L56" s="3580"/>
      <c r="M56" s="2525" t="str">
        <f>IF(项目基本情况!K6="上海银行",M69,"")</f>
        <v/>
      </c>
      <c r="N56" s="3579" t="str">
        <f>IF(项目基本情况!K6="上海银行","包含处置中涉及的律师、诉讼、拍卖、评估等费用","")</f>
        <v/>
      </c>
      <c r="O56" s="3582"/>
    </row>
    <row r="57" spans="1:35" ht="12.75">
      <c r="A57" s="3470" t="s">
        <v>1341</v>
      </c>
      <c r="B57" s="3622" t="s">
        <v>1366</v>
      </c>
      <c r="C57" s="3623"/>
      <c r="D57" s="1590">
        <v>0</v>
      </c>
      <c r="E57" s="324" t="s">
        <v>1343</v>
      </c>
      <c r="F57" s="302"/>
      <c r="G57" s="2555"/>
      <c r="H57" s="2559"/>
      <c r="I57" s="1808"/>
      <c r="J57" s="3598">
        <f>IF(AND(J55="",J56=""),4,IF(项目基本情况!K6="上海银行",'结果表 (2)'!J56+1,'结果表 (2)'!J55+1))</f>
        <v>5</v>
      </c>
      <c r="K57" s="3598" t="s">
        <v>1367</v>
      </c>
      <c r="L57" s="2530" t="s">
        <v>1368</v>
      </c>
      <c r="M57" s="2531"/>
      <c r="N57" s="2532">
        <f ca="1">SUMIF(M52:M56,"&lt;9e307")</f>
        <v>0</v>
      </c>
      <c r="O57" s="2533"/>
      <c r="P57" s="2690" t="e">
        <f ca="1">N57/M49</f>
        <v>#VALUE!</v>
      </c>
    </row>
    <row r="58" spans="1:35" ht="24.75">
      <c r="A58" s="3470" t="s">
        <v>1352</v>
      </c>
      <c r="B58" s="3622" t="s">
        <v>1369</v>
      </c>
      <c r="C58" s="3621"/>
      <c r="D58" s="3453" t="e">
        <f ca="1">IF(H58="转让取得",C81,C97)</f>
        <v>#REF!</v>
      </c>
      <c r="E58" s="3468" t="s">
        <v>1364</v>
      </c>
      <c r="F58" s="302" t="s">
        <v>28</v>
      </c>
      <c r="G58" s="2555"/>
      <c r="H58" s="2558"/>
      <c r="I58" s="1808"/>
      <c r="J58" s="3598"/>
      <c r="K58" s="3598"/>
      <c r="L58" s="2530" t="s">
        <v>1370</v>
      </c>
      <c r="M58" s="2534"/>
      <c r="N58" s="2535" t="str">
        <f ca="1">NUMBERSTRING(INT(N57*10000),2)&amp;"元整"</f>
        <v>零元整</v>
      </c>
      <c r="O58" s="2536"/>
    </row>
    <row r="59" spans="1:35" ht="24.75" thickBot="1">
      <c r="A59" s="3602" t="s">
        <v>1371</v>
      </c>
      <c r="B59" s="3603"/>
      <c r="C59" s="360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0">
        <f>J57+1</f>
        <v>6</v>
      </c>
      <c r="K59" s="3598" t="s">
        <v>1372</v>
      </c>
      <c r="L59" s="3458" t="s">
        <v>1368</v>
      </c>
      <c r="M59" s="2537"/>
      <c r="N59" s="2538" t="e">
        <f ca="1">M49-N57</f>
        <v>#VALUE!</v>
      </c>
      <c r="O59" s="2539"/>
    </row>
    <row r="60" spans="1:35" ht="12" customHeight="1">
      <c r="A60" s="1809"/>
      <c r="B60" s="1747"/>
      <c r="C60" s="1747"/>
      <c r="D60" s="1747"/>
      <c r="E60" s="1578"/>
      <c r="F60" s="1808"/>
      <c r="G60" s="1808"/>
      <c r="H60" s="1810"/>
      <c r="I60" s="129"/>
      <c r="J60" s="3601"/>
      <c r="K60" s="3598"/>
      <c r="L60" s="2530" t="s">
        <v>1370</v>
      </c>
      <c r="M60" s="2534"/>
      <c r="N60" s="2535" t="e">
        <f ca="1">NUMBERSTRING(INT(N59*10000),2)&amp;"元整"</f>
        <v>#VALUE!</v>
      </c>
      <c r="O60" s="2536"/>
    </row>
    <row r="61" spans="1:35" ht="13.5" thickBot="1">
      <c r="A61" s="3657" t="s">
        <v>1373</v>
      </c>
      <c r="B61" s="3657"/>
      <c r="C61" s="3657"/>
      <c r="D61" s="3657"/>
      <c r="E61" s="3657"/>
      <c r="F61" s="1808"/>
      <c r="G61" s="1808"/>
      <c r="H61" s="1810"/>
      <c r="I61" s="129"/>
      <c r="J61" s="3458">
        <f>J59+1</f>
        <v>7</v>
      </c>
      <c r="K61" s="3598" t="s">
        <v>1374</v>
      </c>
      <c r="L61" s="3598"/>
      <c r="M61" s="2540"/>
      <c r="N61" s="2541" t="e">
        <f ca="1">ROUND(N59*10000/'数据-汇总表'!E3,0)</f>
        <v>#VALUE!</v>
      </c>
      <c r="O61" s="2542"/>
    </row>
    <row r="62" spans="1:35" ht="12.75">
      <c r="A62" s="3617" t="s">
        <v>1375</v>
      </c>
      <c r="B62" s="3618"/>
      <c r="C62" s="3463"/>
      <c r="D62" s="3463"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1" t="s">
        <v>1379</v>
      </c>
      <c r="K63" s="3454" t="s">
        <v>1380</v>
      </c>
      <c r="L63" s="3454"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1"/>
      <c r="K64" s="3454" t="s">
        <v>1382</v>
      </c>
      <c r="L64" s="3454"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81"/>
      <c r="K65" s="3454" t="s">
        <v>1385</v>
      </c>
      <c r="L65" s="3454"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81"/>
      <c r="K66" s="3454" t="s">
        <v>1387</v>
      </c>
      <c r="L66" s="3454"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1"/>
      <c r="K67" s="3454" t="s">
        <v>1390</v>
      </c>
      <c r="L67" s="3454"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1"/>
      <c r="K68" s="3454" t="s">
        <v>1392</v>
      </c>
      <c r="L68" s="3454"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81"/>
      <c r="K69" s="3454" t="s">
        <v>1393</v>
      </c>
      <c r="L69" s="3454"/>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5" t="s">
        <v>1394</v>
      </c>
      <c r="B70" s="3626"/>
      <c r="C70" s="3626"/>
      <c r="D70" s="3626"/>
      <c r="E70" s="3626"/>
      <c r="F70" s="3626"/>
      <c r="G70" s="3626"/>
      <c r="H70" s="362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7" t="s">
        <v>1375</v>
      </c>
      <c r="B71" s="3618"/>
      <c r="C71" s="3463"/>
      <c r="D71" s="3463"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3465"/>
      <c r="F72" s="3464"/>
      <c r="G72" s="3464"/>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3465"/>
      <c r="F73" s="3464"/>
      <c r="G73" s="3464"/>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5"/>
      <c r="F74" s="3464"/>
      <c r="G74" s="3464"/>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2" t="s">
        <v>1402</v>
      </c>
      <c r="F76" s="3621"/>
      <c r="G76" s="3621"/>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53" t="s">
        <v>1404</v>
      </c>
      <c r="F77" s="186"/>
      <c r="G77" s="1822"/>
      <c r="H77" s="3466"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14" t="s">
        <v>1406</v>
      </c>
      <c r="F78" s="3615"/>
      <c r="G78" s="3615"/>
      <c r="H78" s="361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3465"/>
      <c r="F79" s="3464"/>
      <c r="G79" s="3464"/>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3453" t="e">
        <f ca="1">IF(C80&gt;=200%,"增值额超过扣除项目金额200%",IF(C80&gt;=100%,"增值额超过扣除项目金额100%，未超过200%",IF(C80&gt;=50%,"增值额超过扣除项目金额50%，未超过100%",IF(C80&lt;50%,"增值额未超过扣除项目金额50%"))))</f>
        <v>#REF!</v>
      </c>
      <c r="F80" s="3464"/>
      <c r="G80" s="3464"/>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5" t="s">
        <v>1410</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7" t="s">
        <v>1375</v>
      </c>
      <c r="B84" s="3618"/>
      <c r="C84" s="3463"/>
      <c r="D84" s="3463"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3465"/>
      <c r="F85" s="3464"/>
      <c r="G85" s="3464"/>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3465"/>
      <c r="F86" s="3464"/>
      <c r="G86" s="3464"/>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60"/>
      <c r="F87" s="3461"/>
      <c r="G87" s="3461"/>
      <c r="H87" s="3462"/>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61"/>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61"/>
      <c r="G89" s="3461"/>
      <c r="H89" s="3462"/>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61"/>
      <c r="G90" s="3583" t="s">
        <v>2129</v>
      </c>
      <c r="H90" s="358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4" t="s">
        <v>1419</v>
      </c>
      <c r="F91" s="3615"/>
      <c r="G91" s="361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4" t="s">
        <v>1422</v>
      </c>
      <c r="F92" s="3615"/>
      <c r="G92" s="3615"/>
      <c r="H92" s="361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14" t="s">
        <v>1406</v>
      </c>
      <c r="F93" s="3615"/>
      <c r="G93" s="3615"/>
      <c r="H93" s="361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9" t="s">
        <v>1426</v>
      </c>
      <c r="F94" s="3660"/>
      <c r="G94" s="3660"/>
      <c r="H94" s="36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3465"/>
      <c r="F95" s="3464"/>
      <c r="G95" s="3464"/>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3453" t="e">
        <f ca="1">IF(C96&gt;=200%,"增值额超过扣除项目金额200%",IF(C96&gt;=100%,"增值额超过扣除项目金额100%，未超过200%",IF(C96&gt;=50%,"增值额超过扣除项目金额50%，未超过100%",IF(C96&lt;50%,"增值额未超过扣除项目金额50%"))))</f>
        <v>#REF!</v>
      </c>
      <c r="F96" s="3464"/>
      <c r="G96" s="3464"/>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4" t="s">
        <v>1428</v>
      </c>
      <c r="B100" s="3565"/>
      <c r="C100" s="3565"/>
      <c r="D100" s="3599"/>
      <c r="E100" s="3565" t="s">
        <v>1429</v>
      </c>
      <c r="F100" s="3565"/>
      <c r="G100" s="3565"/>
      <c r="H100" s="3599"/>
      <c r="I100" s="129"/>
    </row>
    <row r="101" spans="1:35" ht="18.75" customHeight="1">
      <c r="A101" s="3607" t="s">
        <v>1430</v>
      </c>
      <c r="B101" s="3608"/>
      <c r="C101" s="2585" t="str">
        <f>C4</f>
        <v>比较法-办公</v>
      </c>
      <c r="D101" s="2586" t="str">
        <f>D4</f>
        <v>收益法</v>
      </c>
      <c r="E101" s="3577" t="s">
        <v>1431</v>
      </c>
      <c r="F101" s="3578"/>
      <c r="G101" s="1827" t="s">
        <v>1432</v>
      </c>
      <c r="H101" s="2595" t="e">
        <f ca="1">H118</f>
        <v>#REF!</v>
      </c>
      <c r="I101" s="129"/>
    </row>
    <row r="102" spans="1:35" ht="18.75" customHeight="1">
      <c r="A102" s="3609" t="s">
        <v>1433</v>
      </c>
      <c r="B102" s="2584" t="s">
        <v>1432</v>
      </c>
      <c r="C102" s="2585">
        <f ca="1">IF(D32="楼面单价",ROUND(C19,0),C19)</f>
        <v>295712</v>
      </c>
      <c r="D102" s="2586">
        <f ca="1">IF(D32="楼面单价",ROUND(D19,0),D19)</f>
        <v>525539</v>
      </c>
      <c r="E102" s="3577"/>
      <c r="F102" s="3578"/>
      <c r="G102" s="1827" t="s">
        <v>1434</v>
      </c>
      <c r="H102" s="2555" t="e">
        <f ca="1">I118</f>
        <v>#REF!</v>
      </c>
      <c r="I102" s="129"/>
    </row>
    <row r="103" spans="1:35" ht="42.75" customHeight="1">
      <c r="A103" s="3609"/>
      <c r="B103" s="2584" t="s">
        <v>1434</v>
      </c>
      <c r="C103" s="2587">
        <f ca="1">C20</f>
        <v>45000</v>
      </c>
      <c r="D103" s="2588">
        <f ca="1">D20</f>
        <v>63703</v>
      </c>
      <c r="E103" s="3570" t="s">
        <v>1435</v>
      </c>
      <c r="F103" s="3571"/>
      <c r="G103" s="1828" t="s">
        <v>1436</v>
      </c>
      <c r="H103" s="2595">
        <f>IF(D36="正常操作",H104+H105+H106,H105+H106)</f>
        <v>0</v>
      </c>
      <c r="I103" s="129"/>
    </row>
    <row r="104" spans="1:35" ht="18.75" customHeight="1">
      <c r="A104" s="360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0" t="str">
        <f>IF(项目基本情况!E8="已注销","——","3.房地产抵押价值")</f>
        <v>3.房地产抵押价值</v>
      </c>
      <c r="F107" s="3578"/>
      <c r="G107" s="1827" t="s">
        <v>1432</v>
      </c>
      <c r="H107" s="2595" t="e">
        <f ca="1">IF(E107="——","——",H101-H103)</f>
        <v>#REF!</v>
      </c>
      <c r="I107" s="129"/>
    </row>
    <row r="108" spans="1:35" ht="18.75" customHeight="1">
      <c r="A108" s="129"/>
      <c r="B108" s="129"/>
      <c r="C108" s="129"/>
      <c r="D108" s="129"/>
      <c r="E108" s="3610"/>
      <c r="F108" s="3578"/>
      <c r="G108" s="1827" t="s">
        <v>1434</v>
      </c>
      <c r="H108" s="2555">
        <f ca="1">IF(H107=H101,H102,ROUND(H107*10000/'数据-汇总表'!E3,0))</f>
        <v>0</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7" t="s">
        <v>1432</v>
      </c>
      <c r="H109" s="2598" t="str">
        <f>IF(E109="——","——",H101-H105-H106)</f>
        <v>——</v>
      </c>
      <c r="I109" s="129"/>
    </row>
    <row r="110" spans="1:35" ht="18.75" customHeight="1">
      <c r="A110" s="129"/>
      <c r="B110" s="129"/>
      <c r="C110" s="129"/>
      <c r="D110" s="129"/>
      <c r="E110" s="3610"/>
      <c r="F110" s="3578"/>
      <c r="G110" s="1827" t="s">
        <v>1434</v>
      </c>
      <c r="H110" s="2555"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v>
      </c>
      <c r="F111" s="3597"/>
      <c r="G111" s="1827" t="s">
        <v>1432</v>
      </c>
      <c r="H111" s="2595" t="str">
        <f>IF(E111="——","——",N59)</f>
        <v>——</v>
      </c>
      <c r="I111" s="129"/>
    </row>
    <row r="112" spans="1:35" ht="18.75" customHeight="1" thickBot="1">
      <c r="A112" s="129"/>
      <c r="B112" s="129"/>
      <c r="C112" s="129"/>
      <c r="D112" s="129"/>
      <c r="E112" s="3612"/>
      <c r="F112" s="3613"/>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5" t="s">
        <v>1443</v>
      </c>
      <c r="B116" s="3589" t="s">
        <v>1444</v>
      </c>
      <c r="C116" s="3589" t="s">
        <v>1445</v>
      </c>
      <c r="D116" s="3595" t="s">
        <v>1446</v>
      </c>
      <c r="E116" s="3596"/>
      <c r="F116" s="3627" t="s">
        <v>1447</v>
      </c>
      <c r="G116" s="3627"/>
      <c r="H116" s="3585" t="s">
        <v>1448</v>
      </c>
      <c r="I116" s="3585"/>
    </row>
    <row r="117" spans="1:27" ht="18.75" customHeight="1">
      <c r="A117" s="3585"/>
      <c r="B117" s="3590"/>
      <c r="C117" s="3590"/>
      <c r="D117" s="3456" t="s">
        <v>1449</v>
      </c>
      <c r="E117" s="3456" t="s">
        <v>1450</v>
      </c>
      <c r="F117" s="3456" t="s">
        <v>1449</v>
      </c>
      <c r="G117" s="3456" t="s">
        <v>1451</v>
      </c>
      <c r="H117" s="3456" t="s">
        <v>1449</v>
      </c>
      <c r="I117" s="3456" t="s">
        <v>1451</v>
      </c>
    </row>
    <row r="118" spans="1:27" ht="24.75" customHeight="1">
      <c r="A118" s="2600" t="str">
        <f>项目基本情况!S2</f>
        <v>北京市房地产</v>
      </c>
      <c r="B118" s="3456">
        <f>M18</f>
        <v>87936.610000000015</v>
      </c>
      <c r="C118" s="3456">
        <f>M19</f>
        <v>16321.07</v>
      </c>
      <c r="D118" s="3456" t="e">
        <f ca="1">ROUND(IF(D32="总价",C34,E118*B118/10000),0)</f>
        <v>#REF!</v>
      </c>
      <c r="E118" s="3456" t="e">
        <f ca="1">ROUND(IF(C33="自定义",IF(D32="楼面单价",C34,D118*10000/B118),I118-G118),0)</f>
        <v>#REF!</v>
      </c>
      <c r="F118" s="3456" t="e">
        <f ca="1">ROUND(IF(D32="总价",C35,G118*B118/10000),0)</f>
        <v>#REF!</v>
      </c>
      <c r="G118" s="3456" t="e">
        <f ca="1">ROUND(IF(D32="楼面单价",C35,F118*10000/B118),0)</f>
        <v>#REF!</v>
      </c>
      <c r="H118" s="3456" t="e">
        <f ca="1">ROUND(IF(D32="总价",C32,I118*B118/10000),0)</f>
        <v>#REF!</v>
      </c>
      <c r="I118" s="3456" t="e">
        <f ca="1">ROUND(IF(D32="楼面单价",C32,H118*10000/B118),0)</f>
        <v>#REF!</v>
      </c>
    </row>
    <row r="119" spans="1:27" ht="18.75" customHeight="1">
      <c r="A119" s="3585" t="s">
        <v>1452</v>
      </c>
      <c r="B119" s="3585"/>
      <c r="C119" s="3585"/>
      <c r="D119" s="3591" t="e">
        <f ca="1">NUMBERSTRING(INT(D118*10000),2)&amp;"元整"</f>
        <v>#REF!</v>
      </c>
      <c r="E119" s="3592"/>
      <c r="F119" s="3591" t="e">
        <f ca="1">NUMBERSTRING(INT(F118*10000),2)&amp;"元整"</f>
        <v>#REF!</v>
      </c>
      <c r="G119" s="3592"/>
      <c r="H119" s="3591" t="e">
        <f ca="1">NUMBERSTRING(INT(H118*10000),2)&amp;"元整"</f>
        <v>#REF!</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1" t="s">
        <v>1452</v>
      </c>
      <c r="B121" s="3593"/>
      <c r="C121" s="3592"/>
      <c r="D121" s="3591" t="str">
        <f>IF(D120=0,"零元整",NUMBERSTRING(INT(D120*10000),2)&amp;"元整")</f>
        <v>零元整</v>
      </c>
      <c r="E121" s="3593"/>
      <c r="F121" s="3593"/>
      <c r="G121" s="3593"/>
      <c r="H121" s="3593"/>
      <c r="I121" s="3592"/>
      <c r="AA121" s="725"/>
    </row>
    <row r="122" spans="1:27" ht="18.75" customHeight="1">
      <c r="A122" s="3597" t="str">
        <f>IF(项目基本情况!B9="房地产市场价值","",MID(E107,3,LEN(E107)-2))</f>
        <v>房地产抵押价值</v>
      </c>
      <c r="B122" s="3597"/>
      <c r="C122" s="3597"/>
      <c r="D122" s="3586" t="e">
        <f ca="1">H107</f>
        <v>#REF!</v>
      </c>
      <c r="E122" s="3587"/>
      <c r="F122" s="3587"/>
      <c r="G122" s="3587"/>
      <c r="H122" s="3587"/>
      <c r="I122" s="3588"/>
      <c r="AA122" s="725"/>
    </row>
    <row r="123" spans="1:27" ht="18.75" customHeight="1">
      <c r="A123" s="3585" t="s">
        <v>1452</v>
      </c>
      <c r="B123" s="3585"/>
      <c r="C123" s="3585"/>
      <c r="D123" s="3591" t="e">
        <f ca="1">NUMBERSTRING(INT(D122*10000),2)&amp;"元整"</f>
        <v>#REF!</v>
      </c>
      <c r="E123" s="3593"/>
      <c r="F123" s="3593"/>
      <c r="G123" s="3593"/>
      <c r="H123" s="3593"/>
      <c r="I123" s="3592"/>
      <c r="AA123" s="725"/>
    </row>
    <row r="124" spans="1:27" ht="18.75" customHeight="1">
      <c r="A124" s="3597" t="str">
        <f>IF(项目基本情况!B9="房地产市场价值","",MID(E109,3,LEN(E109)-2))</f>
        <v/>
      </c>
      <c r="B124" s="3597"/>
      <c r="C124" s="3597"/>
      <c r="D124" s="3586" t="str">
        <f>H109</f>
        <v>——</v>
      </c>
      <c r="E124" s="3587"/>
      <c r="F124" s="3587"/>
      <c r="G124" s="3587"/>
      <c r="H124" s="3587"/>
      <c r="I124" s="3588"/>
      <c r="AA124" s="725"/>
    </row>
    <row r="125" spans="1:27" ht="18.75" customHeight="1">
      <c r="A125" s="3585" t="s">
        <v>1452</v>
      </c>
      <c r="B125" s="3585"/>
      <c r="C125" s="3585"/>
      <c r="D125" s="3591" t="e">
        <f>NUMBERSTRING(INT(D124*10000),2)&amp;"元整"</f>
        <v>#VALUE!</v>
      </c>
      <c r="E125" s="3593"/>
      <c r="F125" s="3593"/>
      <c r="G125" s="3593"/>
      <c r="H125" s="3593"/>
      <c r="I125" s="3592"/>
      <c r="AA125" s="725"/>
    </row>
    <row r="126" spans="1:27" ht="18.75" customHeight="1">
      <c r="A126" s="3597" t="str">
        <f>IF(项目基本情况!B9="房地产市场价值","",MID(E111,3,LEN(E111)-2))</f>
        <v/>
      </c>
      <c r="B126" s="3597"/>
      <c r="C126" s="3597"/>
      <c r="D126" s="3586" t="str">
        <f>H111</f>
        <v>——</v>
      </c>
      <c r="E126" s="3587"/>
      <c r="F126" s="3587"/>
      <c r="G126" s="3587"/>
      <c r="H126" s="3587"/>
      <c r="I126" s="3588"/>
      <c r="AA126" s="725"/>
    </row>
    <row r="127" spans="1:27" ht="18.75" customHeight="1">
      <c r="A127" s="3585" t="s">
        <v>1452</v>
      </c>
      <c r="B127" s="3585"/>
      <c r="C127" s="3585"/>
      <c r="D127" s="3591" t="e">
        <f>NUMBERSTRING(INT(D126*10000),2)&amp;"元整"</f>
        <v>#VALUE!</v>
      </c>
      <c r="E127" s="3593"/>
      <c r="F127" s="3593"/>
      <c r="G127" s="3593"/>
      <c r="H127" s="3593"/>
      <c r="I127" s="3592"/>
      <c r="AA127" s="725"/>
    </row>
    <row r="128" spans="1:27" ht="21.75" customHeight="1">
      <c r="A128" s="3594" t="s">
        <v>1453</v>
      </c>
      <c r="B128" s="3594"/>
      <c r="C128" s="3594"/>
      <c r="D128" s="3594"/>
      <c r="E128" s="3594"/>
      <c r="F128" s="3594"/>
      <c r="G128" s="3594"/>
      <c r="H128" s="3594"/>
      <c r="I128" s="359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91" priority="10" stopIfTrue="1" operator="equal">
      <formula>25</formula>
    </cfRule>
  </conditionalFormatting>
  <conditionalFormatting sqref="C8:C9">
    <cfRule type="cellIs" dxfId="190" priority="9" stopIfTrue="1" operator="equal">
      <formula>15</formula>
    </cfRule>
  </conditionalFormatting>
  <conditionalFormatting sqref="C14:C16">
    <cfRule type="cellIs" dxfId="189" priority="8" stopIfTrue="1" operator="equal">
      <formula>30</formula>
    </cfRule>
  </conditionalFormatting>
  <conditionalFormatting sqref="D5:D7">
    <cfRule type="cellIs" dxfId="188" priority="7" stopIfTrue="1" operator="equal">
      <formula>25</formula>
    </cfRule>
  </conditionalFormatting>
  <conditionalFormatting sqref="D8:D9">
    <cfRule type="cellIs" dxfId="187" priority="6" stopIfTrue="1" operator="equal">
      <formula>15</formula>
    </cfRule>
  </conditionalFormatting>
  <conditionalFormatting sqref="C10:D13">
    <cfRule type="cellIs" dxfId="186" priority="5" stopIfTrue="1" operator="equal">
      <formula>15</formula>
    </cfRule>
  </conditionalFormatting>
  <conditionalFormatting sqref="D14:D16">
    <cfRule type="cellIs" dxfId="185" priority="4"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1" t="str">
        <f>项目基本情况!B1</f>
        <v>北京市房地产抵押价值预评估</v>
      </c>
      <c r="C37" s="3481"/>
      <c r="D37" s="3481"/>
      <c r="E37" s="3481"/>
      <c r="F37" s="3481"/>
      <c r="G37" s="3481"/>
      <c r="H37" s="3481"/>
      <c r="I37" s="348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303337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34495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181428</v>
      </c>
      <c r="D5" s="211" t="s">
        <v>1469</v>
      </c>
      <c r="E5" s="212" t="s">
        <v>1470</v>
      </c>
      <c r="F5" s="212" t="s">
        <v>1471</v>
      </c>
      <c r="G5" s="213"/>
    </row>
    <row r="6" spans="1:9" s="214" customFormat="1" ht="13.5" customHeight="1">
      <c r="A6" s="778" t="s">
        <v>1472</v>
      </c>
      <c r="B6" s="215" t="s">
        <v>1473</v>
      </c>
      <c r="C6" s="216">
        <f>基准地价修正!B2</f>
        <v>174351</v>
      </c>
      <c r="D6" s="217"/>
      <c r="E6" s="218"/>
      <c r="F6" s="218"/>
      <c r="G6" s="219"/>
    </row>
    <row r="7" spans="1:9" s="214" customFormat="1" ht="13.5" customHeight="1">
      <c r="A7" s="778" t="s">
        <v>1474</v>
      </c>
      <c r="B7" s="215" t="s">
        <v>1475</v>
      </c>
      <c r="C7" s="220">
        <f>ROUND(C6*F7,0)</f>
        <v>5318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1759</v>
      </c>
      <c r="D8" s="222"/>
      <c r="E8" s="220"/>
      <c r="F8" s="221"/>
      <c r="G8" s="1856" t="s">
        <v>3414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3415</v>
      </c>
      <c r="H9" s="1137"/>
      <c r="I9" s="1858" t="s">
        <v>1479</v>
      </c>
    </row>
    <row r="10" spans="1:9" s="214" customFormat="1" ht="13.5" customHeight="1">
      <c r="A10" s="779" t="s">
        <v>356</v>
      </c>
      <c r="B10" s="224" t="s">
        <v>1480</v>
      </c>
      <c r="C10" s="225">
        <f ca="1">ROUND(D10*E10/10000,0)</f>
        <v>1759</v>
      </c>
      <c r="D10" s="845">
        <f ca="1">IF(B1="",'数据-汇总表'!E6,IF(INDIRECT("'数据-取费表'!c"&amp;$G$1)="住宅",INDIRECT("'数据-取费表'!s"&amp;$G$1),INDIRECT("'数据-取费表'!k"&amp;$G$1)+INDIRECT("'数据-取费表'!s"&amp;$G$1)))</f>
        <v>87936.610000000015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87936.610000000015</v>
      </c>
      <c r="E19" s="211">
        <f>'数据-取费表'!B31</f>
        <v>200</v>
      </c>
      <c r="F19" s="231"/>
      <c r="G19" s="1856" t="s">
        <v>3416</v>
      </c>
    </row>
    <row r="20" spans="1:7" s="214" customFormat="1" ht="13.5" customHeight="1">
      <c r="A20" s="255" t="s">
        <v>1493</v>
      </c>
      <c r="B20" s="210" t="s">
        <v>1494</v>
      </c>
      <c r="C20" s="232">
        <f ca="1">ROUND((C5+C19)*F20,0)</f>
        <v>3629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12859</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12734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125</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27759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27759</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244502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56895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52762</v>
      </c>
      <c r="D34" s="217"/>
      <c r="E34" s="220"/>
      <c r="F34" s="257">
        <f ca="1">IF('数据-取费表'!B24=0,1,IF(B1="",'数据-取费表'!N16,INDIRECT("'数据-取费表'!n"&amp;$G$1)))</f>
        <v>1</v>
      </c>
      <c r="G34" s="219" t="s">
        <v>1526</v>
      </c>
    </row>
    <row r="35" spans="1:7" ht="13.5" customHeight="1">
      <c r="A35" s="780" t="s">
        <v>351</v>
      </c>
      <c r="B35" s="215" t="s">
        <v>1527</v>
      </c>
      <c r="C35" s="220">
        <f ca="1">ROUND(C34*F35,0)</f>
        <v>1583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1759</v>
      </c>
      <c r="D37" s="217">
        <f ca="1">D19</f>
        <v>87936.610000000015</v>
      </c>
      <c r="E37" s="249">
        <f>'数据-取费表'!B35</f>
        <v>200</v>
      </c>
      <c r="F37" s="259"/>
      <c r="G37" s="261" t="s">
        <v>1532</v>
      </c>
    </row>
    <row r="38" spans="1:7" ht="13.5" customHeight="1">
      <c r="A38" s="780" t="s">
        <v>354</v>
      </c>
      <c r="B38" s="215" t="s">
        <v>1533</v>
      </c>
      <c r="C38" s="220">
        <f ca="1">ROUND(C34*F38,0)</f>
        <v>791</v>
      </c>
      <c r="D38" s="220"/>
      <c r="E38" s="220"/>
      <c r="F38" s="259">
        <f>'数据-取费表'!B36</f>
        <v>1.4999999999999999E-2</v>
      </c>
      <c r="G38" s="219" t="s">
        <v>1528</v>
      </c>
    </row>
    <row r="39" spans="1:7" s="214" customFormat="1" ht="13.5" customHeight="1">
      <c r="A39" s="255" t="s">
        <v>1534</v>
      </c>
      <c r="B39" s="210" t="s">
        <v>1535</v>
      </c>
      <c r="C39" s="232">
        <f ca="1">ROUND(C33*F20,0)</f>
        <v>1138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2002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1963</v>
      </c>
      <c r="D42" s="238"/>
      <c r="E42" s="238"/>
      <c r="F42" s="239"/>
      <c r="G42" s="3664" t="s">
        <v>1544</v>
      </c>
    </row>
    <row r="43" spans="1:7" ht="13.5" customHeight="1">
      <c r="A43" s="780" t="s">
        <v>347</v>
      </c>
      <c r="B43" s="215" t="s">
        <v>1545</v>
      </c>
      <c r="C43" s="238">
        <f ca="1">ROUND(IF('数据-取费表'!B22&lt;=1,C39*F22*'数据-取费表'!B21/2,C39*(POWER((1+F22),'数据-取费表'!B21/2)-1)),0)</f>
        <v>39</v>
      </c>
      <c r="D43" s="238"/>
      <c r="E43" s="238"/>
      <c r="F43" s="239"/>
      <c r="G43" s="3665"/>
    </row>
    <row r="44" spans="1:7" ht="13.5" customHeight="1">
      <c r="A44" s="780" t="s">
        <v>348</v>
      </c>
      <c r="B44" s="215" t="s">
        <v>1546</v>
      </c>
      <c r="C44" s="238">
        <f ca="1">ROUND(IF('数据-取费表'!B22&lt;=1,C40*F22*'数据-取费表'!B21/2,C40*(POWER((1+F22),'数据-取费表'!B21/2)-1)),4)</f>
        <v>6.9999999999999999E-4</v>
      </c>
      <c r="D44" s="238"/>
      <c r="E44" s="238"/>
      <c r="F44" s="239"/>
      <c r="G44" s="3666"/>
    </row>
    <row r="45" spans="1:7" s="214" customFormat="1" ht="13.5" customHeight="1">
      <c r="A45" s="255" t="s">
        <v>1547</v>
      </c>
      <c r="B45" s="244" t="s">
        <v>1513</v>
      </c>
      <c r="C45" s="245">
        <f ca="1">C46</f>
        <v>8705</v>
      </c>
      <c r="D45" s="235">
        <f ca="1">C47</f>
        <v>3.0000000000000001E-3</v>
      </c>
      <c r="E45" s="236" t="s">
        <v>1539</v>
      </c>
      <c r="F45" s="246">
        <f ca="1">F27</f>
        <v>0.15</v>
      </c>
      <c r="G45" s="247" t="s">
        <v>1548</v>
      </c>
    </row>
    <row r="46" spans="1:7" s="214" customFormat="1" ht="13.5" customHeight="1">
      <c r="A46" s="780" t="s">
        <v>346</v>
      </c>
      <c r="B46" s="248" t="s">
        <v>1549</v>
      </c>
      <c r="C46" s="249">
        <f ca="1">ROUND((C33+C39)*F27,0)</f>
        <v>8705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74475</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58835</v>
      </c>
      <c r="D51" s="232"/>
      <c r="E51" s="232"/>
      <c r="F51" s="264"/>
      <c r="G51" s="234" t="s">
        <v>1560</v>
      </c>
    </row>
    <row r="52" spans="1:7" s="208" customFormat="1" ht="16.5" thickBot="1">
      <c r="A52" s="265" t="s">
        <v>1561</v>
      </c>
      <c r="B52" s="266"/>
      <c r="C52" s="267">
        <f ca="1">C31+C51</f>
        <v>303337</v>
      </c>
      <c r="D52" s="266"/>
      <c r="E52" s="266"/>
      <c r="F52" s="266"/>
      <c r="G52" s="268"/>
    </row>
    <row r="55" spans="1:7" ht="15">
      <c r="B55" s="270" t="s">
        <v>1562</v>
      </c>
      <c r="C55" s="271"/>
    </row>
    <row r="56" spans="1:7">
      <c r="B56" s="273" t="s">
        <v>802</v>
      </c>
      <c r="C56" s="275">
        <f ca="1">1-C57</f>
        <v>0.80600000000000005</v>
      </c>
    </row>
    <row r="57" spans="1:7">
      <c r="B57" s="273" t="s">
        <v>803</v>
      </c>
      <c r="C57" s="274">
        <f ca="1">ROUND(C51/C52,3)</f>
        <v>0.19400000000000001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63575.155299999999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7230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17587322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17587322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17587322</v>
      </c>
      <c r="D10" s="845">
        <f ca="1">IF(B1="",'数据-汇总表'!E6,IF(INDIRECT("'数据-取费表'!c"&amp;$G$1)="住宅",INDIRECT("'数据-取费表'!s"&amp;$G$1),INDIRECT("'数据-取费表'!k"&amp;$G$1)+INDIRECT("'数据-取费表'!s"&amp;$G$1)))</f>
        <v>87936.610000000015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17587322</v>
      </c>
      <c r="D19" s="849">
        <f ca="1">D9+D10</f>
        <v>87936.610000000015</v>
      </c>
      <c r="E19" s="211">
        <f>'数据-取费表'!B31</f>
        <v>200</v>
      </c>
      <c r="F19" s="231"/>
      <c r="G19" s="1856"/>
    </row>
    <row r="20" spans="1:7" s="214" customFormat="1" ht="13.5" customHeight="1">
      <c r="A20" s="255" t="s">
        <v>1574</v>
      </c>
      <c r="B20" s="210" t="s">
        <v>1575</v>
      </c>
      <c r="C20" s="232">
        <f ca="1">ROUND((C5+C19)*F20,0)</f>
        <v>703493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2493189</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1234459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1234459</v>
      </c>
      <c r="D24" s="238"/>
      <c r="E24" s="238"/>
      <c r="F24" s="239"/>
      <c r="G24" s="240" t="s">
        <v>1586</v>
      </c>
    </row>
    <row r="25" spans="1:7" s="214" customFormat="1" ht="24">
      <c r="A25" s="780" t="s">
        <v>1476</v>
      </c>
      <c r="B25" s="215" t="s">
        <v>1587</v>
      </c>
      <c r="C25" s="1128">
        <f ca="1">ROUND(IF('数据-取费表'!B22&lt;=1,C20*F22*'数据-取费表'!B22/2,C20*(POWER((1+F22),'数据-取费表'!B22/2)-1)),0)</f>
        <v>24271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5381721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5381721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47403085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568949867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527619660</v>
      </c>
      <c r="D34" s="217"/>
      <c r="E34" s="220"/>
      <c r="F34" s="257"/>
      <c r="G34" s="219"/>
    </row>
    <row r="35" spans="1:7" ht="13.5" customHeight="1">
      <c r="A35" s="780" t="s">
        <v>351</v>
      </c>
      <c r="B35" s="215" t="s">
        <v>1527</v>
      </c>
      <c r="C35" s="220">
        <f ca="1">ROUND(C34*F35,0)</f>
        <v>15828590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17587322</v>
      </c>
      <c r="D37" s="217">
        <f ca="1">D19</f>
        <v>87936.610000000015</v>
      </c>
      <c r="E37" s="249">
        <f>'数据-取费表'!B35</f>
        <v>200</v>
      </c>
      <c r="F37" s="259"/>
      <c r="G37" s="261"/>
    </row>
    <row r="38" spans="1:7" ht="13.5" customHeight="1">
      <c r="A38" s="780" t="s">
        <v>354</v>
      </c>
      <c r="B38" s="215" t="s">
        <v>1533</v>
      </c>
      <c r="C38" s="220">
        <f ca="1">ROUND(C34*F38,0)</f>
        <v>7914295</v>
      </c>
      <c r="D38" s="220"/>
      <c r="E38" s="220"/>
      <c r="F38" s="259">
        <f>'数据-取费表'!B36</f>
        <v>1.4999999999999999E-2</v>
      </c>
      <c r="G38" s="219" t="s">
        <v>1528</v>
      </c>
    </row>
    <row r="39" spans="1:7" s="214" customFormat="1" ht="13.5" customHeight="1">
      <c r="A39" s="255" t="s">
        <v>1534</v>
      </c>
      <c r="B39" s="210" t="s">
        <v>1535</v>
      </c>
      <c r="C39" s="232">
        <f ca="1">ROUND(C33*F20,0)</f>
        <v>11378997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20021345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19628770</v>
      </c>
      <c r="D42" s="238"/>
      <c r="E42" s="238"/>
      <c r="F42" s="239"/>
      <c r="G42" s="3664" t="s">
        <v>1591</v>
      </c>
    </row>
    <row r="43" spans="1:7" ht="13.5" customHeight="1">
      <c r="A43" s="780" t="s">
        <v>347</v>
      </c>
      <c r="B43" s="215" t="s">
        <v>1545</v>
      </c>
      <c r="C43" s="238">
        <f ca="1">ROUND(IF('数据-取费表'!B22&lt;=1,C39*F22*'数据-取费表'!B20/2,C39*(POWER((1+F22),'数据-取费表'!B20/2)-1)),0)</f>
        <v>392575</v>
      </c>
      <c r="D43" s="238"/>
      <c r="E43" s="238"/>
      <c r="F43" s="239"/>
      <c r="G43" s="3665"/>
    </row>
    <row r="44" spans="1:7" ht="13.5" customHeight="1">
      <c r="A44" s="780" t="s">
        <v>348</v>
      </c>
      <c r="B44" s="215" t="s">
        <v>1546</v>
      </c>
      <c r="C44" s="238">
        <f ca="1">ROUND(IF('数据-取费表'!B22&lt;=1,C40*F22*'数据-取费表'!B20/2,C40*(POWER((1+F22),'数据-取费表'!B20/2)-1)),4)</f>
        <v>6.9999999999999999E-4</v>
      </c>
      <c r="D44" s="238"/>
      <c r="E44" s="238"/>
      <c r="F44" s="239"/>
      <c r="G44" s="3666"/>
    </row>
    <row r="45" spans="1:7" s="214" customFormat="1" ht="13.5" customHeight="1">
      <c r="A45" s="255" t="s">
        <v>1547</v>
      </c>
      <c r="B45" s="244" t="s">
        <v>1513</v>
      </c>
      <c r="C45" s="245">
        <f ca="1">C46</f>
        <v>87049330</v>
      </c>
      <c r="D45" s="235">
        <f ca="1">C47</f>
        <v>3.0000000000000001E-3</v>
      </c>
      <c r="E45" s="236" t="s">
        <v>1539</v>
      </c>
      <c r="F45" s="246">
        <f ca="1">F27</f>
        <v>0.15</v>
      </c>
      <c r="G45" s="247" t="s">
        <v>1548</v>
      </c>
    </row>
    <row r="46" spans="1:7" s="214" customFormat="1" ht="13.5" customHeight="1">
      <c r="A46" s="780" t="s">
        <v>346</v>
      </c>
      <c r="B46" s="248" t="s">
        <v>1549</v>
      </c>
      <c r="C46" s="249">
        <f ca="1">ROUND((C33+C39)*F27,0)</f>
        <v>87049330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744744896</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588348468</v>
      </c>
      <c r="D51" s="232"/>
      <c r="E51" s="232"/>
      <c r="F51" s="264"/>
      <c r="G51" s="234" t="s">
        <v>1560</v>
      </c>
    </row>
    <row r="52" spans="1:7" s="208" customFormat="1" ht="16.5" thickBot="1">
      <c r="A52" s="265" t="s">
        <v>1561</v>
      </c>
      <c r="B52" s="266"/>
      <c r="C52" s="267">
        <f ca="1">C31+C51</f>
        <v>635751553</v>
      </c>
      <c r="D52" s="266"/>
      <c r="E52" s="266"/>
      <c r="F52" s="266"/>
      <c r="G52" s="268"/>
    </row>
    <row r="55" spans="1:7" ht="15">
      <c r="B55" s="270" t="s">
        <v>1562</v>
      </c>
      <c r="C55" s="271"/>
    </row>
    <row r="56" spans="1:7">
      <c r="B56" s="273" t="s">
        <v>802</v>
      </c>
      <c r="C56" s="275">
        <f ca="1">1-C57</f>
        <v>7.4999999999999956E-2</v>
      </c>
    </row>
    <row r="57" spans="1:7">
      <c r="B57" s="273" t="s">
        <v>803</v>
      </c>
      <c r="C57" s="274">
        <f ca="1">ROUND(C51/C52,3)</f>
        <v>0.92500000000000004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87936.610000000015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87936.610000000015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1759</v>
      </c>
      <c r="D20" s="846">
        <f ca="1">IF(C1="",'数据-汇总表'!E6,IF(INDIRECT("'数据-取费表'!c"&amp;$K$1)="住宅",INDIRECT("'数据-取费表'!s"&amp;$K$1),INDIRECT("'数据-取费表'!k"&amp;$K$1)+INDIRECT("'数据-取费表'!s"&amp;$K$1)))</f>
        <v>87936.610000000015</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4" zoomScale="85" zoomScaleNormal="70" zoomScaleSheetLayoutView="85"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29.85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525539</v>
      </c>
      <c r="C2" s="1387" t="s">
        <v>805</v>
      </c>
      <c r="D2" s="1387"/>
      <c r="E2" s="1388"/>
      <c r="F2" s="1389"/>
      <c r="G2" s="2706"/>
      <c r="H2" s="2695"/>
      <c r="I2" s="2695"/>
      <c r="J2" s="2695"/>
      <c r="K2" s="2696"/>
      <c r="L2" s="2695"/>
      <c r="M2" s="2695"/>
    </row>
    <row r="3" spans="1:37" ht="18" customHeight="1" thickBot="1">
      <c r="A3" s="1390" t="s">
        <v>806</v>
      </c>
      <c r="B3" s="1391">
        <f ca="1">IF(ISERROR(B2*10000/F43),0,ROUND(B2*10000/F43,0))</f>
        <v>63703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33918</v>
      </c>
      <c r="D5" s="1364" t="s">
        <v>693</v>
      </c>
      <c r="E5" s="1071"/>
      <c r="F5" s="1072"/>
      <c r="G5" s="1384"/>
      <c r="H5" s="299">
        <v>1</v>
      </c>
      <c r="I5" s="300" t="s">
        <v>692</v>
      </c>
      <c r="J5" s="1070">
        <f ca="1">J6+J10+J12</f>
        <v>0</v>
      </c>
      <c r="K5" s="1364" t="s">
        <v>693</v>
      </c>
      <c r="L5" s="1071"/>
      <c r="M5" s="1072"/>
    </row>
    <row r="6" spans="1:37" ht="18" customHeight="1">
      <c r="A6" s="1069" t="s">
        <v>398</v>
      </c>
      <c r="B6" s="3669" t="s">
        <v>694</v>
      </c>
      <c r="C6" s="1074">
        <f ca="1">ROUND(F6*F8*F7*(1-F9)/10000,0)</f>
        <v>33876</v>
      </c>
      <c r="D6" s="155" t="s">
        <v>2109</v>
      </c>
      <c r="E6" s="302" t="s">
        <v>696</v>
      </c>
      <c r="F6" s="303">
        <f ca="1">INDIRECT("'数据-取费表'!u"&amp;$G$1)</f>
        <v>12.5</v>
      </c>
      <c r="G6" s="1384"/>
      <c r="H6" s="1069" t="s">
        <v>398</v>
      </c>
      <c r="I6" s="3669" t="s">
        <v>694</v>
      </c>
      <c r="J6" s="301">
        <f ca="1">ROUND(M6*M8*M7*(1-M9)/10000,0)</f>
        <v>0</v>
      </c>
      <c r="K6" s="155" t="s">
        <v>2108</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82498.680000000008</v>
      </c>
      <c r="G7" s="1384"/>
      <c r="H7" s="304"/>
      <c r="I7" s="3670"/>
      <c r="J7" s="306"/>
      <c r="K7" s="307"/>
      <c r="L7" s="302" t="s">
        <v>697</v>
      </c>
      <c r="M7" s="303">
        <f ca="1">F7</f>
        <v>82498.680000000008</v>
      </c>
    </row>
    <row r="8" spans="1:37" ht="18" customHeight="1">
      <c r="A8" s="304"/>
      <c r="B8" s="3670"/>
      <c r="C8" s="306"/>
      <c r="D8" s="307"/>
      <c r="E8" s="302" t="s">
        <v>698</v>
      </c>
      <c r="F8" s="303">
        <f ca="1">INDIRECT("'数据-取费表'!ai"&amp;$G$1)</f>
        <v>365</v>
      </c>
      <c r="G8" s="1384"/>
      <c r="H8" s="304"/>
      <c r="I8" s="3670"/>
      <c r="J8" s="306"/>
      <c r="K8" s="307"/>
      <c r="L8" s="302" t="s">
        <v>698</v>
      </c>
      <c r="M8" s="303">
        <f ca="1">INDIRECT("'数据-取费表'!ai"&amp;$G$1)</f>
        <v>365</v>
      </c>
    </row>
    <row r="9" spans="1:37" ht="18" customHeight="1">
      <c r="A9" s="304"/>
      <c r="B9" s="3671"/>
      <c r="C9" s="306"/>
      <c r="D9" s="307"/>
      <c r="E9" s="302" t="s">
        <v>699</v>
      </c>
      <c r="F9" s="312">
        <f ca="1">INDIRECT("'数据-取费表'!w"&amp;$G$1)</f>
        <v>0.1</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42</v>
      </c>
      <c r="D10" s="1366" t="s">
        <v>2117</v>
      </c>
      <c r="E10" s="313" t="s">
        <v>701</v>
      </c>
      <c r="F10" s="1116" t="s">
        <v>3397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55197</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49499</v>
      </c>
      <c r="D14" s="1345" t="s">
        <v>708</v>
      </c>
      <c r="E14" s="1342"/>
      <c r="F14" s="319"/>
      <c r="G14" s="1384"/>
      <c r="H14" s="982" t="s">
        <v>398</v>
      </c>
      <c r="I14" s="302" t="s">
        <v>709</v>
      </c>
      <c r="J14" s="21">
        <f ca="1">C29</f>
        <v>69869</v>
      </c>
      <c r="K14" s="12"/>
      <c r="L14" s="807"/>
      <c r="M14" s="808"/>
    </row>
    <row r="15" spans="1:37" s="1397" customFormat="1" ht="18" customHeight="1" thickBot="1">
      <c r="A15" s="982" t="s">
        <v>399</v>
      </c>
      <c r="B15" s="302" t="s">
        <v>710</v>
      </c>
      <c r="C15" s="21">
        <f ca="1">ROUND(C14*F15,0)</f>
        <v>1485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703</v>
      </c>
      <c r="K16" s="1087" t="s">
        <v>715</v>
      </c>
      <c r="L16" s="1088"/>
      <c r="M16" s="1072"/>
    </row>
    <row r="17" spans="1:37" s="1397" customFormat="1" ht="18" customHeight="1">
      <c r="A17" s="982" t="s">
        <v>681</v>
      </c>
      <c r="B17" s="302" t="s">
        <v>716</v>
      </c>
      <c r="C17" s="21">
        <f ca="1">ROUND(F17*(F43+INDIRECT("'数据-取费表'!S"&amp;$G$1))/10000,0)</f>
        <v>1650</v>
      </c>
      <c r="D17" s="302" t="s">
        <v>717</v>
      </c>
      <c r="E17" s="302" t="s">
        <v>718</v>
      </c>
      <c r="F17" s="23">
        <f>'数据-取费表'!B35</f>
        <v>200</v>
      </c>
      <c r="G17" s="1396"/>
      <c r="H17" s="982" t="s">
        <v>398</v>
      </c>
      <c r="I17" s="302" t="s">
        <v>719</v>
      </c>
      <c r="J17" s="2316">
        <f ca="1">ROUND(IF(AND(项目基本情况!B11="自然人",项目基本情况!B10="北京市"),J6*M17/(1+'数据-取费表'!C42),J18+J19+J20),2)</f>
        <v>4.59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742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53376</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1068</v>
      </c>
      <c r="D20" s="323" t="s">
        <v>729</v>
      </c>
      <c r="E20" s="302" t="s">
        <v>712</v>
      </c>
      <c r="F20" s="322">
        <f>'数据-取费表'!B37</f>
        <v>0.02</v>
      </c>
      <c r="G20" s="1396"/>
      <c r="H20" s="982" t="s">
        <v>680</v>
      </c>
      <c r="I20" s="155" t="s">
        <v>730</v>
      </c>
      <c r="J20" s="22">
        <f ca="1">ROUND(M20*M21/10000,2)</f>
        <v>4.59</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15311.79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698.69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1878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-703</v>
      </c>
      <c r="K25" s="1095" t="s">
        <v>753</v>
      </c>
      <c r="L25" s="1096"/>
      <c r="M25" s="1097"/>
    </row>
    <row r="26" spans="1:37">
      <c r="A26" s="982" t="s">
        <v>397</v>
      </c>
      <c r="B26" s="302" t="s">
        <v>754</v>
      </c>
      <c r="C26" s="21">
        <f ca="1">ROUND((C19+C20)*F26,0)</f>
        <v>8167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69869</v>
      </c>
      <c r="D29" s="1092"/>
      <c r="E29" s="1090"/>
      <c r="F29" s="1093"/>
      <c r="G29" s="1396"/>
      <c r="H29" s="334" t="s">
        <v>396</v>
      </c>
      <c r="I29" s="335" t="s">
        <v>768</v>
      </c>
      <c r="J29" s="336">
        <f ca="1">ROUND(J26/(1+F40)^F41,0)</f>
        <v>0</v>
      </c>
      <c r="K29" s="337" t="s">
        <v>769</v>
      </c>
      <c r="L29" s="338"/>
      <c r="M29" s="339">
        <f ca="1">INDIRECT("'数据-取费表'!k"&amp;$G$1)</f>
        <v>82498.680000000008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6776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5682.85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1806.72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3871.54</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4.59</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15311.79</v>
      </c>
      <c r="G35" s="1384"/>
      <c r="H35" s="2697"/>
      <c r="I35" s="1398"/>
      <c r="J35" s="1399"/>
      <c r="K35" s="2701"/>
      <c r="L35" s="2700"/>
      <c r="M35" s="2700"/>
    </row>
    <row r="36" spans="1:18" ht="18" customHeight="1">
      <c r="A36" s="1102" t="s">
        <v>402</v>
      </c>
      <c r="B36" s="302" t="s">
        <v>738</v>
      </c>
      <c r="C36" s="21">
        <f ca="1">ROUND(C29*F36,2)</f>
        <v>698.69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55.2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339.18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27142</v>
      </c>
      <c r="D39" s="1095" t="s">
        <v>773</v>
      </c>
      <c r="E39" s="1096"/>
      <c r="F39" s="1097"/>
      <c r="G39" s="1384"/>
      <c r="H39" s="2700"/>
      <c r="I39" s="1398"/>
      <c r="J39" s="1399"/>
      <c r="K39" s="2704"/>
      <c r="L39" s="2700"/>
      <c r="M39" s="2700"/>
    </row>
    <row r="40" spans="1:18" ht="18" customHeight="1">
      <c r="A40" s="299" t="s">
        <v>395</v>
      </c>
      <c r="B40" s="300" t="s">
        <v>774</v>
      </c>
      <c r="C40" s="301">
        <f ca="1">ROUND(C39*(1-((1+F42)/(1+F40))^F41)/(F40-F42),0)</f>
        <v>522312</v>
      </c>
      <c r="D40" s="324" t="s">
        <v>758</v>
      </c>
      <c r="E40" s="302" t="s">
        <v>759</v>
      </c>
      <c r="F40" s="312">
        <f ca="1">INDIRECT("'数据-取费表'!I"&amp;$G$1)</f>
        <v>5.5E-2</v>
      </c>
      <c r="G40" s="1384"/>
      <c r="H40" s="1461">
        <f ca="1">C39/F7/365*10000</f>
        <v>9.0136768049642058</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29.85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63312</v>
      </c>
      <c r="D43" s="337" t="s">
        <v>777</v>
      </c>
      <c r="E43" s="338" t="s">
        <v>778</v>
      </c>
      <c r="F43" s="339">
        <f ca="1">INDIRECT("'数据-取费表'!k"&amp;$G$1)</f>
        <v>82498.680000000008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-533321</v>
      </c>
      <c r="D46" s="1406" t="str">
        <f>C2</f>
        <v>万元</v>
      </c>
      <c r="E46" s="1400"/>
      <c r="F46" s="1400"/>
      <c r="I46" s="1407" t="s">
        <v>810</v>
      </c>
      <c r="J46" s="1408"/>
      <c r="K46" s="1409"/>
      <c r="L46" s="1410">
        <f ca="1">IF(M47="住宅",0,IF(L48&gt;J51,L60,J60))</f>
        <v>3227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522312</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29.85</v>
      </c>
      <c r="O48" s="1418" t="s">
        <v>404</v>
      </c>
      <c r="P48" s="1419" t="s">
        <v>821</v>
      </c>
      <c r="Q48" s="1420">
        <f ca="1">J60</f>
        <v>3227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2004</v>
      </c>
      <c r="K49" s="1423" t="s">
        <v>824</v>
      </c>
      <c r="L49" s="1427"/>
      <c r="O49" s="1428" t="s">
        <v>405</v>
      </c>
      <c r="P49" s="1419" t="s">
        <v>825</v>
      </c>
      <c r="Q49" s="1420">
        <f ca="1">C29</f>
        <v>69869</v>
      </c>
      <c r="R49" s="1420" t="s">
        <v>818</v>
      </c>
    </row>
    <row r="50" spans="1:18" s="1384" customFormat="1" ht="13.5" thickBot="1">
      <c r="A50" s="976"/>
      <c r="B50" s="979"/>
      <c r="C50" s="1118"/>
      <c r="D50" s="953"/>
      <c r="E50" s="1056" t="s">
        <v>697</v>
      </c>
      <c r="F50" s="1057">
        <f ca="1">F7</f>
        <v>82498.680000000008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41</v>
      </c>
      <c r="K51" s="1434" t="s">
        <v>830</v>
      </c>
      <c r="L51" s="1435">
        <f ca="1">ROUND(-PV(INDIRECT("'数据-取费表'!h"&amp;$G$1),J51,(C39-C13*C76),0),0)</f>
        <v>402582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29.85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29.85</v>
      </c>
      <c r="K53" s="3667" t="s">
        <v>837</v>
      </c>
      <c r="L53" s="3668"/>
      <c r="O53" s="1418" t="s">
        <v>409</v>
      </c>
      <c r="P53" s="1419" t="s">
        <v>838</v>
      </c>
      <c r="Q53" s="1420">
        <f ca="1">Q47+Q48</f>
        <v>525539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0.186</v>
      </c>
      <c r="K55" s="1445" t="s">
        <v>841</v>
      </c>
      <c r="L55" s="1446"/>
      <c r="O55" s="1411" t="s">
        <v>811</v>
      </c>
      <c r="P55" s="1412" t="s">
        <v>812</v>
      </c>
      <c r="Q55" s="1413" t="s">
        <v>813</v>
      </c>
      <c r="R55" s="1413" t="s">
        <v>814</v>
      </c>
    </row>
    <row r="56" spans="1:18" s="1384" customFormat="1" ht="25.5" thickTop="1" thickBot="1">
      <c r="A56" s="957">
        <v>2</v>
      </c>
      <c r="B56" s="958" t="s">
        <v>704</v>
      </c>
      <c r="C56" s="232">
        <f ca="1">C13</f>
        <v>55197</v>
      </c>
      <c r="D56" s="1447"/>
      <c r="E56" s="1448"/>
      <c r="F56" s="1440"/>
      <c r="I56" s="1449" t="s">
        <v>842</v>
      </c>
      <c r="J56" s="1450" t="s">
        <v>3400</v>
      </c>
      <c r="K56" s="1421" t="s">
        <v>843</v>
      </c>
      <c r="L56" s="1424" t="str">
        <f ca="1">IF(L48&lt;J51,"——",L48-J53)</f>
        <v>——</v>
      </c>
      <c r="O56" s="1418" t="s">
        <v>403</v>
      </c>
      <c r="P56" s="1419" t="s">
        <v>817</v>
      </c>
      <c r="Q56" s="1420">
        <f ca="1">C40+J29</f>
        <v>522312</v>
      </c>
      <c r="R56" s="1420" t="s">
        <v>818</v>
      </c>
    </row>
    <row r="57" spans="1:18" s="1384" customFormat="1" ht="24.75" thickBot="1">
      <c r="A57" s="1451"/>
      <c r="B57" s="950" t="s">
        <v>767</v>
      </c>
      <c r="C57" s="238">
        <f ca="1">C29</f>
        <v>69869</v>
      </c>
      <c r="D57" s="1452"/>
      <c r="E57" s="1453"/>
      <c r="F57" s="1454"/>
      <c r="I57" s="1455" t="s">
        <v>844</v>
      </c>
      <c r="J57" s="1456">
        <f ca="1">IF(OR(M47="住宅",J51&lt;L48,J56="是"),"——",J51-L48)</f>
        <v>11.149999999999999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759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5</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27948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3227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4.59</v>
      </c>
      <c r="D62" s="965" t="s">
        <v>786</v>
      </c>
      <c r="E62" s="950" t="s">
        <v>787</v>
      </c>
      <c r="F62" s="325">
        <f t="shared" si="0"/>
        <v>3</v>
      </c>
      <c r="I62" s="1462" t="s">
        <v>858</v>
      </c>
      <c r="J62" s="1463" t="s">
        <v>859</v>
      </c>
      <c r="K62" s="1463" t="s">
        <v>860</v>
      </c>
      <c r="L62" s="1463" t="s">
        <v>861</v>
      </c>
      <c r="M62" s="1464" t="s">
        <v>862</v>
      </c>
      <c r="O62" s="1418" t="s">
        <v>409</v>
      </c>
      <c r="P62" s="1419" t="s">
        <v>863</v>
      </c>
      <c r="Q62" s="1420">
        <f ca="1">Q56+Q57</f>
        <v>522312</v>
      </c>
      <c r="R62" s="1420" t="s">
        <v>410</v>
      </c>
    </row>
    <row r="63" spans="1:18" s="1384" customFormat="1" ht="13.5" thickBot="1">
      <c r="A63" s="326"/>
      <c r="B63" s="956"/>
      <c r="C63" s="26"/>
      <c r="D63" s="966"/>
      <c r="E63" s="950" t="s">
        <v>788</v>
      </c>
      <c r="F63" s="303">
        <f t="shared" ca="1" si="0"/>
        <v>15311.79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698.69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55.2</v>
      </c>
      <c r="D65" s="964" t="s">
        <v>743</v>
      </c>
      <c r="E65" s="950" t="s">
        <v>744</v>
      </c>
      <c r="F65" s="330">
        <f t="shared" ca="1" si="0"/>
        <v>1E-3</v>
      </c>
      <c r="I65" s="1462" t="s">
        <v>867</v>
      </c>
      <c r="J65" s="1463">
        <v>40</v>
      </c>
      <c r="K65" s="1463">
        <v>30</v>
      </c>
      <c r="L65" s="1463">
        <v>50</v>
      </c>
      <c r="M65" s="1465">
        <v>0.02</v>
      </c>
      <c r="O65" s="1418" t="s">
        <v>403</v>
      </c>
      <c r="P65" s="1419" t="s">
        <v>868</v>
      </c>
      <c r="Q65" s="1420">
        <f ca="1">C40+J29</f>
        <v>522312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-759</v>
      </c>
      <c r="D67" s="963" t="s">
        <v>753</v>
      </c>
      <c r="E67" s="968"/>
      <c r="F67" s="969"/>
      <c r="O67" s="1428" t="s">
        <v>405</v>
      </c>
      <c r="P67" s="1419" t="s">
        <v>850</v>
      </c>
      <c r="Q67" s="1466">
        <f ca="1">L51</f>
        <v>402582</v>
      </c>
      <c r="R67" s="1420" t="s">
        <v>870</v>
      </c>
    </row>
    <row r="68" spans="1:18" s="1384" customFormat="1" ht="16.5" thickBot="1">
      <c r="A68" s="947" t="s">
        <v>395</v>
      </c>
      <c r="B68" s="948" t="s">
        <v>774</v>
      </c>
      <c r="C68" s="301">
        <f ca="1">ROUND(C67*(1-((1+F70)/(1+F68))^F69)/(F68-F70),0)</f>
        <v>-11009</v>
      </c>
      <c r="D68" s="965" t="s">
        <v>758</v>
      </c>
      <c r="E68" s="950" t="s">
        <v>759</v>
      </c>
      <c r="F68" s="312">
        <f ca="1">F40</f>
        <v>5.5E-2</v>
      </c>
      <c r="O68" s="1428" t="s">
        <v>406</v>
      </c>
      <c r="P68" s="1467" t="s">
        <v>871</v>
      </c>
      <c r="Q68" s="1420">
        <f ca="1">ROUND(Q69-Q70*Q71,0)</f>
        <v>23278</v>
      </c>
      <c r="R68" s="1420" t="s">
        <v>414</v>
      </c>
    </row>
    <row r="69" spans="1:18" s="1384" customFormat="1" ht="13.5" thickBot="1">
      <c r="A69" s="951"/>
      <c r="B69" s="952"/>
      <c r="C69" s="306"/>
      <c r="D69" s="970" t="s">
        <v>762</v>
      </c>
      <c r="E69" s="950" t="s">
        <v>763</v>
      </c>
      <c r="F69" s="333">
        <f ca="1">F41</f>
        <v>29.85</v>
      </c>
      <c r="O69" s="1428" t="s">
        <v>411</v>
      </c>
      <c r="P69" s="1467" t="s">
        <v>872</v>
      </c>
      <c r="Q69" s="1420">
        <f ca="1">C39</f>
        <v>27142</v>
      </c>
      <c r="R69" s="1420" t="s">
        <v>818</v>
      </c>
    </row>
    <row r="70" spans="1:18" s="1384" customFormat="1" ht="13.5" thickBot="1">
      <c r="A70" s="954"/>
      <c r="B70" s="955"/>
      <c r="C70" s="310"/>
      <c r="D70" s="966"/>
      <c r="E70" s="950" t="s">
        <v>766</v>
      </c>
      <c r="F70" s="1054"/>
      <c r="O70" s="1428" t="s">
        <v>412</v>
      </c>
      <c r="P70" s="1467" t="s">
        <v>873</v>
      </c>
      <c r="Q70" s="1420">
        <f ca="1">C13</f>
        <v>55197</v>
      </c>
      <c r="R70" s="1420" t="s">
        <v>818</v>
      </c>
    </row>
    <row r="71" spans="1:18" s="1384" customFormat="1" ht="13.5" thickBot="1">
      <c r="A71" s="971" t="s">
        <v>396</v>
      </c>
      <c r="B71" s="972" t="s">
        <v>776</v>
      </c>
      <c r="C71" s="336">
        <f ca="1">ROUND(C68*10000/F71,0)</f>
        <v>-1334</v>
      </c>
      <c r="D71" s="973" t="s">
        <v>777</v>
      </c>
      <c r="E71" s="974" t="s">
        <v>778</v>
      </c>
      <c r="F71" s="339">
        <f ca="1">F43</f>
        <v>82498.680000000008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3864</v>
      </c>
      <c r="D75" s="1384"/>
      <c r="E75" s="1384"/>
      <c r="F75" s="1384"/>
      <c r="K75" s="1402"/>
      <c r="L75" s="1384"/>
      <c r="O75" s="1418" t="s">
        <v>409</v>
      </c>
      <c r="P75" s="1419" t="s">
        <v>838</v>
      </c>
      <c r="Q75" s="1420">
        <f ca="1">Q65+Q66</f>
        <v>522312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0.85799999999999998</v>
      </c>
    </row>
    <row r="80" spans="1:18">
      <c r="B80" s="340" t="s">
        <v>800</v>
      </c>
      <c r="C80" s="274">
        <f ca="1">ROUND(C75/C39,3)</f>
        <v>0.14199999999999999</v>
      </c>
    </row>
    <row r="81" spans="2:3">
      <c r="B81" s="270" t="s">
        <v>801</v>
      </c>
      <c r="C81" s="238"/>
    </row>
    <row r="82" spans="2:3">
      <c r="B82" s="273" t="s">
        <v>802</v>
      </c>
      <c r="C82" s="275">
        <f ca="1">1-C83</f>
        <v>0.89400000000000002</v>
      </c>
    </row>
    <row r="83" spans="2:3">
      <c r="B83" s="273" t="s">
        <v>803</v>
      </c>
      <c r="C83" s="274">
        <f ca="1">ROUND(C13/C40,3)</f>
        <v>0.106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1" priority="56">
      <formula>$L$48&gt;$J$51</formula>
    </cfRule>
  </conditionalFormatting>
  <conditionalFormatting sqref="I55 I60">
    <cfRule type="expression" dxfId="180" priority="57">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18" sqref="D1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3337</v>
      </c>
      <c r="D1" s="1362" t="s">
        <v>43</v>
      </c>
      <c r="E1" s="1363" t="s">
        <v>678</v>
      </c>
      <c r="F1" s="1062">
        <f ca="1">J53</f>
        <v>29.85</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4204</v>
      </c>
      <c r="C2" s="1387" t="s">
        <v>805</v>
      </c>
      <c r="D2" s="1387"/>
      <c r="E2" s="1388"/>
      <c r="F2" s="1389"/>
      <c r="G2" s="2706"/>
      <c r="H2" s="2695"/>
      <c r="I2" s="2695"/>
      <c r="J2" s="2695"/>
      <c r="K2" s="2696"/>
      <c r="L2" s="2695"/>
      <c r="M2" s="2695"/>
    </row>
    <row r="3" spans="1:37" ht="18" customHeight="1" thickBot="1">
      <c r="A3" s="1390" t="s">
        <v>806</v>
      </c>
      <c r="B3" s="1391">
        <f ca="1">IF(ISERROR(B2*10000/F43),0,ROUND(B2*10000/F43,0))</f>
        <v>7731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268</v>
      </c>
      <c r="D5" s="1364" t="s">
        <v>693</v>
      </c>
      <c r="E5" s="1071"/>
      <c r="F5" s="1072"/>
      <c r="G5" s="1384"/>
      <c r="H5" s="299">
        <v>1</v>
      </c>
      <c r="I5" s="300" t="s">
        <v>692</v>
      </c>
      <c r="J5" s="1070">
        <f ca="1">J6+J10+J12</f>
        <v>0</v>
      </c>
      <c r="K5" s="1364" t="s">
        <v>693</v>
      </c>
      <c r="L5" s="1071"/>
      <c r="M5" s="1072"/>
    </row>
    <row r="6" spans="1:37" ht="18" customHeight="1">
      <c r="A6" s="1069" t="s">
        <v>398</v>
      </c>
      <c r="B6" s="3669" t="s">
        <v>694</v>
      </c>
      <c r="C6" s="1074">
        <f ca="1">ROUND(F6*F8*F7*(1-F9)/10000,0)</f>
        <v>268</v>
      </c>
      <c r="D6" s="155" t="s">
        <v>2109</v>
      </c>
      <c r="E6" s="302" t="s">
        <v>696</v>
      </c>
      <c r="F6" s="303">
        <f ca="1">INDIRECT("'数据-取费表'!u"&amp;$G$1)</f>
        <v>1600</v>
      </c>
      <c r="G6" s="1384"/>
      <c r="H6" s="1069" t="s">
        <v>398</v>
      </c>
      <c r="I6" s="3669" t="s">
        <v>694</v>
      </c>
      <c r="J6" s="301">
        <f ca="1">ROUND(M6*M8*M7*(1-M9)/10000,0)</f>
        <v>0</v>
      </c>
      <c r="K6" s="155" t="s">
        <v>2108</v>
      </c>
      <c r="L6" s="302" t="s">
        <v>696</v>
      </c>
      <c r="M6" s="303">
        <f ca="1">INDIRECT("'数据-取费表'!z"&amp;$G$1)</f>
        <v>0</v>
      </c>
    </row>
    <row r="7" spans="1:37" ht="18" customHeight="1">
      <c r="A7" s="1073"/>
      <c r="B7" s="3670"/>
      <c r="C7" s="1075"/>
      <c r="D7" s="307"/>
      <c r="E7" s="3455" t="s">
        <v>697</v>
      </c>
      <c r="F7" s="303">
        <f ca="1">IF(INDIRECT("'数据-取费表'!ah"&amp;$G$1)="",INDIRECT("'数据-取费表'!k"&amp;$G$1),INDIRECT("'数据-取费表'!ah"&amp;$G$1))</f>
        <v>155</v>
      </c>
      <c r="G7" s="1384"/>
      <c r="H7" s="304"/>
      <c r="I7" s="3670"/>
      <c r="J7" s="306"/>
      <c r="K7" s="307"/>
      <c r="L7" s="302" t="s">
        <v>697</v>
      </c>
      <c r="M7" s="303">
        <f ca="1">F7</f>
        <v>155</v>
      </c>
    </row>
    <row r="8" spans="1:37" ht="18" customHeight="1">
      <c r="A8" s="304"/>
      <c r="B8" s="3670"/>
      <c r="C8" s="306"/>
      <c r="D8" s="307"/>
      <c r="E8" s="302" t="s">
        <v>698</v>
      </c>
      <c r="F8" s="303">
        <f ca="1">INDIRECT("'数据-取费表'!ai"&amp;$G$1)</f>
        <v>12</v>
      </c>
      <c r="G8" s="1384"/>
      <c r="H8" s="304"/>
      <c r="I8" s="3670"/>
      <c r="J8" s="306"/>
      <c r="K8" s="307"/>
      <c r="L8" s="302" t="s">
        <v>698</v>
      </c>
      <c r="M8" s="303">
        <f ca="1">INDIRECT("'数据-取费表'!ai"&amp;$G$1)</f>
        <v>12</v>
      </c>
    </row>
    <row r="9" spans="1:37" ht="18" customHeight="1">
      <c r="A9" s="304"/>
      <c r="B9" s="3671"/>
      <c r="C9" s="306"/>
      <c r="D9" s="307"/>
      <c r="E9" s="302" t="s">
        <v>699</v>
      </c>
      <c r="F9" s="312">
        <f ca="1">INDIRECT("'数据-取费表'!w"&amp;$G$1)</f>
        <v>0.1</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3481</v>
      </c>
      <c r="D13" s="3449" t="s">
        <v>705</v>
      </c>
      <c r="E13" s="3449"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3263</v>
      </c>
      <c r="D14" s="3465" t="s">
        <v>708</v>
      </c>
      <c r="E14" s="3464"/>
      <c r="F14" s="319"/>
      <c r="G14" s="1384"/>
      <c r="H14" s="982" t="s">
        <v>398</v>
      </c>
      <c r="I14" s="302" t="s">
        <v>709</v>
      </c>
      <c r="J14" s="21">
        <f ca="1">C29</f>
        <v>4406</v>
      </c>
      <c r="K14" s="3453"/>
      <c r="L14" s="807"/>
      <c r="M14" s="808"/>
    </row>
    <row r="15" spans="1:37" s="1397" customFormat="1" ht="18" customHeight="1" thickBot="1">
      <c r="A15" s="982" t="s">
        <v>399</v>
      </c>
      <c r="B15" s="302" t="s">
        <v>710</v>
      </c>
      <c r="C15" s="21">
        <f ca="1">ROUND(C14*F15,0)</f>
        <v>98</v>
      </c>
      <c r="D15" s="3450" t="s">
        <v>711</v>
      </c>
      <c r="E15" s="345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22</v>
      </c>
      <c r="K16" s="1087" t="s">
        <v>715</v>
      </c>
      <c r="L16" s="3469"/>
      <c r="M16" s="1072"/>
    </row>
    <row r="17" spans="1:37" s="1397" customFormat="1" ht="18" customHeight="1">
      <c r="A17" s="982" t="s">
        <v>681</v>
      </c>
      <c r="B17" s="302" t="s">
        <v>716</v>
      </c>
      <c r="C17" s="21">
        <f ca="1">ROUND(F17*(F43+INDIRECT("'数据-取费表'!S"&amp;$G$1))/10000,0)</f>
        <v>109</v>
      </c>
      <c r="D17" s="302" t="s">
        <v>717</v>
      </c>
      <c r="E17" s="302" t="s">
        <v>718</v>
      </c>
      <c r="F17" s="23">
        <f>'数据-取费表'!B35</f>
        <v>200</v>
      </c>
      <c r="G17" s="1396"/>
      <c r="H17" s="982" t="s">
        <v>398</v>
      </c>
      <c r="I17" s="302" t="s">
        <v>719</v>
      </c>
      <c r="J17" s="2316">
        <f ca="1">ROUND(IF(AND(项目基本情况!B11="自然人",项目基本情况!B10="北京市"),J6*M17/(1+'数据-取费表'!C42),J18+J19+J20),2)</f>
        <v>0.3</v>
      </c>
      <c r="K17" s="3465" t="s">
        <v>720</v>
      </c>
      <c r="L17" s="3468"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49</v>
      </c>
      <c r="D18" s="302" t="s">
        <v>711</v>
      </c>
      <c r="E18" s="302" t="s">
        <v>712</v>
      </c>
      <c r="F18" s="322">
        <f>'数据-取费表'!B36</f>
        <v>1.4999999999999999E-2</v>
      </c>
      <c r="G18" s="1396"/>
      <c r="H18" s="982" t="s">
        <v>397</v>
      </c>
      <c r="I18" s="302" t="s">
        <v>723</v>
      </c>
      <c r="J18" s="21">
        <f ca="1">ROUND(J6*M18/(1+'数据-取费表'!C42),2)</f>
        <v>0</v>
      </c>
      <c r="K18" s="3468"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3519</v>
      </c>
      <c r="D19" s="131" t="s">
        <v>726</v>
      </c>
      <c r="E19" s="3472"/>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70</v>
      </c>
      <c r="D20" s="2428" t="s">
        <v>729</v>
      </c>
      <c r="E20" s="302" t="s">
        <v>712</v>
      </c>
      <c r="F20" s="322">
        <f>'数据-取费表'!B37</f>
        <v>0.02</v>
      </c>
      <c r="G20" s="1396"/>
      <c r="H20" s="982" t="s">
        <v>680</v>
      </c>
      <c r="I20" s="155" t="s">
        <v>730</v>
      </c>
      <c r="J20" s="22">
        <f ca="1">ROUND(M20*M21/10000,2)</f>
        <v>0.3</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1009.28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2"/>
      <c r="F22" s="23"/>
      <c r="G22" s="1384"/>
      <c r="H22" s="982" t="s">
        <v>402</v>
      </c>
      <c r="I22" s="302" t="s">
        <v>738</v>
      </c>
      <c r="J22" s="21">
        <f ca="1">ROUND(J14*M22,2)</f>
        <v>22.03</v>
      </c>
      <c r="K22" s="3468"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123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68"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ROUND(J5*M24,2)</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2"/>
      <c r="F25" s="23"/>
      <c r="G25" s="1384"/>
      <c r="H25" s="1079" t="s">
        <v>394</v>
      </c>
      <c r="I25" s="1094" t="s">
        <v>752</v>
      </c>
      <c r="J25" s="310">
        <f ca="1">J5-J16</f>
        <v>-22</v>
      </c>
      <c r="K25" s="1095" t="s">
        <v>753</v>
      </c>
      <c r="L25" s="1096"/>
      <c r="M25" s="1097"/>
    </row>
    <row r="26" spans="1:37">
      <c r="A26" s="982" t="s">
        <v>397</v>
      </c>
      <c r="B26" s="302" t="s">
        <v>754</v>
      </c>
      <c r="C26" s="21">
        <f ca="1">ROUND((C19+C20)*F26,0)</f>
        <v>359</v>
      </c>
      <c r="D26" s="2428"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2428" t="s">
        <v>761</v>
      </c>
      <c r="E27" s="345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4406</v>
      </c>
      <c r="D29" s="1092"/>
      <c r="E29" s="1090"/>
      <c r="F29" s="1093"/>
      <c r="G29" s="1396"/>
      <c r="H29" s="334" t="s">
        <v>396</v>
      </c>
      <c r="I29" s="335" t="s">
        <v>768</v>
      </c>
      <c r="J29" s="336">
        <f ca="1">ROUND(J26/(1+F40)^F41,0)</f>
        <v>0</v>
      </c>
      <c r="K29" s="337" t="s">
        <v>769</v>
      </c>
      <c r="L29" s="338"/>
      <c r="M29" s="339">
        <f ca="1">INDIRECT("'数据-取费表'!k"&amp;$G$1)</f>
        <v>5437.93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73</v>
      </c>
      <c r="D30" s="1087" t="s">
        <v>715</v>
      </c>
      <c r="E30" s="3469"/>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45.22</v>
      </c>
      <c r="D31" s="3465" t="s">
        <v>720</v>
      </c>
      <c r="E31" s="3468"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14.29</v>
      </c>
      <c r="D32" s="3468"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30.63</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0.3</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1009.28</v>
      </c>
      <c r="G35" s="1384"/>
      <c r="H35" s="2697"/>
      <c r="I35" s="1398"/>
      <c r="J35" s="1399"/>
      <c r="K35" s="2701"/>
      <c r="L35" s="2700"/>
      <c r="M35" s="2700"/>
    </row>
    <row r="36" spans="1:18" ht="18" customHeight="1">
      <c r="A36" s="1102" t="s">
        <v>402</v>
      </c>
      <c r="B36" s="302" t="s">
        <v>738</v>
      </c>
      <c r="C36" s="21">
        <f ca="1">ROUND(C29*F36,2)</f>
        <v>22.03</v>
      </c>
      <c r="D36" s="3468"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3.48</v>
      </c>
      <c r="D37" s="3468" t="s">
        <v>743</v>
      </c>
      <c r="E37" s="302" t="s">
        <v>712</v>
      </c>
      <c r="F37" s="330">
        <f ca="1">INDIRECT("'数据-取费表'!Al"&amp;$G$1)</f>
        <v>1E-3</v>
      </c>
      <c r="G37" s="1384"/>
      <c r="H37" s="2700"/>
      <c r="I37" s="1398"/>
      <c r="J37" s="1399"/>
      <c r="K37" s="2544"/>
      <c r="L37" s="2700"/>
      <c r="M37" s="2700"/>
    </row>
    <row r="38" spans="1:18" ht="18" customHeight="1" thickBot="1">
      <c r="A38" s="1089" t="s">
        <v>683</v>
      </c>
      <c r="B38" s="1090" t="s">
        <v>728</v>
      </c>
      <c r="C38" s="1091">
        <f ca="1">ROUND(C5*F38,2)</f>
        <v>2.68</v>
      </c>
      <c r="D38" s="1092" t="s">
        <v>748</v>
      </c>
      <c r="E38" s="1090" t="s">
        <v>712</v>
      </c>
      <c r="F38" s="1086">
        <f ca="1">INDIRECT("'数据-取费表'!Am"&amp;$G$1)</f>
        <v>0.01</v>
      </c>
      <c r="G38" s="1384"/>
      <c r="H38" s="2700"/>
      <c r="I38" s="1398"/>
      <c r="J38" s="1399"/>
      <c r="K38" s="2704"/>
      <c r="L38" s="2700"/>
      <c r="M38" s="2700"/>
    </row>
    <row r="39" spans="1:18" ht="24.6" customHeight="1" thickTop="1">
      <c r="A39" s="1079" t="s">
        <v>394</v>
      </c>
      <c r="B39" s="1094" t="s">
        <v>752</v>
      </c>
      <c r="C39" s="310">
        <f ca="1">C5-C30</f>
        <v>195</v>
      </c>
      <c r="D39" s="1095" t="s">
        <v>753</v>
      </c>
      <c r="E39" s="1096"/>
      <c r="F39" s="1097"/>
      <c r="G39" s="1384"/>
      <c r="H39" s="2700"/>
      <c r="I39" s="1398"/>
      <c r="J39" s="1399"/>
      <c r="K39" s="2704"/>
      <c r="L39" s="2700"/>
      <c r="M39" s="2700"/>
    </row>
    <row r="40" spans="1:18" ht="18" customHeight="1">
      <c r="A40" s="299" t="s">
        <v>395</v>
      </c>
      <c r="B40" s="300" t="s">
        <v>774</v>
      </c>
      <c r="C40" s="301">
        <f ca="1">ROUND(C39*(1-((1+F42)/(1+F40))^F41)/(F40-F42),0)</f>
        <v>4001</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29.85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7358</v>
      </c>
      <c r="D43" s="337" t="s">
        <v>777</v>
      </c>
      <c r="E43" s="338" t="s">
        <v>778</v>
      </c>
      <c r="F43" s="339">
        <f ca="1">INDIRECT("'数据-取费表'!k"&amp;$G$1)</f>
        <v>5437.93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-4400</v>
      </c>
      <c r="D46" s="1406" t="str">
        <f>C2</f>
        <v>万元</v>
      </c>
      <c r="E46" s="1400"/>
      <c r="F46" s="1400"/>
      <c r="I46" s="1407" t="s">
        <v>810</v>
      </c>
      <c r="J46" s="1408"/>
      <c r="K46" s="1409"/>
      <c r="L46" s="1410">
        <f ca="1">IF(M47="住宅",0,IF(L48&gt;J51,L60,J60))</f>
        <v>203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4001</v>
      </c>
      <c r="R47" s="1420" t="s">
        <v>818</v>
      </c>
    </row>
    <row r="48" spans="1:18" s="1384" customFormat="1" ht="28.5" thickBot="1">
      <c r="A48" s="1110" t="s">
        <v>438</v>
      </c>
      <c r="B48" s="300" t="s">
        <v>692</v>
      </c>
      <c r="C48" s="3471">
        <f ca="1">C49+C53+C55</f>
        <v>0</v>
      </c>
      <c r="D48" s="1112"/>
      <c r="E48" s="1113"/>
      <c r="F48" s="962"/>
      <c r="G48" s="722"/>
      <c r="H48" s="723"/>
      <c r="I48" s="1421" t="s">
        <v>819</v>
      </c>
      <c r="J48" s="1422" t="s">
        <v>3399</v>
      </c>
      <c r="K48" s="1423" t="s">
        <v>820</v>
      </c>
      <c r="L48" s="1424">
        <f ca="1">INDIRECT("'数据-取费表'!f"&amp;$G$1)</f>
        <v>29.85</v>
      </c>
      <c r="O48" s="1418" t="s">
        <v>404</v>
      </c>
      <c r="P48" s="1419" t="s">
        <v>821</v>
      </c>
      <c r="Q48" s="1420">
        <f ca="1">J60</f>
        <v>203</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2004</v>
      </c>
      <c r="K49" s="1423" t="s">
        <v>824</v>
      </c>
      <c r="L49" s="1427"/>
      <c r="O49" s="1428" t="s">
        <v>405</v>
      </c>
      <c r="P49" s="1419" t="s">
        <v>825</v>
      </c>
      <c r="Q49" s="1420">
        <f ca="1">C29</f>
        <v>4406</v>
      </c>
      <c r="R49" s="1420" t="s">
        <v>818</v>
      </c>
    </row>
    <row r="50" spans="1:18" s="1384" customFormat="1" ht="13.5" thickBot="1">
      <c r="A50" s="976"/>
      <c r="B50" s="979"/>
      <c r="C50" s="1118"/>
      <c r="D50" s="953"/>
      <c r="E50" s="1056" t="s">
        <v>697</v>
      </c>
      <c r="F50" s="1057">
        <f ca="1">F7</f>
        <v>155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41</v>
      </c>
      <c r="K51" s="1434" t="s">
        <v>830</v>
      </c>
      <c r="L51" s="1435">
        <f ca="1">ROUND(-PV(INDIRECT("'数据-取费表'!h"&amp;$G$1),J51,(C39-C13*C76),0),0)</f>
        <v>-904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29.85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29.85</v>
      </c>
      <c r="K53" s="3667" t="s">
        <v>837</v>
      </c>
      <c r="L53" s="3668"/>
      <c r="O53" s="1418" t="s">
        <v>409</v>
      </c>
      <c r="P53" s="1419" t="s">
        <v>838</v>
      </c>
      <c r="Q53" s="1420">
        <f ca="1">Q47+Q48</f>
        <v>4204</v>
      </c>
      <c r="R53" s="1420" t="s">
        <v>410</v>
      </c>
    </row>
    <row r="54" spans="1:18" s="1384" customFormat="1" ht="13.5" thickBot="1">
      <c r="A54" s="1153"/>
      <c r="B54" s="1367" t="s">
        <v>679</v>
      </c>
      <c r="C54" s="959"/>
      <c r="D54" s="1366"/>
      <c r="E54" s="3457"/>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7"/>
      <c r="F55" s="1440"/>
      <c r="I55" s="1443" t="s">
        <v>840</v>
      </c>
      <c r="J55" s="1444">
        <f ca="1">ROUND(IF(J47="钢混",J57/J50,1-(1-2%)*(J50-J57)/J50),3)</f>
        <v>0.186</v>
      </c>
      <c r="K55" s="1445" t="s">
        <v>841</v>
      </c>
      <c r="L55" s="1446"/>
      <c r="O55" s="1411" t="s">
        <v>811</v>
      </c>
      <c r="P55" s="1412" t="s">
        <v>812</v>
      </c>
      <c r="Q55" s="1413" t="s">
        <v>813</v>
      </c>
      <c r="R55" s="1413" t="s">
        <v>814</v>
      </c>
    </row>
    <row r="56" spans="1:18" s="1384" customFormat="1" ht="25.5" thickTop="1" thickBot="1">
      <c r="A56" s="957">
        <v>2</v>
      </c>
      <c r="B56" s="958" t="s">
        <v>704</v>
      </c>
      <c r="C56" s="232">
        <f ca="1">C13</f>
        <v>3481</v>
      </c>
      <c r="D56" s="1447"/>
      <c r="E56" s="1448"/>
      <c r="F56" s="1440"/>
      <c r="I56" s="1449" t="s">
        <v>842</v>
      </c>
      <c r="J56" s="1450" t="s">
        <v>3400</v>
      </c>
      <c r="K56" s="1421" t="s">
        <v>843</v>
      </c>
      <c r="L56" s="1424" t="str">
        <f ca="1">IF(L48&lt;J51,"——",L48-J53)</f>
        <v>——</v>
      </c>
      <c r="O56" s="1418" t="s">
        <v>403</v>
      </c>
      <c r="P56" s="1419" t="s">
        <v>817</v>
      </c>
      <c r="Q56" s="1420">
        <f ca="1">C40+J29</f>
        <v>4001</v>
      </c>
      <c r="R56" s="1420" t="s">
        <v>818</v>
      </c>
    </row>
    <row r="57" spans="1:18" s="1384" customFormat="1" ht="24.75" thickBot="1">
      <c r="A57" s="1451"/>
      <c r="B57" s="950" t="s">
        <v>767</v>
      </c>
      <c r="C57" s="238">
        <f ca="1">C29</f>
        <v>4406</v>
      </c>
      <c r="D57" s="1452"/>
      <c r="E57" s="1453"/>
      <c r="F57" s="1454"/>
      <c r="I57" s="1455" t="s">
        <v>844</v>
      </c>
      <c r="J57" s="1456">
        <f ca="1">IF(OR(M47="住宅",J51&lt;L48,J56="是"),"——",J51-L48)</f>
        <v>11.149999999999999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1762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203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0.3</v>
      </c>
      <c r="D62" s="965" t="s">
        <v>786</v>
      </c>
      <c r="E62" s="950" t="s">
        <v>732</v>
      </c>
      <c r="F62" s="325">
        <f t="shared" si="0"/>
        <v>3</v>
      </c>
      <c r="I62" s="1462" t="s">
        <v>858</v>
      </c>
      <c r="J62" s="1463" t="s">
        <v>859</v>
      </c>
      <c r="K62" s="1463" t="s">
        <v>860</v>
      </c>
      <c r="L62" s="1463" t="s">
        <v>861</v>
      </c>
      <c r="M62" s="1464" t="s">
        <v>862</v>
      </c>
      <c r="O62" s="1418" t="s">
        <v>409</v>
      </c>
      <c r="P62" s="1419" t="s">
        <v>863</v>
      </c>
      <c r="Q62" s="1420">
        <f ca="1">Q56+Q57</f>
        <v>4001</v>
      </c>
      <c r="R62" s="1420" t="s">
        <v>410</v>
      </c>
    </row>
    <row r="63" spans="1:18" s="1384" customFormat="1" ht="13.5" thickBot="1">
      <c r="A63" s="326"/>
      <c r="B63" s="956"/>
      <c r="C63" s="26"/>
      <c r="D63" s="966"/>
      <c r="E63" s="950" t="s">
        <v>736</v>
      </c>
      <c r="F63" s="303">
        <f t="shared" ca="1" si="0"/>
        <v>1009.28</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ROUND(C57*F64,2)</f>
        <v>22.03</v>
      </c>
      <c r="D64" s="964" t="s">
        <v>771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3.48</v>
      </c>
      <c r="D65" s="964" t="s">
        <v>743</v>
      </c>
      <c r="E65" s="950" t="s">
        <v>712</v>
      </c>
      <c r="F65" s="330">
        <f t="shared" ca="1" si="0"/>
        <v>1E-3</v>
      </c>
      <c r="I65" s="1462" t="s">
        <v>867</v>
      </c>
      <c r="J65" s="1463">
        <v>40</v>
      </c>
      <c r="K65" s="1463">
        <v>30</v>
      </c>
      <c r="L65" s="1463">
        <v>50</v>
      </c>
      <c r="M65" s="1465">
        <v>0.02</v>
      </c>
      <c r="O65" s="1418" t="s">
        <v>403</v>
      </c>
      <c r="P65" s="1419" t="s">
        <v>868</v>
      </c>
      <c r="Q65" s="1420">
        <f ca="1">C40+J29</f>
        <v>4001</v>
      </c>
      <c r="R65" s="1420" t="s">
        <v>818</v>
      </c>
    </row>
    <row r="66" spans="1:18" s="1384" customFormat="1" ht="16.5" thickBot="1">
      <c r="A66" s="982" t="s">
        <v>793</v>
      </c>
      <c r="B66" s="950" t="s">
        <v>728</v>
      </c>
      <c r="C66" s="21">
        <f ca="1">ROUND(C48*F66,2)</f>
        <v>0</v>
      </c>
      <c r="D66" s="964" t="s">
        <v>748</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-26</v>
      </c>
      <c r="D67" s="963" t="s">
        <v>753</v>
      </c>
      <c r="E67" s="968"/>
      <c r="F67" s="969"/>
      <c r="O67" s="1428" t="s">
        <v>405</v>
      </c>
      <c r="P67" s="1419" t="s">
        <v>850</v>
      </c>
      <c r="Q67" s="1466">
        <f ca="1">L51</f>
        <v>-904</v>
      </c>
      <c r="R67" s="1420" t="s">
        <v>870</v>
      </c>
    </row>
    <row r="68" spans="1:18" s="1384" customFormat="1" ht="16.5" thickBot="1">
      <c r="A68" s="947" t="s">
        <v>395</v>
      </c>
      <c r="B68" s="948" t="s">
        <v>774</v>
      </c>
      <c r="C68" s="301">
        <f ca="1">ROUND(C67*(1-((1+F70)/(1+F68))^F69)/(F68-F70),0)</f>
        <v>-399</v>
      </c>
      <c r="D68" s="965" t="s">
        <v>758</v>
      </c>
      <c r="E68" s="950" t="s">
        <v>759</v>
      </c>
      <c r="F68" s="312">
        <f ca="1">F40</f>
        <v>0.05</v>
      </c>
      <c r="O68" s="1428" t="s">
        <v>406</v>
      </c>
      <c r="P68" s="1467" t="s">
        <v>871</v>
      </c>
      <c r="Q68" s="1420">
        <f ca="1">ROUND(Q69-Q70*Q71,0)</f>
        <v>-49</v>
      </c>
      <c r="R68" s="1420" t="s">
        <v>414</v>
      </c>
    </row>
    <row r="69" spans="1:18" s="1384" customFormat="1" ht="13.5" thickBot="1">
      <c r="A69" s="951"/>
      <c r="B69" s="952"/>
      <c r="C69" s="306"/>
      <c r="D69" s="970" t="s">
        <v>762</v>
      </c>
      <c r="E69" s="950" t="s">
        <v>763</v>
      </c>
      <c r="F69" s="333">
        <f ca="1">F41</f>
        <v>29.85</v>
      </c>
      <c r="O69" s="1428" t="s">
        <v>411</v>
      </c>
      <c r="P69" s="1467" t="s">
        <v>872</v>
      </c>
      <c r="Q69" s="1420">
        <f ca="1">C39</f>
        <v>195</v>
      </c>
      <c r="R69" s="1420" t="s">
        <v>818</v>
      </c>
    </row>
    <row r="70" spans="1:18" s="1384" customFormat="1" ht="13.5" thickBot="1">
      <c r="A70" s="954"/>
      <c r="B70" s="955"/>
      <c r="C70" s="310"/>
      <c r="D70" s="966"/>
      <c r="E70" s="950" t="s">
        <v>766</v>
      </c>
      <c r="F70" s="1054"/>
      <c r="O70" s="1428" t="s">
        <v>412</v>
      </c>
      <c r="P70" s="1467" t="s">
        <v>873</v>
      </c>
      <c r="Q70" s="1420">
        <f ca="1">C13</f>
        <v>3481</v>
      </c>
      <c r="R70" s="1420" t="s">
        <v>818</v>
      </c>
    </row>
    <row r="71" spans="1:18" s="1384" customFormat="1" ht="13.5" thickBot="1">
      <c r="A71" s="971" t="s">
        <v>396</v>
      </c>
      <c r="B71" s="972" t="s">
        <v>776</v>
      </c>
      <c r="C71" s="336">
        <f ca="1">ROUND(C68*10000/F71,0)</f>
        <v>-734</v>
      </c>
      <c r="D71" s="973" t="s">
        <v>777</v>
      </c>
      <c r="E71" s="974" t="s">
        <v>778</v>
      </c>
      <c r="F71" s="339">
        <f ca="1">F43</f>
        <v>5437.93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244</v>
      </c>
      <c r="D75" s="1384"/>
      <c r="E75" s="1384"/>
      <c r="F75" s="1384"/>
      <c r="K75" s="1402"/>
      <c r="L75" s="1384"/>
      <c r="O75" s="1418" t="s">
        <v>409</v>
      </c>
      <c r="P75" s="1419" t="s">
        <v>838</v>
      </c>
      <c r="Q75" s="1420">
        <f ca="1">Q65+Q66</f>
        <v>4001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-0.25099999999999989</v>
      </c>
    </row>
    <row r="80" spans="1:18">
      <c r="B80" s="340" t="s">
        <v>800</v>
      </c>
      <c r="C80" s="274">
        <f ca="1">ROUND(C75/C39,3)</f>
        <v>1.2509999999999999</v>
      </c>
    </row>
    <row r="81" spans="2:3">
      <c r="B81" s="270" t="s">
        <v>801</v>
      </c>
      <c r="C81" s="238"/>
    </row>
    <row r="82" spans="2:3">
      <c r="B82" s="273" t="s">
        <v>802</v>
      </c>
      <c r="C82" s="275">
        <f ca="1">1-C83</f>
        <v>0.13</v>
      </c>
    </row>
    <row r="83" spans="2:3">
      <c r="B83" s="273" t="s">
        <v>803</v>
      </c>
      <c r="C83" s="274">
        <f ca="1">ROUND(C13/C40,3)</f>
        <v>0.87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2" sqref="B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529743</v>
      </c>
      <c r="C2" s="1872" t="s">
        <v>1651</v>
      </c>
      <c r="D2" s="1873" t="s">
        <v>1652</v>
      </c>
      <c r="E2" s="2607">
        <f>SUM(E6:E13)</f>
        <v>87936.610000000015</v>
      </c>
      <c r="F2" s="2707"/>
      <c r="G2" s="1489"/>
      <c r="H2" s="1489"/>
      <c r="I2" s="1489"/>
      <c r="J2" s="1489"/>
      <c r="K2" s="1489"/>
      <c r="L2" s="1489"/>
      <c r="M2" s="1489"/>
      <c r="N2" s="1489"/>
      <c r="O2" s="1489"/>
      <c r="P2" s="1489"/>
      <c r="Q2" s="1489"/>
      <c r="R2" s="1489"/>
      <c r="S2" s="1489"/>
    </row>
    <row r="3" spans="1:22" ht="15.75">
      <c r="A3" s="1870" t="s">
        <v>686</v>
      </c>
      <c r="B3" s="2601">
        <f ca="1">ROUND(B2*10000/E2,0)</f>
        <v>60241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2" t="s">
        <v>1654</v>
      </c>
      <c r="C5" s="367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525539</v>
      </c>
      <c r="C6" s="1872" t="s">
        <v>1651</v>
      </c>
      <c r="D6" s="2709"/>
      <c r="E6" s="2606">
        <f>IF(OR(A6=0,F6="否"),0,'数据-取费表'!K6+'数据-取费表'!S6)</f>
        <v>82498.680000000008</v>
      </c>
      <c r="F6" s="1876" t="s">
        <v>1657</v>
      </c>
      <c r="G6" s="1489"/>
      <c r="H6" s="1489"/>
      <c r="I6" s="1489"/>
      <c r="J6" s="1489"/>
      <c r="K6" s="1489"/>
      <c r="L6" s="1489"/>
      <c r="M6" s="1489"/>
      <c r="N6" s="1489"/>
      <c r="O6" s="1489"/>
      <c r="P6" s="1489"/>
      <c r="Q6" s="1489"/>
      <c r="R6" s="1489"/>
      <c r="S6" s="1489"/>
    </row>
    <row r="7" spans="1:22">
      <c r="A7" s="2604" t="str">
        <f>'数据-取费表'!AN7</f>
        <v>收益法(车库)</v>
      </c>
      <c r="B7" s="2602">
        <f ca="1">IF(F7="是",'数据-取费表'!AO7,0)</f>
        <v>4204</v>
      </c>
      <c r="C7" s="1872" t="s">
        <v>1651</v>
      </c>
      <c r="D7" s="2709"/>
      <c r="E7" s="2606">
        <f>IF(OR(A7=0,F7="否"),0,'数据-取费表'!K7+'数据-取费表'!S7)</f>
        <v>5437.93</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41" sqref="D4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79701.920000000013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174351</v>
      </c>
      <c r="C2" s="1999" t="s">
        <v>1935</v>
      </c>
      <c r="D2" s="2000" t="s">
        <v>1936</v>
      </c>
      <c r="E2" s="3422" t="s">
        <v>21</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Ⅱ—04</v>
      </c>
      <c r="J2" s="2002"/>
      <c r="K2" s="1119"/>
      <c r="L2" s="2003" t="s">
        <v>1939</v>
      </c>
      <c r="M2" s="864">
        <f>SUMPRODUCT((区片价!B10:B29=I2)*(区片价!C3:G3=E2)*(区片价!C10:G29))</f>
        <v>27660</v>
      </c>
      <c r="N2" s="866">
        <f>SUMPRODUCT((因素修正幅度!B10:B29=I2)*(因素修正幅度!C3:G3=E2)*(因素修正幅度!C10:G29))</f>
        <v>9.1999999999999998E-2</v>
      </c>
      <c r="O2" s="1119"/>
      <c r="P2" s="1119"/>
      <c r="Q2" s="1119"/>
      <c r="R2" s="1212">
        <v>1</v>
      </c>
      <c r="S2" s="3361">
        <f>ROUND(SUMPRODUCT((B106:B110=R2)*(C105:N105=G2)*(C106:N110)),4)</f>
        <v>1.5206</v>
      </c>
      <c r="T2" s="3361">
        <f t="shared" ref="T2:T16" si="0">ROUND($C$5*$C$22*$C$23*$C$24*S2*$C$28,0)</f>
        <v>38846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21875</v>
      </c>
      <c r="C3" s="1999" t="s">
        <v>1941</v>
      </c>
      <c r="D3" s="2000" t="s">
        <v>1942</v>
      </c>
      <c r="E3" s="3420" t="s">
        <v>3403</v>
      </c>
      <c r="F3" s="2004" t="s">
        <v>3404</v>
      </c>
      <c r="G3" s="752">
        <f>IF(F3="宗地容积率",'数据-汇总表'!I4,IF(F3="估价对象容积率",'数据-汇总表'!I6,'数据-汇总表'!I7))</f>
        <v>4.03</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30839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81"/>
      <c r="B4" s="3682"/>
      <c r="C4" s="3682"/>
      <c r="D4" s="3683"/>
      <c r="E4" s="3683"/>
      <c r="F4" s="3683"/>
      <c r="G4" s="3683"/>
      <c r="H4" s="3683"/>
      <c r="I4" s="3683"/>
      <c r="J4" s="368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26647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27629</v>
      </c>
      <c r="D5" s="1339">
        <f>ROUND(C6*C17+C20,0)</f>
        <v>27629</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24113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27660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22981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4.03</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78" t="s">
        <v>1960</v>
      </c>
      <c r="X8" s="367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80"/>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8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85" t="s">
        <v>3258</v>
      </c>
      <c r="B20" s="167" t="s">
        <v>1994</v>
      </c>
      <c r="C20" s="3325">
        <f>ROUND(IF(F21="与级别开发程度一致",0,(G21-E21)/C21),0)</f>
        <v>-31</v>
      </c>
      <c r="D20" s="3341" t="s">
        <v>1998</v>
      </c>
      <c r="E20" s="3342"/>
      <c r="F20" s="3691" t="s">
        <v>1995</v>
      </c>
      <c r="G20" s="3692"/>
      <c r="H20" s="3326" t="s">
        <v>3405</v>
      </c>
      <c r="I20" s="3326" t="s">
        <v>3406</v>
      </c>
      <c r="J20" s="3327" t="s">
        <v>3407</v>
      </c>
      <c r="K20" s="2047" t="s">
        <v>3408</v>
      </c>
      <c r="L20" s="2047" t="s">
        <v>3409</v>
      </c>
      <c r="M20" s="2047" t="s">
        <v>3410</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86"/>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3411</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4" t="s">
        <v>2002</v>
      </c>
      <c r="E23" s="761">
        <v>44197</v>
      </c>
      <c r="F23" s="2054" t="s">
        <v>2003</v>
      </c>
      <c r="G23" s="762">
        <f>'数据-取费表'!B2</f>
        <v>45239</v>
      </c>
      <c r="H23" s="3343" t="s">
        <v>3260</v>
      </c>
      <c r="I23" s="3344" t="str">
        <f>IF(H23="季度增幅（自定义）",SUMIF(N25:N28,E2,O25:O28),"")</f>
        <v/>
      </c>
      <c r="J23" s="3446" t="s">
        <v>3259</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0.85660000000000003</v>
      </c>
      <c r="D24" s="2060" t="s">
        <v>2007</v>
      </c>
      <c r="E24" s="1335">
        <f>存贷款利率!E24/100</f>
        <v>4.3499999999999997E-2</v>
      </c>
      <c r="F24" s="2060" t="s">
        <v>1999</v>
      </c>
      <c r="G24" s="768">
        <f>SUMIF(M30:Q30,E2,M33:Q33)</f>
        <v>5.5E-2</v>
      </c>
      <c r="H24" s="2060" t="s">
        <v>2008</v>
      </c>
      <c r="I24" s="769">
        <f>SUMIF('数据-取费表'!C6:C15,E2,'数据-取费表'!F6:F15)/COUNTIF('数据-取费表'!C6:C15,E2)</f>
        <v>29.85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0.98299999999999998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0.98299999999999998</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0.98380000000000001</v>
      </c>
      <c r="G26" s="752">
        <f>ROUNDUP(G3,1)</f>
        <v>4.0999999999999996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0.98099999999999998</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1.0498000000000001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174351</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2332</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25112</v>
      </c>
      <c r="D33" s="2098">
        <f>'数据-基础表'!I13</f>
        <v>65713.740000000005</v>
      </c>
      <c r="E33" s="773">
        <f>ROUND(C33*D33/10000,0)</f>
        <v>165020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6278</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9"/>
      <c r="B37" s="2113" t="s">
        <v>2036</v>
      </c>
      <c r="C37" s="175">
        <f>ROUND(D5*C22*C23*C24*C28*F37,0)</f>
        <v>17882</v>
      </c>
      <c r="D37" s="2098"/>
      <c r="E37" s="171">
        <f>ROUND(C37*D37/10000,0)</f>
        <v>0</v>
      </c>
      <c r="F37" s="171">
        <f>SUMIF(修正!A57:A68,G2,修正!B57:B68)</f>
        <v>0.7</v>
      </c>
      <c r="G37" s="171">
        <f>ROUND(IF(E2="工业",C37*$M$42,C37*$M$41),0)</f>
        <v>4471</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0"/>
      <c r="B38" s="2041" t="s">
        <v>2037</v>
      </c>
      <c r="C38" s="175">
        <f>ROUND(D5*C22*C23*C24*C28*F38,0)</f>
        <v>10219</v>
      </c>
      <c r="D38" s="2098"/>
      <c r="E38" s="171">
        <f t="shared" ref="E38:E42" si="4">ROUND(C38*D38/10000,0)</f>
        <v>0</v>
      </c>
      <c r="F38" s="171">
        <f>SUMIF(修正!A57:A68,G2,修正!C57:C68)</f>
        <v>0.4</v>
      </c>
      <c r="G38" s="171">
        <f>ROUND(IF(E2="工业",C38*$M$42,C38*$M$41),0)</f>
        <v>2555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90"/>
      <c r="B39" s="2041" t="s">
        <v>3263</v>
      </c>
      <c r="C39" s="175">
        <f>ROUND(D5*C22*C23*C24*C28*F39,0)</f>
        <v>7664</v>
      </c>
      <c r="D39" s="2098"/>
      <c r="E39" s="171">
        <f t="shared" si="4"/>
        <v>0</v>
      </c>
      <c r="F39" s="171">
        <f>SUMIF(修正!A57:A68,G2,修正!D57:D68)</f>
        <v>0.3</v>
      </c>
      <c r="G39" s="171">
        <f>ROUND(IF(E2="工业",C39*$M$42,C39*$M$41),0)</f>
        <v>1916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7664</v>
      </c>
      <c r="D40" s="2098">
        <f>'数据-取费表'!T22+'数据-取费表'!T23+'数据-取费表'!T24+'数据-取费表'!T25</f>
        <v>7956.5</v>
      </c>
      <c r="E40" s="171">
        <f t="shared" si="4"/>
        <v>6098</v>
      </c>
      <c r="F40" s="175">
        <f>SUMIF(修正!A57:A68,G2,修正!E57:E68)</f>
        <v>0.3</v>
      </c>
      <c r="G40" s="171">
        <f>ROUND(IF(E2="工业",C40*$M$42,C40*$M$41),0)</f>
        <v>1916</v>
      </c>
      <c r="H40" s="171">
        <f t="shared" si="5"/>
        <v>7956.5</v>
      </c>
      <c r="I40" s="171">
        <f t="shared" si="6"/>
        <v>1524</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7664</v>
      </c>
      <c r="D41" s="2098">
        <f>'数据-取费表'!T26+'数据-取费表'!T27</f>
        <v>593.75</v>
      </c>
      <c r="E41" s="171">
        <f t="shared" si="4"/>
        <v>455</v>
      </c>
      <c r="F41" s="175">
        <f>SUMIF(修正!A57:A68,G2,修正!F57:F68)</f>
        <v>0.3</v>
      </c>
      <c r="G41" s="171">
        <f>ROUND(IF(E2="工业",C41*$M$42,C41*$M$41),0)</f>
        <v>1916</v>
      </c>
      <c r="H41" s="171">
        <f t="shared" si="5"/>
        <v>593.75</v>
      </c>
      <c r="I41" s="171">
        <f t="shared" si="6"/>
        <v>114</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5109</v>
      </c>
      <c r="D42" s="2103">
        <f>'数据-汇总表'!G20</f>
        <v>5437.93</v>
      </c>
      <c r="E42" s="187">
        <f t="shared" si="4"/>
        <v>2778</v>
      </c>
      <c r="F42" s="767">
        <f>SUMIF(修正!A57:A68,G2,修正!G57:G68)</f>
        <v>0.2</v>
      </c>
      <c r="G42" s="187">
        <f>ROUND(IF(E2="工业",C42*$M$42,C42*$M$41),0)</f>
        <v>1277</v>
      </c>
      <c r="H42" s="187">
        <f t="shared" si="5"/>
        <v>5437.93</v>
      </c>
      <c r="I42" s="187">
        <f t="shared" si="6"/>
        <v>694</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0.85660000000000003</v>
      </c>
      <c r="D44" s="171" t="s">
        <v>1999</v>
      </c>
      <c r="E44" s="2153">
        <f>G24</f>
        <v>5.5E-2</v>
      </c>
      <c r="F44" s="171" t="s">
        <v>2008</v>
      </c>
      <c r="G44" s="183">
        <f>项目基本情况!F15</f>
        <v>29.85</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1.0498000000000001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3412</v>
      </c>
      <c r="D61" s="1065">
        <f t="shared" ref="D61:D69" si="12">SUMIF($J$60:$N$60,C61,J61:N61)</f>
        <v>1.15E-2</v>
      </c>
      <c r="E61" s="744">
        <f>ROUND(SUM(D61:D69),4)</f>
        <v>4.9799999999999997E-2</v>
      </c>
      <c r="F61" s="1814">
        <f>IF(E2="办公",SUMIF(L1:L12,G2,N1:N12),"——")</f>
        <v>9.1999999999999998E-2</v>
      </c>
      <c r="G61" s="1063">
        <f>H61</f>
        <v>1.15E-2</v>
      </c>
      <c r="H61" s="1066">
        <f t="shared" ref="H61:H69" si="13">IFERROR(ROUNDDOWN($F$61*I61/2,4),"——")</f>
        <v>1.15E-2</v>
      </c>
      <c r="I61" s="3367">
        <v>0.25</v>
      </c>
      <c r="J61" s="1064">
        <f t="shared" ref="J61:J69" si="14">K61+$G61</f>
        <v>2.3E-2</v>
      </c>
      <c r="K61" s="1064">
        <f t="shared" ref="K61:K69" si="15">$L61+$G61</f>
        <v>1.15E-2</v>
      </c>
      <c r="L61" s="1064">
        <v>0</v>
      </c>
      <c r="M61" s="1064">
        <f t="shared" ref="M61:N69" si="16">L61-$G61</f>
        <v>-1.15E-2</v>
      </c>
      <c r="N61" s="1064">
        <f t="shared" si="16"/>
        <v>-2.3E-2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3412</v>
      </c>
      <c r="D62" s="1065">
        <f t="shared" si="12"/>
        <v>1.1900000000000001E-2</v>
      </c>
      <c r="E62" s="745"/>
      <c r="F62" s="1814"/>
      <c r="G62" s="1063">
        <f t="shared" ref="G62:G69" si="17">H62</f>
        <v>1.1900000000000001E-2</v>
      </c>
      <c r="H62" s="1066">
        <f t="shared" si="13"/>
        <v>1.1900000000000001E-2</v>
      </c>
      <c r="I62" s="3367">
        <v>0.26</v>
      </c>
      <c r="J62" s="1064">
        <f t="shared" si="14"/>
        <v>2.3800000000000002E-2</v>
      </c>
      <c r="K62" s="1064">
        <f t="shared" si="15"/>
        <v>1.1900000000000001E-2</v>
      </c>
      <c r="L62" s="1064">
        <v>0</v>
      </c>
      <c r="M62" s="1064">
        <f t="shared" si="16"/>
        <v>-1.1900000000000001E-2</v>
      </c>
      <c r="N62" s="1064">
        <f t="shared" si="16"/>
        <v>-2.3800000000000002E-2</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t="s">
        <v>3412</v>
      </c>
      <c r="D63" s="1065">
        <f t="shared" si="12"/>
        <v>5.0000000000000001E-3</v>
      </c>
      <c r="E63" s="745"/>
      <c r="F63" s="1814"/>
      <c r="G63" s="1063">
        <f t="shared" si="17"/>
        <v>5.0000000000000001E-3</v>
      </c>
      <c r="H63" s="1066">
        <f t="shared" si="13"/>
        <v>5.0000000000000001E-3</v>
      </c>
      <c r="I63" s="3367">
        <v>0.11</v>
      </c>
      <c r="J63" s="1064">
        <f t="shared" si="14"/>
        <v>0.01</v>
      </c>
      <c r="K63" s="1064">
        <f t="shared" si="15"/>
        <v>5.0000000000000001E-3</v>
      </c>
      <c r="L63" s="1064">
        <v>0</v>
      </c>
      <c r="M63" s="1064">
        <f t="shared" si="16"/>
        <v>-5.0000000000000001E-3</v>
      </c>
      <c r="N63" s="1064">
        <f t="shared" si="16"/>
        <v>-0.01</v>
      </c>
      <c r="AA63" s="1120"/>
      <c r="AB63" s="1120"/>
      <c r="AC63" s="1120"/>
      <c r="AD63" s="1120"/>
      <c r="AE63" s="1120"/>
      <c r="AF63" s="1120"/>
      <c r="AG63" s="1120"/>
      <c r="AH63" s="1120"/>
      <c r="AI63" s="1120"/>
      <c r="AJ63" s="1120"/>
      <c r="AK63" s="1120"/>
    </row>
    <row r="64" spans="1:37" s="1119" customFormat="1" ht="36.75">
      <c r="A64" s="2130" t="s">
        <v>2054</v>
      </c>
      <c r="B64" s="2135" t="s">
        <v>2055</v>
      </c>
      <c r="C64" s="2044" t="s">
        <v>3412</v>
      </c>
      <c r="D64" s="1065">
        <f t="shared" si="12"/>
        <v>2.3E-3</v>
      </c>
      <c r="E64" s="745"/>
      <c r="F64" s="1814"/>
      <c r="G64" s="1063">
        <f t="shared" si="17"/>
        <v>2.3E-3</v>
      </c>
      <c r="H64" s="1066">
        <f t="shared" si="13"/>
        <v>2.3E-3</v>
      </c>
      <c r="I64" s="3367">
        <v>0.05</v>
      </c>
      <c r="J64" s="1064">
        <f t="shared" si="14"/>
        <v>4.5999999999999999E-3</v>
      </c>
      <c r="K64" s="1064">
        <f t="shared" si="15"/>
        <v>2.3E-3</v>
      </c>
      <c r="L64" s="1064">
        <v>0</v>
      </c>
      <c r="M64" s="1064">
        <f t="shared" si="16"/>
        <v>-2.3E-3</v>
      </c>
      <c r="N64" s="1064">
        <f t="shared" si="16"/>
        <v>-4.5999999999999999E-3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3412</v>
      </c>
      <c r="D65" s="1065">
        <f t="shared" si="12"/>
        <v>2.3E-3</v>
      </c>
      <c r="E65" s="745"/>
      <c r="F65" s="1814"/>
      <c r="G65" s="1063">
        <f t="shared" si="17"/>
        <v>2.3E-3</v>
      </c>
      <c r="H65" s="1066">
        <f t="shared" si="13"/>
        <v>2.3E-3</v>
      </c>
      <c r="I65" s="3367">
        <v>0.05</v>
      </c>
      <c r="J65" s="1064">
        <f t="shared" si="14"/>
        <v>4.5999999999999999E-3</v>
      </c>
      <c r="K65" s="1064">
        <f t="shared" si="15"/>
        <v>2.3E-3</v>
      </c>
      <c r="L65" s="1064">
        <v>0</v>
      </c>
      <c r="M65" s="1064">
        <f t="shared" si="16"/>
        <v>-2.3E-3</v>
      </c>
      <c r="N65" s="1064">
        <f t="shared" si="16"/>
        <v>-4.5999999999999999E-3</v>
      </c>
      <c r="AA65" s="1120"/>
      <c r="AB65" s="1120"/>
      <c r="AC65" s="1120"/>
      <c r="AD65" s="1120"/>
      <c r="AE65" s="1120"/>
      <c r="AF65" s="1120"/>
      <c r="AG65" s="1120"/>
      <c r="AH65" s="1120"/>
      <c r="AI65" s="1120"/>
      <c r="AJ65" s="1120"/>
      <c r="AK65" s="1120"/>
    </row>
    <row r="66" spans="1:37" s="1119" customFormat="1" ht="24">
      <c r="A66" s="2130" t="s">
        <v>2057</v>
      </c>
      <c r="B66" s="2136" t="s">
        <v>2058</v>
      </c>
      <c r="C66" s="2044" t="s">
        <v>3412</v>
      </c>
      <c r="D66" s="1065">
        <f t="shared" si="12"/>
        <v>2.7000000000000001E-3</v>
      </c>
      <c r="E66" s="745"/>
      <c r="F66" s="1814"/>
      <c r="G66" s="1063">
        <f t="shared" si="17"/>
        <v>2.7000000000000001E-3</v>
      </c>
      <c r="H66" s="1066">
        <f t="shared" si="13"/>
        <v>2.7000000000000001E-3</v>
      </c>
      <c r="I66" s="3367">
        <v>0.06</v>
      </c>
      <c r="J66" s="1064">
        <f t="shared" si="14"/>
        <v>5.4000000000000003E-3</v>
      </c>
      <c r="K66" s="1064">
        <f t="shared" si="15"/>
        <v>2.7000000000000001E-3</v>
      </c>
      <c r="L66" s="1064">
        <v>0</v>
      </c>
      <c r="M66" s="1064">
        <f t="shared" si="16"/>
        <v>-2.7000000000000001E-3</v>
      </c>
      <c r="N66" s="1064">
        <f t="shared" si="16"/>
        <v>-5.4000000000000003E-3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3412</v>
      </c>
      <c r="D67" s="1065">
        <f t="shared" si="12"/>
        <v>2.7000000000000001E-3</v>
      </c>
      <c r="E67" s="745"/>
      <c r="F67" s="1814"/>
      <c r="G67" s="1063">
        <f t="shared" si="17"/>
        <v>2.7000000000000001E-3</v>
      </c>
      <c r="H67" s="1066">
        <f t="shared" si="13"/>
        <v>2.7000000000000001E-3</v>
      </c>
      <c r="I67" s="3367">
        <v>0.06</v>
      </c>
      <c r="J67" s="1064">
        <f t="shared" si="14"/>
        <v>5.4000000000000003E-3</v>
      </c>
      <c r="K67" s="1064">
        <f t="shared" si="15"/>
        <v>2.7000000000000001E-3</v>
      </c>
      <c r="L67" s="1064">
        <v>0</v>
      </c>
      <c r="M67" s="1064">
        <f t="shared" si="16"/>
        <v>-2.7000000000000001E-3</v>
      </c>
      <c r="N67" s="1064">
        <f t="shared" si="16"/>
        <v>-5.4000000000000003E-3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3413</v>
      </c>
      <c r="D68" s="1065">
        <f t="shared" si="12"/>
        <v>8.2000000000000007E-3</v>
      </c>
      <c r="E68" s="745"/>
      <c r="F68" s="1814"/>
      <c r="G68" s="1063">
        <f t="shared" si="17"/>
        <v>4.1000000000000003E-3</v>
      </c>
      <c r="H68" s="1066">
        <f t="shared" si="13"/>
        <v>4.1000000000000003E-3</v>
      </c>
      <c r="I68" s="3367">
        <v>0.09</v>
      </c>
      <c r="J68" s="1064">
        <f t="shared" si="14"/>
        <v>8.2000000000000007E-3</v>
      </c>
      <c r="K68" s="1064">
        <f t="shared" si="15"/>
        <v>4.1000000000000003E-3</v>
      </c>
      <c r="L68" s="1064">
        <v>0</v>
      </c>
      <c r="M68" s="1064">
        <f t="shared" si="16"/>
        <v>-4.1000000000000003E-3</v>
      </c>
      <c r="N68" s="1064">
        <f t="shared" si="16"/>
        <v>-8.2000000000000007E-3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3412</v>
      </c>
      <c r="D69" s="1065">
        <f t="shared" si="12"/>
        <v>3.2000000000000002E-3</v>
      </c>
      <c r="E69" s="746"/>
      <c r="F69" s="1814"/>
      <c r="G69" s="1063">
        <f t="shared" si="17"/>
        <v>3.2000000000000002E-3</v>
      </c>
      <c r="H69" s="1066">
        <f t="shared" si="13"/>
        <v>3.2000000000000002E-3</v>
      </c>
      <c r="I69" s="3368">
        <v>7.0000000000000007E-2</v>
      </c>
      <c r="J69" s="1064">
        <f t="shared" si="14"/>
        <v>6.4000000000000003E-3</v>
      </c>
      <c r="K69" s="1064">
        <f t="shared" si="15"/>
        <v>3.2000000000000002E-3</v>
      </c>
      <c r="L69" s="1064">
        <v>0</v>
      </c>
      <c r="M69" s="1064">
        <f t="shared" si="16"/>
        <v>-3.2000000000000002E-3</v>
      </c>
      <c r="N69" s="1064">
        <f t="shared" si="16"/>
        <v>-6.4000000000000003E-3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3274</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87" t="s">
        <v>3298</v>
      </c>
      <c r="B103" s="3687"/>
      <c r="C103" s="3687"/>
      <c r="D103" s="3687"/>
      <c r="E103" s="3687"/>
      <c r="F103" s="3687"/>
      <c r="G103" s="3687"/>
      <c r="H103" s="3687"/>
      <c r="I103" s="3687"/>
      <c r="J103" s="3687"/>
      <c r="K103" s="3390"/>
      <c r="L103" s="3390"/>
      <c r="M103" s="3390"/>
      <c r="N103" s="3390"/>
    </row>
    <row r="104" spans="1:14">
      <c r="A104" s="3688" t="s">
        <v>3299</v>
      </c>
      <c r="B104" s="3688" t="s">
        <v>3300</v>
      </c>
      <c r="C104" s="3391" t="s">
        <v>3301</v>
      </c>
      <c r="D104" s="3392"/>
      <c r="E104" s="3392"/>
      <c r="F104" s="3392"/>
      <c r="G104" s="3392"/>
      <c r="H104" s="3392"/>
      <c r="I104" s="3392"/>
      <c r="J104" s="3393"/>
      <c r="K104" s="3394"/>
      <c r="L104" s="3394"/>
      <c r="M104" s="3394"/>
      <c r="N104" s="3394"/>
    </row>
    <row r="105" spans="1:14">
      <c r="A105" s="3688"/>
      <c r="B105" s="3688"/>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674"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7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7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7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7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75"/>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76"/>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77" t="s">
        <v>3315</v>
      </c>
      <c r="B113" s="3677"/>
      <c r="C113" s="3677"/>
      <c r="D113" s="3677"/>
      <c r="E113" s="3677"/>
      <c r="F113" s="3677"/>
      <c r="G113" s="3677"/>
      <c r="H113" s="3677"/>
      <c r="I113" s="3677"/>
      <c r="J113" s="367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4.03</v>
      </c>
      <c r="C116" s="3400" t="s">
        <v>3317</v>
      </c>
      <c r="D116" s="3401">
        <f>SUMPRODUCT((A118:A122=F116)*(B117:M117=H116)*B118:M122)</f>
        <v>0.94789999999999996</v>
      </c>
      <c r="E116" s="2000" t="s">
        <v>3318</v>
      </c>
      <c r="F116" s="3402" t="str">
        <f>E2</f>
        <v>办公</v>
      </c>
      <c r="G116" s="2000" t="s">
        <v>3319</v>
      </c>
      <c r="H116" s="3402" t="str">
        <f>G2</f>
        <v>二级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0.95250000000000001</v>
      </c>
      <c r="C118" s="3388">
        <f>B118</f>
        <v>0.95250000000000001</v>
      </c>
      <c r="D118" s="3388">
        <f>ROUND(0.949-0.014*B116,4)</f>
        <v>0.89259999999999995</v>
      </c>
      <c r="E118" s="3388">
        <f>D118</f>
        <v>0.89259999999999995</v>
      </c>
      <c r="F118" s="3388">
        <f>E118</f>
        <v>0.89259999999999995</v>
      </c>
      <c r="G118" s="3388">
        <f>F118</f>
        <v>0.89259999999999995</v>
      </c>
      <c r="H118" s="3388">
        <f>G118</f>
        <v>0.89259999999999995</v>
      </c>
      <c r="I118" s="3388">
        <f>ROUND(0.8486-0.018*B116,4)</f>
        <v>0.77610000000000001</v>
      </c>
      <c r="J118" s="3388">
        <f t="shared" ref="J118:M122" si="36">I118</f>
        <v>0.77610000000000001</v>
      </c>
      <c r="K118" s="3388">
        <f t="shared" si="36"/>
        <v>0.77610000000000001</v>
      </c>
      <c r="L118" s="3388">
        <f t="shared" si="36"/>
        <v>0.77610000000000001</v>
      </c>
      <c r="M118" s="3411">
        <f t="shared" si="36"/>
        <v>0.77610000000000001</v>
      </c>
      <c r="N118" s="3398"/>
    </row>
    <row r="119" spans="1:14">
      <c r="A119" s="3410" t="s">
        <v>3333</v>
      </c>
      <c r="B119" s="3388">
        <f>ROUND(0.993-0.0112*B116,4)</f>
        <v>0.94789999999999996</v>
      </c>
      <c r="C119" s="3388">
        <f>B119</f>
        <v>0.94789999999999996</v>
      </c>
      <c r="D119" s="3388">
        <f>ROUND(0.9415-0.0142*B116,4)</f>
        <v>0.88429999999999997</v>
      </c>
      <c r="E119" s="3388">
        <f t="shared" ref="E119:H120" si="37">D119</f>
        <v>0.88429999999999997</v>
      </c>
      <c r="F119" s="3388">
        <f t="shared" si="37"/>
        <v>0.88429999999999997</v>
      </c>
      <c r="G119" s="3388">
        <f t="shared" si="37"/>
        <v>0.88429999999999997</v>
      </c>
      <c r="H119" s="3388">
        <f t="shared" si="37"/>
        <v>0.88429999999999997</v>
      </c>
      <c r="I119" s="3388">
        <f>ROUND(0.838-0.0182*B116,4)</f>
        <v>0.76470000000000005</v>
      </c>
      <c r="J119" s="3388">
        <f t="shared" si="36"/>
        <v>0.76470000000000005</v>
      </c>
      <c r="K119" s="3388">
        <f t="shared" si="36"/>
        <v>0.76470000000000005</v>
      </c>
      <c r="L119" s="3388">
        <f t="shared" si="36"/>
        <v>0.76470000000000005</v>
      </c>
      <c r="M119" s="3411">
        <f t="shared" si="36"/>
        <v>0.76470000000000005</v>
      </c>
      <c r="N119" s="3398"/>
    </row>
    <row r="120" spans="1:14">
      <c r="A120" s="3410" t="s">
        <v>3334</v>
      </c>
      <c r="B120" s="3388">
        <f>ROUND(0.9448-0.0115*B116,4)</f>
        <v>0.89849999999999997</v>
      </c>
      <c r="C120" s="3388">
        <f>B120</f>
        <v>0.89849999999999997</v>
      </c>
      <c r="D120" s="3388">
        <f>ROUND(0.937-0.0145*B116,4)</f>
        <v>0.87860000000000005</v>
      </c>
      <c r="E120" s="3388">
        <f t="shared" si="37"/>
        <v>0.87860000000000005</v>
      </c>
      <c r="F120" s="3388">
        <f t="shared" si="37"/>
        <v>0.87860000000000005</v>
      </c>
      <c r="G120" s="3388">
        <f t="shared" si="37"/>
        <v>0.87860000000000005</v>
      </c>
      <c r="H120" s="3388">
        <f t="shared" si="37"/>
        <v>0.87860000000000005</v>
      </c>
      <c r="I120" s="3388">
        <f>ROUND(0.7965-0.0185*B116,4)</f>
        <v>0.72189999999999999</v>
      </c>
      <c r="J120" s="3388">
        <f t="shared" si="36"/>
        <v>0.72189999999999999</v>
      </c>
      <c r="K120" s="3388">
        <f t="shared" si="36"/>
        <v>0.72189999999999999</v>
      </c>
      <c r="L120" s="3388">
        <f t="shared" si="36"/>
        <v>0.72189999999999999</v>
      </c>
      <c r="M120" s="3411">
        <f t="shared" si="36"/>
        <v>0.72189999999999999</v>
      </c>
      <c r="N120" s="3398"/>
    </row>
    <row r="121" spans="1:14" ht="13.5" thickBot="1">
      <c r="A121" s="3412" t="s">
        <v>3335</v>
      </c>
      <c r="B121" s="3413">
        <f>ROUND(0.7836-0.012*B116,4)</f>
        <v>0.73519999999999996</v>
      </c>
      <c r="C121" s="3413">
        <f>B121</f>
        <v>0.73519999999999996</v>
      </c>
      <c r="D121" s="3413">
        <f>ROUND(0.753-0.015*B116,4)</f>
        <v>0.69259999999999999</v>
      </c>
      <c r="E121" s="3413">
        <f>D121</f>
        <v>0.69259999999999999</v>
      </c>
      <c r="F121" s="3413">
        <f>E121</f>
        <v>0.69259999999999999</v>
      </c>
      <c r="G121" s="3413">
        <f>ROUND(0.6612-0.018*B116,4)</f>
        <v>0.5887</v>
      </c>
      <c r="H121" s="3413">
        <f>G121</f>
        <v>0.5887</v>
      </c>
      <c r="I121" s="3413">
        <f>ROUND(0.5905-0.019*B116,4)</f>
        <v>0.51390000000000002</v>
      </c>
      <c r="J121" s="3413">
        <f t="shared" si="36"/>
        <v>0.51390000000000002</v>
      </c>
      <c r="K121" s="3413">
        <f t="shared" si="36"/>
        <v>0.51390000000000002</v>
      </c>
      <c r="L121" s="3413">
        <f t="shared" si="36"/>
        <v>0.51390000000000002</v>
      </c>
      <c r="M121" s="3414">
        <f t="shared" si="36"/>
        <v>0.51390000000000002</v>
      </c>
      <c r="N121" s="3398"/>
    </row>
    <row r="122" spans="1:14">
      <c r="A122" s="3415" t="s">
        <v>2616</v>
      </c>
      <c r="B122" s="3388">
        <f>ROUND(0.9404-0.0106*B116,4)</f>
        <v>0.89770000000000005</v>
      </c>
      <c r="C122" s="3388">
        <f>B122</f>
        <v>0.89770000000000005</v>
      </c>
      <c r="D122" s="3388">
        <f>ROUND(0.8955-0.0135*B116,4)</f>
        <v>0.84109999999999996</v>
      </c>
      <c r="E122" s="3388">
        <f t="shared" ref="E122:H122" si="38">D122</f>
        <v>0.84109999999999996</v>
      </c>
      <c r="F122" s="3388">
        <f t="shared" si="38"/>
        <v>0.84109999999999996</v>
      </c>
      <c r="G122" s="3388">
        <f t="shared" si="38"/>
        <v>0.84109999999999996</v>
      </c>
      <c r="H122" s="3388">
        <f t="shared" si="38"/>
        <v>0.84109999999999996</v>
      </c>
      <c r="I122" s="3388">
        <f>ROUND(0.7632-0.0166*B116,4)</f>
        <v>0.69630000000000003</v>
      </c>
      <c r="J122" s="3388">
        <f t="shared" si="36"/>
        <v>0.69630000000000003</v>
      </c>
      <c r="K122" s="3388">
        <f t="shared" si="36"/>
        <v>0.69630000000000003</v>
      </c>
      <c r="L122" s="3388">
        <f t="shared" si="36"/>
        <v>0.69630000000000003</v>
      </c>
      <c r="M122" s="3411">
        <f t="shared" si="36"/>
        <v>0.69630000000000003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2" zoomScale="85" zoomScaleNormal="60" zoomScaleSheetLayoutView="85" workbookViewId="0">
      <selection activeCell="E10" sqref="E10:J1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124644</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14174</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30" ht="15">
      <c r="A5" s="358"/>
      <c r="B5" s="359"/>
      <c r="C5" s="3704" t="s">
        <v>1673</v>
      </c>
      <c r="D5" s="3705"/>
      <c r="E5" s="3702" t="str">
        <f>土地案例!A2</f>
        <v>北京市海淀区西北旺镇永丰产业基地(新)HD00-0403-004地块F3其他类多功能用地</v>
      </c>
      <c r="F5" s="3703"/>
      <c r="G5" s="3704" t="str">
        <f>土地案例!A3</f>
        <v>北京市海淀区西北旺镇永丰产业基地(新)HD00-0403-009地块F3其他类多功能用地</v>
      </c>
      <c r="H5" s="3705"/>
      <c r="I5" s="3704" t="str">
        <f>土地案例!A4</f>
        <v>北京市海淀区西北旺镇永丰产业基地(新)HD00-0403-001地块F3其他类多功能用地</v>
      </c>
      <c r="J5" s="3705"/>
      <c r="K5" s="559"/>
      <c r="L5" s="2715"/>
      <c r="M5" s="2716"/>
      <c r="N5" s="2716"/>
      <c r="O5" s="2716"/>
      <c r="P5" s="3717"/>
      <c r="Q5" s="3718"/>
      <c r="R5" s="3700"/>
      <c r="S5" s="3701"/>
      <c r="T5" s="3700"/>
      <c r="U5" s="3701"/>
      <c r="V5" s="3723"/>
      <c r="W5" s="3723"/>
      <c r="X5" s="1355"/>
      <c r="Y5" s="3700"/>
      <c r="Z5" s="3701"/>
      <c r="AA5" s="3694"/>
      <c r="AB5" s="3694"/>
      <c r="AC5" s="3694"/>
    </row>
    <row r="6" spans="1:30" ht="15.75" thickBot="1">
      <c r="A6" s="360"/>
      <c r="B6" s="361"/>
      <c r="C6" s="3706" t="s">
        <v>1677</v>
      </c>
      <c r="D6" s="3707"/>
      <c r="E6" s="3708" t="s">
        <v>1677</v>
      </c>
      <c r="F6" s="3709"/>
      <c r="G6" s="3706" t="s">
        <v>1677</v>
      </c>
      <c r="H6" s="3707"/>
      <c r="I6" s="3706" t="s">
        <v>1677</v>
      </c>
      <c r="J6" s="3707"/>
      <c r="K6" s="559" t="s">
        <v>1678</v>
      </c>
      <c r="L6" s="2715"/>
      <c r="M6" s="2716"/>
      <c r="N6" s="2716"/>
      <c r="O6" s="2716"/>
      <c r="P6" s="3719"/>
      <c r="Q6" s="3720"/>
      <c r="R6" s="3700"/>
      <c r="S6" s="3701"/>
      <c r="T6" s="3721"/>
      <c r="U6" s="3722"/>
      <c r="V6" s="3723"/>
      <c r="W6" s="3723"/>
      <c r="X6" s="1355"/>
      <c r="Y6" s="3721"/>
      <c r="Z6" s="3722"/>
      <c r="AA6" s="3695"/>
      <c r="AB6" s="3695"/>
      <c r="AC6" s="3695"/>
    </row>
    <row r="7" spans="1:30" s="108" customFormat="1" ht="15.75" thickBot="1">
      <c r="A7" s="362" t="s">
        <v>1679</v>
      </c>
      <c r="B7" s="363"/>
      <c r="C7" s="364">
        <f>'数据-取费表'!B2</f>
        <v>45239</v>
      </c>
      <c r="D7" s="365">
        <v>100</v>
      </c>
      <c r="E7" s="366">
        <f>土地案例!L2</f>
        <v>45141.000497685185</v>
      </c>
      <c r="F7" s="367">
        <f>SUMIF(69:69,YEAR(E7)&amp;"-"&amp;INT((MONTH(E7)+2)/3),70:70)</f>
        <v>99.8</v>
      </c>
      <c r="G7" s="1974">
        <f>土地案例!L3</f>
        <v>44865.000497685185</v>
      </c>
      <c r="H7" s="365">
        <f>SUMIF(69:69,YEAR(G7)&amp;"-"&amp;INT((MONTH(G7)+2)/3),70:70)</f>
        <v>99.199999999999989</v>
      </c>
      <c r="I7" s="1974">
        <f>土地案例!L4</f>
        <v>44865.000497685185</v>
      </c>
      <c r="J7" s="365">
        <f>SUMIF(69:69,YEAR(I7)&amp;"-"&amp;INT((MONTH(I7)+2)/3),70:70)</f>
        <v>99.199999999999989</v>
      </c>
      <c r="K7" s="560"/>
      <c r="L7" s="2717"/>
      <c r="M7" s="2718"/>
      <c r="N7" s="2718"/>
      <c r="O7" s="2718"/>
      <c r="P7" s="3696" t="s">
        <v>1680</v>
      </c>
      <c r="Q7" s="3724"/>
      <c r="R7" s="701" t="s">
        <v>14</v>
      </c>
      <c r="S7" s="702">
        <f t="shared" ref="S7:S15" si="0">F7</f>
        <v>99.8</v>
      </c>
      <c r="T7" s="701" t="s">
        <v>14</v>
      </c>
      <c r="U7" s="702">
        <f t="shared" ref="U7:U15" si="1">H7</f>
        <v>99.199999999999989</v>
      </c>
      <c r="V7" s="701" t="s">
        <v>14</v>
      </c>
      <c r="W7" s="702">
        <f t="shared" ref="W7:W15" si="2">J7</f>
        <v>99.199999999999989</v>
      </c>
      <c r="X7" s="703"/>
      <c r="Y7" s="3696" t="s">
        <v>1680</v>
      </c>
      <c r="Z7" s="3697"/>
      <c r="AA7" s="704">
        <f>D7/F7</f>
        <v>1.0020040080160322</v>
      </c>
      <c r="AB7" s="704">
        <f>D7/H7</f>
        <v>1.0080645161290325</v>
      </c>
      <c r="AC7" s="704">
        <f>D7/J7</f>
        <v>1.0080645161290325</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7"/>
      <c r="M8" s="2718"/>
      <c r="N8" s="2718"/>
      <c r="O8" s="2718"/>
      <c r="P8" s="3696" t="s">
        <v>1683</v>
      </c>
      <c r="Q8" s="3697"/>
      <c r="R8" s="701" t="s">
        <v>14</v>
      </c>
      <c r="S8" s="702">
        <f t="shared" si="0"/>
        <v>100</v>
      </c>
      <c r="T8" s="701" t="s">
        <v>14</v>
      </c>
      <c r="U8" s="702">
        <f t="shared" si="1"/>
        <v>100</v>
      </c>
      <c r="V8" s="701" t="s">
        <v>14</v>
      </c>
      <c r="W8" s="702">
        <f t="shared" si="2"/>
        <v>100</v>
      </c>
      <c r="X8" s="703"/>
      <c r="Y8" s="3696" t="s">
        <v>1683</v>
      </c>
      <c r="Z8" s="3697"/>
      <c r="AA8" s="704">
        <f t="shared" ref="AA8:AA45" si="3">D8/F8</f>
        <v>1</v>
      </c>
      <c r="AB8" s="704">
        <f t="shared" ref="AB8:AB45" si="4">D8/H8</f>
        <v>1</v>
      </c>
      <c r="AC8" s="704">
        <f t="shared" ref="AC8:AC45" si="5">D8/J8</f>
        <v>1</v>
      </c>
    </row>
    <row r="9" spans="1:30" s="108" customFormat="1">
      <c r="A9" s="369" t="s">
        <v>1684</v>
      </c>
      <c r="B9" s="63" t="s">
        <v>1685</v>
      </c>
      <c r="C9" s="1977" t="s">
        <v>21</v>
      </c>
      <c r="D9" s="126">
        <v>100</v>
      </c>
      <c r="E9" s="1977" t="s">
        <v>3525</v>
      </c>
      <c r="F9" s="126">
        <f>SUMIF(74:74,E9,75:75)-SUMIF(74:74,C9,75:75)+100</f>
        <v>100</v>
      </c>
      <c r="G9" s="1977" t="s">
        <v>3525</v>
      </c>
      <c r="H9" s="126">
        <f>SUMIF(74:74,G9,75:75)-SUMIF(74:74,C9,75:75)+100</f>
        <v>100</v>
      </c>
      <c r="I9" s="1977" t="s">
        <v>3525</v>
      </c>
      <c r="J9" s="126">
        <f>SUMIF(74:74,I9,75:75)-SUMIF(74:74,C9,75:75)+100</f>
        <v>100</v>
      </c>
      <c r="K9" s="560"/>
      <c r="L9" s="2717"/>
      <c r="M9" s="2718"/>
      <c r="N9" s="2718"/>
      <c r="O9" s="2772"/>
      <c r="P9" s="3710"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9"/>
      <c r="M10" s="2720"/>
      <c r="N10" s="2720"/>
      <c r="O10" s="2773"/>
      <c r="P10" s="3710"/>
      <c r="Q10" s="1343" t="str">
        <f t="shared" si="6"/>
        <v>土地使用年限（年）</v>
      </c>
      <c r="R10" s="701" t="s">
        <v>14</v>
      </c>
      <c r="S10" s="702">
        <f t="shared" si="0"/>
        <v>119</v>
      </c>
      <c r="T10" s="701" t="s">
        <v>14</v>
      </c>
      <c r="U10" s="702">
        <f t="shared" si="1"/>
        <v>119</v>
      </c>
      <c r="V10" s="701" t="s">
        <v>14</v>
      </c>
      <c r="W10" s="702">
        <f t="shared" si="2"/>
        <v>119</v>
      </c>
      <c r="X10" s="703"/>
      <c r="Y10" s="3640"/>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f>'数据-汇总表'!I6</f>
        <v>4.03</v>
      </c>
      <c r="D11" s="127">
        <v>100</v>
      </c>
      <c r="E11" s="380">
        <v>2.2000000000000002</v>
      </c>
      <c r="F11" s="127">
        <f>LOOKUP(E11,79:79,80:80)-LOOKUP(C11,79:79,80:80)+100</f>
        <v>104</v>
      </c>
      <c r="G11" s="381">
        <v>2.2000000000000002</v>
      </c>
      <c r="H11" s="127">
        <f>LOOKUP(G11,79:79,80:80)-LOOKUP(C11,79:79,80:80)+100</f>
        <v>104</v>
      </c>
      <c r="I11" s="380">
        <v>2.2000000000000002</v>
      </c>
      <c r="J11" s="127">
        <f>LOOKUP(I11,79:79,80:80)-LOOKUP(C11,79:79,80:80)+100</f>
        <v>104</v>
      </c>
      <c r="K11" s="621">
        <v>2</v>
      </c>
      <c r="L11" s="2721"/>
      <c r="M11" s="2716"/>
      <c r="N11" s="2716"/>
      <c r="O11" s="2774"/>
      <c r="P11" s="3710"/>
      <c r="Q11" s="1343" t="str">
        <f t="shared" si="6"/>
        <v>容积率</v>
      </c>
      <c r="R11" s="701" t="s">
        <v>14</v>
      </c>
      <c r="S11" s="702">
        <f t="shared" si="0"/>
        <v>104</v>
      </c>
      <c r="T11" s="701" t="s">
        <v>14</v>
      </c>
      <c r="U11" s="702">
        <f t="shared" si="1"/>
        <v>104</v>
      </c>
      <c r="V11" s="701" t="s">
        <v>14</v>
      </c>
      <c r="W11" s="702">
        <f t="shared" si="2"/>
        <v>104</v>
      </c>
      <c r="X11" s="703"/>
      <c r="Y11" s="3640"/>
      <c r="Z11" s="52" t="str">
        <f t="shared" si="7"/>
        <v>容积率</v>
      </c>
      <c r="AA11" s="704">
        <f t="shared" si="3"/>
        <v>0.96153846153846156</v>
      </c>
      <c r="AB11" s="704">
        <f t="shared" si="4"/>
        <v>0.96153846153846156</v>
      </c>
      <c r="AC11" s="704">
        <f t="shared" si="5"/>
        <v>0.96153846153846156</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0"/>
      <c r="Q12" s="1343" t="str">
        <f t="shared" si="6"/>
        <v>配建</v>
      </c>
      <c r="R12" s="701" t="s">
        <v>14</v>
      </c>
      <c r="S12" s="702">
        <f t="shared" si="0"/>
        <v>100</v>
      </c>
      <c r="T12" s="701" t="s">
        <v>14</v>
      </c>
      <c r="U12" s="702">
        <f t="shared" si="1"/>
        <v>100</v>
      </c>
      <c r="V12" s="701" t="s">
        <v>14</v>
      </c>
      <c r="W12" s="702">
        <f t="shared" si="2"/>
        <v>100</v>
      </c>
      <c r="X12" s="703"/>
      <c r="Y12" s="36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6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0"/>
      <c r="Q14" s="1343">
        <f t="shared" si="6"/>
        <v>111</v>
      </c>
      <c r="R14" s="701" t="s">
        <v>14</v>
      </c>
      <c r="S14" s="702">
        <f t="shared" si="0"/>
        <v>100</v>
      </c>
      <c r="T14" s="701" t="s">
        <v>14</v>
      </c>
      <c r="U14" s="702">
        <f t="shared" si="1"/>
        <v>100</v>
      </c>
      <c r="V14" s="701" t="s">
        <v>14</v>
      </c>
      <c r="W14" s="702">
        <f t="shared" si="2"/>
        <v>100</v>
      </c>
      <c r="X14" s="703"/>
      <c r="Y14" s="3640"/>
      <c r="Z14" s="52">
        <f t="shared" si="7"/>
        <v>111</v>
      </c>
      <c r="AA14" s="704">
        <f>D14/F14</f>
        <v>1</v>
      </c>
      <c r="AB14" s="704">
        <f>D14/H14</f>
        <v>1</v>
      </c>
      <c r="AC14" s="704">
        <f>D14/J14</f>
        <v>1</v>
      </c>
    </row>
    <row r="15" spans="1:30" ht="99.75" hidden="1">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5" t="s">
        <v>1691</v>
      </c>
      <c r="Q15" s="1352" t="str">
        <f t="shared" si="6"/>
        <v>居住社区成熟度</v>
      </c>
      <c r="R15" s="705" t="s">
        <v>14</v>
      </c>
      <c r="S15" s="706">
        <f t="shared" si="0"/>
        <v>100</v>
      </c>
      <c r="T15" s="705" t="s">
        <v>14</v>
      </c>
      <c r="U15" s="706">
        <f t="shared" si="1"/>
        <v>100</v>
      </c>
      <c r="V15" s="705" t="s">
        <v>14</v>
      </c>
      <c r="W15" s="706">
        <f t="shared" si="2"/>
        <v>100</v>
      </c>
      <c r="X15" s="1355"/>
      <c r="Y15" s="3725" t="s">
        <v>1691</v>
      </c>
      <c r="Z15" s="1356" t="str">
        <f t="shared" si="7"/>
        <v>居住社区成熟度</v>
      </c>
      <c r="AA15" s="1353">
        <f t="shared" si="3"/>
        <v>1</v>
      </c>
      <c r="AB15" s="1353">
        <f t="shared" si="4"/>
        <v>1</v>
      </c>
      <c r="AC15" s="1353">
        <f t="shared" si="5"/>
        <v>1</v>
      </c>
    </row>
    <row r="16" spans="1:30" ht="15" hidden="1">
      <c r="A16" s="379"/>
      <c r="B16" s="397"/>
      <c r="C16" s="398"/>
      <c r="D16" s="399"/>
      <c r="E16" s="1898"/>
      <c r="F16" s="399"/>
      <c r="G16" s="1898"/>
      <c r="H16" s="401"/>
      <c r="I16" s="1897"/>
      <c r="J16" s="399"/>
      <c r="K16" s="620"/>
      <c r="L16" s="2722"/>
      <c r="M16" s="2716"/>
      <c r="N16" s="2716"/>
      <c r="O16" s="2774"/>
      <c r="P16" s="3726"/>
      <c r="Q16" s="1352"/>
      <c r="R16" s="705"/>
      <c r="S16" s="706"/>
      <c r="T16" s="705"/>
      <c r="U16" s="706"/>
      <c r="V16" s="705"/>
      <c r="W16" s="706"/>
      <c r="X16" s="1355"/>
      <c r="Y16" s="3726"/>
      <c r="Z16" s="1356"/>
      <c r="AA16" s="1353">
        <v>1</v>
      </c>
      <c r="AB16" s="1353">
        <v>1</v>
      </c>
      <c r="AC16" s="1353">
        <v>1</v>
      </c>
    </row>
    <row r="17" spans="1:29" ht="71.25" hidden="1">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6"/>
      <c r="Q17" s="1352" t="str">
        <f>B17</f>
        <v>商业繁华度</v>
      </c>
      <c r="R17" s="705" t="s">
        <v>14</v>
      </c>
      <c r="S17" s="706">
        <f>F17</f>
        <v>100</v>
      </c>
      <c r="T17" s="705" t="s">
        <v>14</v>
      </c>
      <c r="U17" s="706">
        <f>H17</f>
        <v>100</v>
      </c>
      <c r="V17" s="705" t="s">
        <v>14</v>
      </c>
      <c r="W17" s="706">
        <f>J17</f>
        <v>100</v>
      </c>
      <c r="X17" s="1355"/>
      <c r="Y17" s="3726"/>
      <c r="Z17" s="1356" t="str">
        <f>Q17</f>
        <v>商业繁华度</v>
      </c>
      <c r="AA17" s="1353">
        <f t="shared" si="3"/>
        <v>1</v>
      </c>
      <c r="AB17" s="1353">
        <f t="shared" si="4"/>
        <v>1</v>
      </c>
      <c r="AC17" s="1353">
        <f t="shared" si="5"/>
        <v>1</v>
      </c>
    </row>
    <row r="18" spans="1:29" ht="15" hidden="1">
      <c r="A18" s="379"/>
      <c r="B18" s="407"/>
      <c r="C18" s="1901"/>
      <c r="D18" s="401"/>
      <c r="E18" s="1903"/>
      <c r="F18" s="401"/>
      <c r="G18" s="1903"/>
      <c r="H18" s="399"/>
      <c r="I18" s="1902"/>
      <c r="J18" s="399"/>
      <c r="K18" s="620"/>
      <c r="L18" s="2722"/>
      <c r="M18" s="2716"/>
      <c r="N18" s="2716"/>
      <c r="O18" s="2774"/>
      <c r="P18" s="3726"/>
      <c r="Q18" s="1352"/>
      <c r="R18" s="705"/>
      <c r="S18" s="706"/>
      <c r="T18" s="705"/>
      <c r="U18" s="706"/>
      <c r="V18" s="705"/>
      <c r="W18" s="706"/>
      <c r="X18" s="1355"/>
      <c r="Y18" s="372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97</v>
      </c>
      <c r="G19" s="408"/>
      <c r="H19" s="401">
        <f>SUMIF(91:91,G20,92:92)-SUMIF(91:91,C20,92:92)+100</f>
        <v>97</v>
      </c>
      <c r="I19" s="410"/>
      <c r="J19" s="401">
        <f>SUMIF(91:91,I20,92:92)-SUMIF(91:91,C20,92:92)+100</f>
        <v>97</v>
      </c>
      <c r="K19" s="621">
        <v>3</v>
      </c>
      <c r="L19" s="2722"/>
      <c r="M19" s="2716"/>
      <c r="N19" s="2716"/>
      <c r="O19" s="2774"/>
      <c r="P19" s="3726"/>
      <c r="Q19" s="1352" t="str">
        <f>B19</f>
        <v>办公集聚程度</v>
      </c>
      <c r="R19" s="705" t="s">
        <v>14</v>
      </c>
      <c r="S19" s="706">
        <f>F19</f>
        <v>97</v>
      </c>
      <c r="T19" s="705" t="s">
        <v>14</v>
      </c>
      <c r="U19" s="706">
        <f>H19</f>
        <v>97</v>
      </c>
      <c r="V19" s="705" t="s">
        <v>14</v>
      </c>
      <c r="W19" s="706">
        <f>J19</f>
        <v>97</v>
      </c>
      <c r="X19" s="1355"/>
      <c r="Y19" s="3726"/>
      <c r="Z19" s="1356" t="str">
        <f>Q19</f>
        <v>办公集聚程度</v>
      </c>
      <c r="AA19" s="1353">
        <f t="shared" si="3"/>
        <v>1.0309278350515463</v>
      </c>
      <c r="AB19" s="1353">
        <f t="shared" si="4"/>
        <v>1.0309278350515463</v>
      </c>
      <c r="AC19" s="1353">
        <f t="shared" si="5"/>
        <v>1.0309278350515463</v>
      </c>
    </row>
    <row r="20" spans="1:29" ht="15">
      <c r="A20" s="379"/>
      <c r="B20" s="407"/>
      <c r="C20" s="398" t="s">
        <v>3412</v>
      </c>
      <c r="D20" s="399"/>
      <c r="E20" s="1898" t="s">
        <v>3527</v>
      </c>
      <c r="F20" s="399"/>
      <c r="G20" s="1898" t="s">
        <v>3527</v>
      </c>
      <c r="H20" s="399"/>
      <c r="I20" s="1897" t="s">
        <v>3527</v>
      </c>
      <c r="J20" s="399"/>
      <c r="K20" s="620"/>
      <c r="L20" s="2722"/>
      <c r="M20" s="2716"/>
      <c r="N20" s="2716"/>
      <c r="O20" s="2774"/>
      <c r="P20" s="3726"/>
      <c r="Q20" s="1352"/>
      <c r="R20" s="705"/>
      <c r="S20" s="706"/>
      <c r="T20" s="705"/>
      <c r="U20" s="706"/>
      <c r="V20" s="705"/>
      <c r="W20" s="706"/>
      <c r="X20" s="1355"/>
      <c r="Y20" s="372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97</v>
      </c>
      <c r="G21" s="403"/>
      <c r="H21" s="401">
        <f>SUMIF(93:93,G22,94:94)-SUMIF(93:93,C22,94:94)+100</f>
        <v>97</v>
      </c>
      <c r="I21" s="405"/>
      <c r="J21" s="401">
        <f>SUMIF(93:93,I22,94:94)-SUMIF(93:93,C22,94:94)+100</f>
        <v>97</v>
      </c>
      <c r="K21" s="621">
        <v>3</v>
      </c>
      <c r="L21" s="2722"/>
      <c r="M21" s="2716"/>
      <c r="N21" s="2716"/>
      <c r="O21" s="2774"/>
      <c r="P21" s="3726"/>
      <c r="Q21" s="1352" t="str">
        <f>B21</f>
        <v>交通便捷度</v>
      </c>
      <c r="R21" s="705" t="s">
        <v>14</v>
      </c>
      <c r="S21" s="706">
        <f>F21</f>
        <v>97</v>
      </c>
      <c r="T21" s="705" t="s">
        <v>14</v>
      </c>
      <c r="U21" s="706">
        <f>H21</f>
        <v>97</v>
      </c>
      <c r="V21" s="705" t="s">
        <v>14</v>
      </c>
      <c r="W21" s="706">
        <f>J21</f>
        <v>97</v>
      </c>
      <c r="X21" s="1355"/>
      <c r="Y21" s="3726"/>
      <c r="Z21" s="1356" t="str">
        <f>Q21</f>
        <v>交通便捷度</v>
      </c>
      <c r="AA21" s="1353">
        <f t="shared" si="3"/>
        <v>1.0309278350515463</v>
      </c>
      <c r="AB21" s="1353">
        <f t="shared" si="4"/>
        <v>1.0309278350515463</v>
      </c>
      <c r="AC21" s="1353">
        <f t="shared" si="5"/>
        <v>1.0309278350515463</v>
      </c>
    </row>
    <row r="22" spans="1:29" ht="15">
      <c r="A22" s="379"/>
      <c r="B22" s="1131"/>
      <c r="C22" s="398" t="s">
        <v>3412</v>
      </c>
      <c r="D22" s="401"/>
      <c r="E22" s="1898" t="s">
        <v>3527</v>
      </c>
      <c r="F22" s="399"/>
      <c r="G22" s="1898" t="s">
        <v>3527</v>
      </c>
      <c r="H22" s="399"/>
      <c r="I22" s="1898" t="s">
        <v>3527</v>
      </c>
      <c r="J22" s="399"/>
      <c r="K22" s="620"/>
      <c r="L22" s="2722"/>
      <c r="M22" s="2716"/>
      <c r="N22" s="2716"/>
      <c r="O22" s="2774"/>
      <c r="P22" s="3726"/>
      <c r="Q22" s="1352"/>
      <c r="R22" s="705"/>
      <c r="S22" s="706"/>
      <c r="T22" s="705"/>
      <c r="U22" s="706"/>
      <c r="V22" s="705"/>
      <c r="W22" s="706"/>
      <c r="X22" s="1355"/>
      <c r="Y22" s="372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6"/>
      <c r="Q23" s="1352" t="str">
        <f t="shared" ref="Q23:Q37" si="8">B23</f>
        <v>区域土地利用方向</v>
      </c>
      <c r="R23" s="705" t="s">
        <v>14</v>
      </c>
      <c r="S23" s="706">
        <f>F23</f>
        <v>100</v>
      </c>
      <c r="T23" s="705" t="s">
        <v>14</v>
      </c>
      <c r="U23" s="706">
        <f>H23</f>
        <v>100</v>
      </c>
      <c r="V23" s="705" t="s">
        <v>14</v>
      </c>
      <c r="W23" s="706">
        <f>J23</f>
        <v>100</v>
      </c>
      <c r="X23" s="1355"/>
      <c r="Y23" s="3726"/>
      <c r="Z23" s="1356" t="str">
        <f>Q23</f>
        <v>区域土地利用方向</v>
      </c>
      <c r="AA23" s="1353">
        <f t="shared" si="3"/>
        <v>1</v>
      </c>
      <c r="AB23" s="1353">
        <f t="shared" si="4"/>
        <v>1</v>
      </c>
      <c r="AC23" s="1353">
        <f t="shared" si="5"/>
        <v>1</v>
      </c>
    </row>
    <row r="24" spans="1:29" ht="15">
      <c r="A24" s="358"/>
      <c r="B24" s="407"/>
      <c r="C24" s="565" t="s">
        <v>3412</v>
      </c>
      <c r="D24" s="399"/>
      <c r="E24" s="565" t="s">
        <v>3412</v>
      </c>
      <c r="F24" s="399"/>
      <c r="G24" s="565" t="s">
        <v>3412</v>
      </c>
      <c r="H24" s="399"/>
      <c r="I24" s="565" t="s">
        <v>3412</v>
      </c>
      <c r="J24" s="399"/>
      <c r="K24" s="740"/>
      <c r="L24" s="2722"/>
      <c r="M24" s="2716"/>
      <c r="N24" s="2716"/>
      <c r="O24" s="2774"/>
      <c r="P24" s="3726"/>
      <c r="Q24" s="1352"/>
      <c r="R24" s="705"/>
      <c r="S24" s="706"/>
      <c r="T24" s="705"/>
      <c r="U24" s="706"/>
      <c r="V24" s="705"/>
      <c r="W24" s="706"/>
      <c r="X24" s="1355"/>
      <c r="Y24" s="372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97</v>
      </c>
      <c r="G25" s="403"/>
      <c r="H25" s="401">
        <f>SUMIF(97:97,G26,98:98)-SUMIF(97:97,C26,98:98)+100</f>
        <v>97</v>
      </c>
      <c r="I25" s="405"/>
      <c r="J25" s="401">
        <f>SUMIF(97:97,I26,98:98)-SUMIF(97:97,C26,98:98)+100</f>
        <v>97</v>
      </c>
      <c r="K25" s="621">
        <v>3</v>
      </c>
      <c r="L25" s="2722"/>
      <c r="M25" s="2716"/>
      <c r="N25" s="2716"/>
      <c r="O25" s="2774"/>
      <c r="P25" s="3726"/>
      <c r="Q25" s="1352" t="str">
        <f t="shared" si="8"/>
        <v>自然及人文环境状况</v>
      </c>
      <c r="R25" s="705" t="s">
        <v>14</v>
      </c>
      <c r="S25" s="706">
        <f>F25</f>
        <v>97</v>
      </c>
      <c r="T25" s="705" t="s">
        <v>14</v>
      </c>
      <c r="U25" s="706">
        <f>H25</f>
        <v>97</v>
      </c>
      <c r="V25" s="705" t="s">
        <v>14</v>
      </c>
      <c r="W25" s="706">
        <f>J25</f>
        <v>97</v>
      </c>
      <c r="X25" s="1355"/>
      <c r="Y25" s="3726"/>
      <c r="Z25" s="1356" t="str">
        <f>Q25</f>
        <v>自然及人文环境状况</v>
      </c>
      <c r="AA25" s="1353">
        <f t="shared" si="3"/>
        <v>1.0309278350515463</v>
      </c>
      <c r="AB25" s="1353">
        <f t="shared" si="4"/>
        <v>1.0309278350515463</v>
      </c>
      <c r="AC25" s="1353">
        <f t="shared" si="5"/>
        <v>1.0309278350515463</v>
      </c>
    </row>
    <row r="26" spans="1:29" ht="15">
      <c r="A26" s="358"/>
      <c r="B26" s="407"/>
      <c r="C26" s="398" t="s">
        <v>3412</v>
      </c>
      <c r="D26" s="399"/>
      <c r="E26" s="1904" t="s">
        <v>3527</v>
      </c>
      <c r="F26" s="399"/>
      <c r="G26" s="1904" t="s">
        <v>3527</v>
      </c>
      <c r="H26" s="399"/>
      <c r="I26" s="1904" t="s">
        <v>3527</v>
      </c>
      <c r="J26" s="399"/>
      <c r="K26" s="620"/>
      <c r="L26" s="2722"/>
      <c r="M26" s="2716"/>
      <c r="N26" s="2716"/>
      <c r="O26" s="2774"/>
      <c r="P26" s="3726"/>
      <c r="Q26" s="1352"/>
      <c r="R26" s="705"/>
      <c r="S26" s="706"/>
      <c r="T26" s="705"/>
      <c r="U26" s="706"/>
      <c r="V26" s="705"/>
      <c r="W26" s="706"/>
      <c r="X26" s="1355"/>
      <c r="Y26" s="372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97</v>
      </c>
      <c r="G27" s="403"/>
      <c r="H27" s="401">
        <f>SUMIF(99:99,G28,100:100)-SUMIF(99:99,C28,100:100)+100</f>
        <v>97</v>
      </c>
      <c r="I27" s="405"/>
      <c r="J27" s="401">
        <f>SUMIF(99:99,I28,100:100)-SUMIF(99:99,C28,100:100)+100</f>
        <v>97</v>
      </c>
      <c r="K27" s="621">
        <v>3</v>
      </c>
      <c r="L27" s="2717"/>
      <c r="M27" s="2718"/>
      <c r="N27" s="2718"/>
      <c r="O27" s="2772"/>
      <c r="P27" s="3726"/>
      <c r="Q27" s="1343" t="str">
        <f t="shared" si="8"/>
        <v>公共配套设施</v>
      </c>
      <c r="R27" s="701" t="s">
        <v>14</v>
      </c>
      <c r="S27" s="702">
        <f>F27</f>
        <v>97</v>
      </c>
      <c r="T27" s="701" t="s">
        <v>14</v>
      </c>
      <c r="U27" s="702">
        <f>H27</f>
        <v>97</v>
      </c>
      <c r="V27" s="701" t="s">
        <v>14</v>
      </c>
      <c r="W27" s="702">
        <f>J27</f>
        <v>97</v>
      </c>
      <c r="X27" s="703"/>
      <c r="Y27" s="3726"/>
      <c r="Z27" s="52" t="str">
        <f>Q27</f>
        <v>公共配套设施</v>
      </c>
      <c r="AA27" s="1353">
        <f>D27/F27</f>
        <v>1.0309278350515463</v>
      </c>
      <c r="AB27" s="1353">
        <f>D27/H27</f>
        <v>1.0309278350515463</v>
      </c>
      <c r="AC27" s="1353">
        <f>D27/J27</f>
        <v>1.0309278350515463</v>
      </c>
    </row>
    <row r="28" spans="1:29" s="108" customFormat="1" ht="15">
      <c r="A28" s="597"/>
      <c r="B28" s="407"/>
      <c r="C28" s="1978" t="s">
        <v>3412</v>
      </c>
      <c r="D28" s="399"/>
      <c r="E28" s="1904" t="s">
        <v>3527</v>
      </c>
      <c r="F28" s="399"/>
      <c r="G28" s="1904" t="s">
        <v>3527</v>
      </c>
      <c r="H28" s="399"/>
      <c r="I28" s="1904" t="s">
        <v>3527</v>
      </c>
      <c r="J28" s="399"/>
      <c r="K28" s="620"/>
      <c r="L28" s="2717"/>
      <c r="M28" s="2718"/>
      <c r="N28" s="2718"/>
      <c r="O28" s="2772"/>
      <c r="P28" s="3726"/>
      <c r="Q28" s="1343"/>
      <c r="R28" s="701"/>
      <c r="S28" s="702"/>
      <c r="T28" s="701"/>
      <c r="U28" s="702"/>
      <c r="V28" s="701"/>
      <c r="W28" s="702"/>
      <c r="X28" s="703"/>
      <c r="Y28" s="372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7"/>
      <c r="M29" s="2718"/>
      <c r="N29" s="2718"/>
      <c r="O29" s="2772"/>
      <c r="P29" s="3726"/>
      <c r="Q29" s="1343" t="str">
        <f t="shared" ref="Q29" si="9">B29</f>
        <v>基础设施水平</v>
      </c>
      <c r="R29" s="701" t="s">
        <v>14</v>
      </c>
      <c r="S29" s="702">
        <f>F29</f>
        <v>100</v>
      </c>
      <c r="T29" s="701" t="s">
        <v>14</v>
      </c>
      <c r="U29" s="702">
        <f>H29</f>
        <v>100</v>
      </c>
      <c r="V29" s="701" t="s">
        <v>14</v>
      </c>
      <c r="W29" s="702">
        <f>J29</f>
        <v>100</v>
      </c>
      <c r="X29" s="703"/>
      <c r="Y29" s="3726"/>
      <c r="Z29" s="52" t="str">
        <f>Q29</f>
        <v>基础设施水平</v>
      </c>
      <c r="AA29" s="1353">
        <f>D29/F29</f>
        <v>1</v>
      </c>
      <c r="AB29" s="1353">
        <f>D29/H29</f>
        <v>1</v>
      </c>
      <c r="AC29" s="1353">
        <f>D29/J29</f>
        <v>1</v>
      </c>
    </row>
    <row r="30" spans="1:29" s="108" customFormat="1" ht="15">
      <c r="A30" s="597"/>
      <c r="B30" s="407"/>
      <c r="C30" s="1978" t="s">
        <v>3528</v>
      </c>
      <c r="D30" s="399"/>
      <c r="E30" s="1978" t="s">
        <v>3528</v>
      </c>
      <c r="F30" s="399"/>
      <c r="G30" s="1978" t="s">
        <v>3528</v>
      </c>
      <c r="H30" s="399"/>
      <c r="I30" s="1978" t="s">
        <v>3528</v>
      </c>
      <c r="J30" s="399"/>
      <c r="K30" s="620"/>
      <c r="L30" s="2717"/>
      <c r="M30" s="2718"/>
      <c r="N30" s="2718"/>
      <c r="O30" s="2772"/>
      <c r="P30" s="3726"/>
      <c r="Q30" s="1343"/>
      <c r="R30" s="701"/>
      <c r="S30" s="702"/>
      <c r="T30" s="701"/>
      <c r="U30" s="702"/>
      <c r="V30" s="701"/>
      <c r="W30" s="702"/>
      <c r="X30" s="703"/>
      <c r="Y30" s="372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6"/>
      <c r="Q32" s="1352" t="str">
        <f t="shared" si="8"/>
        <v>毗邻道路的类型与等级</v>
      </c>
      <c r="R32" s="705" t="s">
        <v>14</v>
      </c>
      <c r="S32" s="706">
        <f t="shared" si="10"/>
        <v>100</v>
      </c>
      <c r="T32" s="705" t="s">
        <v>14</v>
      </c>
      <c r="U32" s="706">
        <f t="shared" si="11"/>
        <v>100</v>
      </c>
      <c r="V32" s="705" t="s">
        <v>14</v>
      </c>
      <c r="W32" s="706">
        <f t="shared" si="12"/>
        <v>100</v>
      </c>
      <c r="X32" s="1355"/>
      <c r="Y32" s="372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6"/>
      <c r="Q33" s="1352"/>
      <c r="R33" s="705"/>
      <c r="S33" s="706"/>
      <c r="T33" s="705"/>
      <c r="U33" s="706"/>
      <c r="V33" s="705"/>
      <c r="W33" s="706"/>
      <c r="X33" s="1355"/>
      <c r="Y33" s="372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6"/>
      <c r="Q34" s="1352" t="str">
        <f t="shared" si="8"/>
        <v>土地级别</v>
      </c>
      <c r="R34" s="705" t="s">
        <v>14</v>
      </c>
      <c r="S34" s="706">
        <f t="shared" si="10"/>
        <v>100</v>
      </c>
      <c r="T34" s="705" t="s">
        <v>14</v>
      </c>
      <c r="U34" s="706">
        <f t="shared" si="11"/>
        <v>100</v>
      </c>
      <c r="V34" s="705" t="s">
        <v>14</v>
      </c>
      <c r="W34" s="706">
        <f t="shared" si="12"/>
        <v>100</v>
      </c>
      <c r="X34" s="1355"/>
      <c r="Y34" s="372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6"/>
      <c r="Q35" s="1352">
        <f t="shared" si="8"/>
        <v>111</v>
      </c>
      <c r="R35" s="705" t="s">
        <v>14</v>
      </c>
      <c r="S35" s="706">
        <f t="shared" si="10"/>
        <v>100</v>
      </c>
      <c r="T35" s="705" t="s">
        <v>14</v>
      </c>
      <c r="U35" s="706">
        <f t="shared" si="11"/>
        <v>100</v>
      </c>
      <c r="V35" s="705" t="s">
        <v>14</v>
      </c>
      <c r="W35" s="706">
        <f t="shared" si="12"/>
        <v>100</v>
      </c>
      <c r="X35" s="1355"/>
      <c r="Y35" s="372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7" t="s">
        <v>1696</v>
      </c>
      <c r="Q36" s="1352">
        <f t="shared" si="8"/>
        <v>111</v>
      </c>
      <c r="R36" s="705" t="s">
        <v>14</v>
      </c>
      <c r="S36" s="706">
        <f t="shared" si="10"/>
        <v>100</v>
      </c>
      <c r="T36" s="705" t="s">
        <v>14</v>
      </c>
      <c r="U36" s="706">
        <f t="shared" si="11"/>
        <v>100</v>
      </c>
      <c r="V36" s="705" t="s">
        <v>14</v>
      </c>
      <c r="W36" s="706">
        <f t="shared" si="12"/>
        <v>100</v>
      </c>
      <c r="X36" s="1355"/>
      <c r="Y36" s="372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8"/>
      <c r="Q37" s="1352">
        <f t="shared" si="8"/>
        <v>111</v>
      </c>
      <c r="R37" s="708" t="s">
        <v>14</v>
      </c>
      <c r="S37" s="709">
        <f t="shared" si="10"/>
        <v>100</v>
      </c>
      <c r="T37" s="708" t="s">
        <v>14</v>
      </c>
      <c r="U37" s="709">
        <f t="shared" si="11"/>
        <v>100</v>
      </c>
      <c r="V37" s="708" t="s">
        <v>14</v>
      </c>
      <c r="W37" s="709">
        <f t="shared" si="12"/>
        <v>100</v>
      </c>
      <c r="X37" s="710"/>
      <c r="Y37" s="3728"/>
      <c r="Z37" s="711">
        <f t="shared" si="13"/>
        <v>111</v>
      </c>
      <c r="AA37" s="1353">
        <f t="shared" si="3"/>
        <v>1</v>
      </c>
      <c r="AB37" s="1353">
        <f t="shared" si="4"/>
        <v>1</v>
      </c>
      <c r="AC37" s="1353">
        <f t="shared" si="5"/>
        <v>1</v>
      </c>
    </row>
    <row r="38" spans="1:29" ht="15">
      <c r="A38" s="423" t="s">
        <v>1694</v>
      </c>
      <c r="B38" s="407" t="s">
        <v>1874</v>
      </c>
      <c r="C38" s="627">
        <f>'数据-汇总表'!D3</f>
        <v>16321.07</v>
      </c>
      <c r="D38" s="418">
        <v>100</v>
      </c>
      <c r="E38" s="627">
        <f>土地案例!I2</f>
        <v>49900.54</v>
      </c>
      <c r="F38" s="418">
        <f>LOOKUP(E38,116:116,117:117)-LOOKUP(C38,116:116,117:117)+100</f>
        <v>104</v>
      </c>
      <c r="G38" s="627">
        <f>土地案例!I3</f>
        <v>32733.22</v>
      </c>
      <c r="H38" s="418">
        <f>LOOKUP(G38,116:116,117:117)-LOOKUP(C38,116:116,117:117)+100</f>
        <v>102</v>
      </c>
      <c r="I38" s="479">
        <f>土地案例!I4</f>
        <v>29506.55</v>
      </c>
      <c r="J38" s="418">
        <f>LOOKUP(I38,116:116,117:117)-LOOKUP(C38,116:116,117:117)+100</f>
        <v>102</v>
      </c>
      <c r="K38" s="562"/>
      <c r="L38" s="2722"/>
      <c r="M38" s="2716"/>
      <c r="N38" s="2716"/>
      <c r="O38" s="2774"/>
      <c r="P38" s="3728"/>
      <c r="Q38" s="1352" t="str">
        <f>B38</f>
        <v>宗地面积</v>
      </c>
      <c r="R38" s="705" t="s">
        <v>14</v>
      </c>
      <c r="S38" s="706">
        <f t="shared" si="10"/>
        <v>104</v>
      </c>
      <c r="T38" s="705" t="s">
        <v>14</v>
      </c>
      <c r="U38" s="706">
        <f t="shared" si="11"/>
        <v>102</v>
      </c>
      <c r="V38" s="705" t="s">
        <v>14</v>
      </c>
      <c r="W38" s="706">
        <f t="shared" si="12"/>
        <v>102</v>
      </c>
      <c r="X38" s="1355"/>
      <c r="Y38" s="3728"/>
      <c r="Z38" s="1356" t="str">
        <f t="shared" si="13"/>
        <v>宗地面积</v>
      </c>
      <c r="AA38" s="1353">
        <f t="shared" si="3"/>
        <v>0.96153846153846156</v>
      </c>
      <c r="AB38" s="1353">
        <f t="shared" si="4"/>
        <v>0.98039215686274506</v>
      </c>
      <c r="AC38" s="1353">
        <f t="shared" si="5"/>
        <v>0.98039215686274506</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8"/>
      <c r="Q39" s="1352" t="str">
        <f t="shared" ref="Q39:Q45" si="14">B39</f>
        <v>宗地形状</v>
      </c>
      <c r="R39" s="705" t="s">
        <v>14</v>
      </c>
      <c r="S39" s="706">
        <f t="shared" si="10"/>
        <v>100</v>
      </c>
      <c r="T39" s="705" t="s">
        <v>14</v>
      </c>
      <c r="U39" s="706">
        <f t="shared" si="11"/>
        <v>100</v>
      </c>
      <c r="V39" s="705" t="s">
        <v>14</v>
      </c>
      <c r="W39" s="706">
        <f t="shared" si="12"/>
        <v>100</v>
      </c>
      <c r="X39" s="1355"/>
      <c r="Y39" s="372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8"/>
      <c r="Q40" s="1352" t="str">
        <f t="shared" si="14"/>
        <v>临街宽度及深度</v>
      </c>
      <c r="R40" s="705" t="s">
        <v>14</v>
      </c>
      <c r="S40" s="706">
        <f t="shared" si="10"/>
        <v>100</v>
      </c>
      <c r="T40" s="705" t="s">
        <v>14</v>
      </c>
      <c r="U40" s="706">
        <f t="shared" si="11"/>
        <v>100</v>
      </c>
      <c r="V40" s="705" t="s">
        <v>14</v>
      </c>
      <c r="W40" s="706">
        <f t="shared" si="12"/>
        <v>100</v>
      </c>
      <c r="X40" s="1355"/>
      <c r="Y40" s="372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8"/>
      <c r="Q41" s="1352" t="str">
        <f t="shared" si="14"/>
        <v>宗地开发程度</v>
      </c>
      <c r="R41" s="701" t="s">
        <v>14</v>
      </c>
      <c r="S41" s="702">
        <f t="shared" si="10"/>
        <v>100</v>
      </c>
      <c r="T41" s="701" t="s">
        <v>14</v>
      </c>
      <c r="U41" s="702">
        <f t="shared" si="11"/>
        <v>100</v>
      </c>
      <c r="V41" s="701" t="s">
        <v>14</v>
      </c>
      <c r="W41" s="702">
        <f t="shared" si="12"/>
        <v>100</v>
      </c>
      <c r="X41" s="703"/>
      <c r="Y41" s="372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8" t="s">
        <v>1696</v>
      </c>
      <c r="Q42" s="1352" t="str">
        <f t="shared" si="14"/>
        <v>工程地质条件</v>
      </c>
      <c r="R42" s="705" t="s">
        <v>14</v>
      </c>
      <c r="S42" s="706">
        <f t="shared" si="10"/>
        <v>100</v>
      </c>
      <c r="T42" s="705" t="s">
        <v>14</v>
      </c>
      <c r="U42" s="706">
        <f t="shared" si="11"/>
        <v>100</v>
      </c>
      <c r="V42" s="705" t="s">
        <v>14</v>
      </c>
      <c r="W42" s="706">
        <f t="shared" si="12"/>
        <v>100</v>
      </c>
      <c r="X42" s="1355"/>
      <c r="Y42" s="372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8"/>
      <c r="Q43" s="1352">
        <f t="shared" si="14"/>
        <v>111</v>
      </c>
      <c r="R43" s="705" t="s">
        <v>14</v>
      </c>
      <c r="S43" s="706">
        <f t="shared" si="10"/>
        <v>100</v>
      </c>
      <c r="T43" s="705" t="s">
        <v>14</v>
      </c>
      <c r="U43" s="706">
        <f t="shared" si="11"/>
        <v>100</v>
      </c>
      <c r="V43" s="705" t="s">
        <v>14</v>
      </c>
      <c r="W43" s="706">
        <f t="shared" si="12"/>
        <v>100</v>
      </c>
      <c r="X43" s="1355"/>
      <c r="Y43" s="372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8"/>
      <c r="Q44" s="1352">
        <f t="shared" si="14"/>
        <v>111</v>
      </c>
      <c r="R44" s="705" t="s">
        <v>14</v>
      </c>
      <c r="S44" s="706">
        <f t="shared" si="10"/>
        <v>100</v>
      </c>
      <c r="T44" s="705" t="s">
        <v>14</v>
      </c>
      <c r="U44" s="706">
        <f t="shared" si="11"/>
        <v>100</v>
      </c>
      <c r="V44" s="705" t="s">
        <v>14</v>
      </c>
      <c r="W44" s="706">
        <f t="shared" si="12"/>
        <v>100</v>
      </c>
      <c r="X44" s="1355"/>
      <c r="Y44" s="372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8"/>
      <c r="Q45" s="1352">
        <f t="shared" si="14"/>
        <v>111</v>
      </c>
      <c r="R45" s="708" t="s">
        <v>14</v>
      </c>
      <c r="S45" s="709">
        <f t="shared" si="10"/>
        <v>100</v>
      </c>
      <c r="T45" s="708" t="s">
        <v>14</v>
      </c>
      <c r="U45" s="709">
        <f t="shared" si="11"/>
        <v>100</v>
      </c>
      <c r="V45" s="708" t="s">
        <v>14</v>
      </c>
      <c r="W45" s="709">
        <f t="shared" si="12"/>
        <v>100</v>
      </c>
      <c r="X45" s="710"/>
      <c r="Y45" s="3728"/>
      <c r="Z45" s="711">
        <f t="shared" si="13"/>
        <v>111</v>
      </c>
      <c r="AA45" s="1353">
        <f t="shared" si="3"/>
        <v>1</v>
      </c>
      <c r="AB45" s="1353">
        <f t="shared" si="4"/>
        <v>1</v>
      </c>
      <c r="AC45" s="1353">
        <f t="shared" si="5"/>
        <v>1</v>
      </c>
    </row>
    <row r="46" spans="1:29" ht="15">
      <c r="A46" s="430" t="s">
        <v>1844</v>
      </c>
      <c r="B46" s="1982" t="s">
        <v>1879</v>
      </c>
      <c r="C46" s="630" t="s">
        <v>0</v>
      </c>
      <c r="D46" s="432"/>
      <c r="E46" s="433">
        <f>土地案例!N2</f>
        <v>20677</v>
      </c>
      <c r="F46" s="434"/>
      <c r="G46" s="435">
        <f>土地案例!N3</f>
        <v>20691</v>
      </c>
      <c r="H46" s="436"/>
      <c r="I46" s="433">
        <f>土地案例!N4</f>
        <v>20797</v>
      </c>
      <c r="J46" s="436"/>
      <c r="K46" s="714"/>
      <c r="L46" s="2724"/>
      <c r="M46" s="2725"/>
      <c r="N46" s="2716"/>
      <c r="O46" s="2725"/>
      <c r="P46" s="3710" t="str">
        <f>A46</f>
        <v>成交单价</v>
      </c>
      <c r="Q46" s="3710"/>
      <c r="R46" s="3723">
        <f>E46</f>
        <v>20677</v>
      </c>
      <c r="S46" s="3723"/>
      <c r="T46" s="3723">
        <f>G46</f>
        <v>20691</v>
      </c>
      <c r="U46" s="3723"/>
      <c r="V46" s="3723">
        <f>I46</f>
        <v>20797</v>
      </c>
      <c r="W46" s="3723"/>
      <c r="X46" s="690"/>
      <c r="Y46" s="712"/>
      <c r="Z46" s="690"/>
      <c r="AA46" s="690"/>
      <c r="AB46" s="690"/>
      <c r="AC46" s="690"/>
    </row>
    <row r="47" spans="1:29" ht="15.75" thickBot="1">
      <c r="A47" s="437" t="s">
        <v>1793</v>
      </c>
      <c r="B47" s="631"/>
      <c r="C47" s="440">
        <f>R48</f>
        <v>18536</v>
      </c>
      <c r="D47" s="2317" t="s">
        <v>2138</v>
      </c>
      <c r="E47" s="440">
        <f>R47</f>
        <v>18183</v>
      </c>
      <c r="F47" s="2318"/>
      <c r="G47" s="439">
        <f>T47</f>
        <v>18664</v>
      </c>
      <c r="H47" s="2318"/>
      <c r="I47" s="440">
        <f>V47</f>
        <v>18760</v>
      </c>
      <c r="J47" s="2318"/>
      <c r="K47" s="2320">
        <f>F47+H47+J47</f>
        <v>0</v>
      </c>
      <c r="L47" s="2724"/>
      <c r="M47" s="2725"/>
      <c r="N47" s="2725"/>
      <c r="O47" s="2725"/>
      <c r="P47" s="3710" t="str">
        <f>A47</f>
        <v>比较价值（元/平方米）</v>
      </c>
      <c r="Q47" s="3710"/>
      <c r="R47" s="3729">
        <f>ROUND(PRODUCT(R46,AA7:AA45),0)</f>
        <v>18183</v>
      </c>
      <c r="S47" s="3729"/>
      <c r="T47" s="3729">
        <f>ROUND(PRODUCT(T46,AB7:AB45),0)</f>
        <v>18664</v>
      </c>
      <c r="U47" s="3729"/>
      <c r="V47" s="3729">
        <f>ROUND(PRODUCT(V46,AC7:AC45),0)</f>
        <v>18760</v>
      </c>
      <c r="W47" s="3729"/>
      <c r="X47" s="690"/>
      <c r="Y47" s="690"/>
      <c r="Z47" s="690"/>
      <c r="AA47" s="690"/>
      <c r="AB47" s="690"/>
      <c r="AC47" s="690"/>
    </row>
    <row r="48" spans="1:29" ht="15.75" thickBot="1">
      <c r="A48" s="441" t="s">
        <v>1880</v>
      </c>
      <c r="B48" s="442"/>
      <c r="C48" s="443">
        <f>R48</f>
        <v>18536</v>
      </c>
      <c r="D48" s="443"/>
      <c r="E48" s="443"/>
      <c r="F48" s="443"/>
      <c r="G48" s="443"/>
      <c r="H48" s="443"/>
      <c r="I48" s="443"/>
      <c r="J48" s="443"/>
      <c r="K48" s="715"/>
      <c r="L48" s="2724"/>
      <c r="M48" s="2725"/>
      <c r="N48" s="2725"/>
      <c r="O48" s="2725"/>
      <c r="P48" s="3730" t="str">
        <f>A48</f>
        <v>估价对象XX用房的比较价值（楼面单价，元/平方米）</v>
      </c>
      <c r="Q48" s="3731"/>
      <c r="R48" s="3732">
        <f>ROUND(IF(D47="简单平均",AVERAGE(R47:W47),R47*F47+T47*H47+V47*J47),0)</f>
        <v>18536</v>
      </c>
      <c r="S48" s="3732"/>
      <c r="T48" s="3732"/>
      <c r="U48" s="3732"/>
      <c r="V48" s="3732"/>
      <c r="W48" s="373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f>IF(E46&lt;E47,E47/E46-1,E46/E47-1)</f>
        <v>0.13716108452950548</v>
      </c>
      <c r="F51" s="449" t="str">
        <f>IF(OR(E51&gt;=0.3,E51&lt;=-0.3),"超过30%","")</f>
        <v/>
      </c>
      <c r="G51" s="448">
        <f>IF(G46&lt;G47,G47/G46-1,G46/G47-1)</f>
        <v>0.10860480068581224</v>
      </c>
      <c r="H51" s="449" t="str">
        <f>IF(OR(G51&gt;=0.3,G51&lt;=-0.3),"超过30%","")</f>
        <v/>
      </c>
      <c r="I51" s="448">
        <f>IF(I46&lt;I47,I47/I46-1,I46/I47-1)</f>
        <v>0.10858208955223891</v>
      </c>
      <c r="J51" s="449" t="str">
        <f>IF(OR(I51&gt;=0.3,I51&lt;=-0.3),"超过30%","")</f>
        <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f>IF(E47&lt;G47,G47/E47-1,E47/G47-1)</f>
        <v>2.6453280536765211E-2</v>
      </c>
      <c r="F52" s="449" t="str">
        <f>IF(OR(E52&gt;=0.2,E52&lt;=-0.2),"超过20%","")</f>
        <v/>
      </c>
      <c r="G52" s="448">
        <f>IF(G47&lt;I47,I47/G47-1,G47/I47-1)</f>
        <v>5.1435919417059939E-3</v>
      </c>
      <c r="H52" s="449" t="str">
        <f>IF(OR(G52&gt;=0.2,G52&lt;=-0.2),"超过20%","")</f>
        <v/>
      </c>
      <c r="I52" s="448">
        <f>IF(I47&lt;E47,E47/I47-1,I47/E47-1)</f>
        <v>3.1732937359071567E-2</v>
      </c>
      <c r="J52" s="449" t="str">
        <f>IF(OR(I52&gt;=0.2,I52&lt;=-0.2),"超过20%","")</f>
        <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f>IF(E46&lt;G46,G46/E46-1,E46/G46-1)</f>
        <v>6.7708081443140777E-4</v>
      </c>
      <c r="F53" s="449" t="str">
        <f>IF(OR(E53&gt;=0.3,E53&lt;=-0.3),"超过30%","")</f>
        <v/>
      </c>
      <c r="G53" s="448">
        <f>IF(G46&lt;I46,I46/G46-1,G46/I46-1)</f>
        <v>5.1230003383113676E-3</v>
      </c>
      <c r="H53" s="449" t="str">
        <f>IF(OR(G53&gt;=0.3,G53&lt;=-0.3),"超过30%","")</f>
        <v/>
      </c>
      <c r="I53" s="448">
        <f>IF(I46&lt;E46,E46/I46-1,I46/E46-1)</f>
        <v>5.8035498379842565E-3</v>
      </c>
      <c r="J53" s="449" t="str">
        <f>IF(OR(I53&gt;=0.3,I53&lt;=-0.3),"超过30%","")</f>
        <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1" t="s">
        <v>1887</v>
      </c>
      <c r="H55" s="373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f>C48</f>
        <v>18536</v>
      </c>
      <c r="C56" s="638">
        <v>1</v>
      </c>
      <c r="D56" s="944">
        <v>1</v>
      </c>
      <c r="E56" s="638">
        <f>'数据-汇总表'!E8+'数据-汇总表'!E9</f>
        <v>65713.740000000005</v>
      </c>
      <c r="F56" s="886">
        <f t="shared" ref="F56:F64" si="15">ROUND(B56*E56/10000,0)</f>
        <v>121807</v>
      </c>
      <c r="G56" s="3734"/>
      <c r="H56" s="371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f>ROUND($C$48*C57*D57,0)</f>
        <v>0</v>
      </c>
      <c r="C57" s="171">
        <f t="shared" ref="C57:C64" si="16">IF($C$55="北京市系数",I57,J57)</f>
        <v>0</v>
      </c>
      <c r="D57" s="945">
        <v>0.25</v>
      </c>
      <c r="E57" s="642"/>
      <c r="F57" s="886">
        <f t="shared" si="15"/>
        <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f t="shared" ref="B58:B64" si="17">ROUND($C$48*C58*D58,0)</f>
        <v>0</v>
      </c>
      <c r="C58" s="171">
        <f t="shared" si="16"/>
        <v>0</v>
      </c>
      <c r="D58" s="945">
        <v>0.25</v>
      </c>
      <c r="E58" s="642"/>
      <c r="F58" s="886">
        <f t="shared" si="15"/>
        <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f t="shared" si="17"/>
        <v>0</v>
      </c>
      <c r="C59" s="171">
        <f t="shared" si="16"/>
        <v>0</v>
      </c>
      <c r="D59" s="945">
        <v>0.25</v>
      </c>
      <c r="E59" s="642"/>
      <c r="F59" s="886">
        <f t="shared" si="15"/>
        <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f t="shared" si="17"/>
        <v>1390</v>
      </c>
      <c r="C60" s="171">
        <f t="shared" si="16"/>
        <v>0.3</v>
      </c>
      <c r="D60" s="945">
        <v>0.25</v>
      </c>
      <c r="E60" s="217">
        <f>'数据-汇总表'!E11</f>
        <v>16784.940000000002</v>
      </c>
      <c r="F60" s="886">
        <f t="shared" si="15"/>
        <v>2333</v>
      </c>
      <c r="G60" s="1987" t="s">
        <v>1896</v>
      </c>
      <c r="H60" s="887" t="str">
        <f>项目基本情况!C37</f>
        <v>二级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f t="shared" si="17"/>
        <v>1390</v>
      </c>
      <c r="C61" s="171">
        <f t="shared" si="16"/>
        <v>0.3</v>
      </c>
      <c r="D61" s="945">
        <v>0.25</v>
      </c>
      <c r="E61" s="217">
        <f>'数据-汇总表'!E12</f>
        <v>0</v>
      </c>
      <c r="F61" s="886">
        <f t="shared" si="15"/>
        <v>0</v>
      </c>
      <c r="G61" s="892" t="s">
        <v>21</v>
      </c>
      <c r="H61" s="887" t="str">
        <f>IF(G61="商业",项目基本情况!B37,IF(G61="办公",项目基本情况!C37,IF(G61="住宅",项目基本情况!D37,项目基本情况!E37)))</f>
        <v>二级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f t="shared" si="17"/>
        <v>927</v>
      </c>
      <c r="C62" s="171">
        <f t="shared" si="16"/>
        <v>0.2</v>
      </c>
      <c r="D62" s="945">
        <v>0.25</v>
      </c>
      <c r="E62" s="217">
        <f>'数据-汇总表'!E13</f>
        <v>5437.93</v>
      </c>
      <c r="F62" s="886">
        <f t="shared" si="15"/>
        <v>504</v>
      </c>
      <c r="G62" s="892" t="s">
        <v>1900</v>
      </c>
      <c r="H62" s="887" t="str">
        <f>IF(G62="商业",项目基本情况!B37,IF(G62="办公",项目基本情况!C37,IF(G62="住宅",项目基本情况!D37,项目基本情况!E37)))</f>
        <v>二级</v>
      </c>
      <c r="I62" s="891">
        <f>SUMIF(修正!A57:A68,H62,修正!G57:G68)</f>
        <v>0.2</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f t="shared" si="17"/>
        <v>0</v>
      </c>
      <c r="C63" s="171">
        <f t="shared" si="16"/>
        <v>0</v>
      </c>
      <c r="D63" s="945">
        <v>0.25</v>
      </c>
      <c r="E63" s="217">
        <f>'数据-汇总表'!E14</f>
        <v>0</v>
      </c>
      <c r="F63" s="886">
        <f t="shared" si="15"/>
        <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f t="shared" si="17"/>
        <v>927</v>
      </c>
      <c r="C64" s="171">
        <f t="shared" si="16"/>
        <v>0.2</v>
      </c>
      <c r="D64" s="945">
        <v>0.25</v>
      </c>
      <c r="E64" s="217">
        <f>'数据-汇总表'!E15</f>
        <v>0</v>
      </c>
      <c r="F64" s="886">
        <f t="shared" si="15"/>
        <v>0</v>
      </c>
      <c r="G64" s="1988" t="s">
        <v>1896</v>
      </c>
      <c r="H64" s="897" t="str">
        <f>项目基本情况!C37</f>
        <v>二级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87936.610000000015</v>
      </c>
      <c r="F65" s="645">
        <f>IF(B46="楼面地价",SUM(F56:F64),ROUND(C48*E65/10000,0))</f>
        <v>124644</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f>C70-0.2</f>
        <v>99.8</v>
      </c>
      <c r="E70" s="544">
        <f t="shared" ref="E70:M70" si="20">D70-0.2</f>
        <v>99.6</v>
      </c>
      <c r="F70" s="544">
        <f t="shared" si="20"/>
        <v>99.399999999999991</v>
      </c>
      <c r="G70" s="544">
        <f t="shared" si="20"/>
        <v>99.199999999999989</v>
      </c>
      <c r="H70" s="544">
        <f t="shared" si="20"/>
        <v>98.999999999999986</v>
      </c>
      <c r="I70" s="544">
        <f t="shared" si="20"/>
        <v>98.799999999999983</v>
      </c>
      <c r="J70" s="544">
        <f t="shared" si="20"/>
        <v>98.59999999999998</v>
      </c>
      <c r="K70" s="544">
        <f t="shared" si="20"/>
        <v>98.399999999999977</v>
      </c>
      <c r="L70" s="544">
        <f t="shared" si="20"/>
        <v>98.199999999999974</v>
      </c>
      <c r="M70" s="544">
        <f t="shared" si="20"/>
        <v>97.999999999999972</v>
      </c>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3479" t="s">
        <v>3524</v>
      </c>
      <c r="D74" s="3479" t="s">
        <v>3526</v>
      </c>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v>100</v>
      </c>
      <c r="D75" s="485">
        <v>100</v>
      </c>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v>
      </c>
      <c r="I78" s="496" t="str">
        <f t="shared" si="21"/>
        <v>（含）-</v>
      </c>
      <c r="J78" s="496" t="str">
        <f t="shared" si="21"/>
        <v>（含）-</v>
      </c>
      <c r="K78" s="496" t="str">
        <f t="shared" si="21"/>
        <v>（含）-</v>
      </c>
      <c r="L78" s="496" t="str">
        <f t="shared" si="21"/>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v>0</v>
      </c>
      <c r="D79" s="498">
        <v>1</v>
      </c>
      <c r="E79" s="498">
        <v>2</v>
      </c>
      <c r="F79" s="498">
        <v>3</v>
      </c>
      <c r="G79" s="498">
        <v>4</v>
      </c>
      <c r="H79" s="498">
        <v>5</v>
      </c>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97</v>
      </c>
      <c r="E92" s="493">
        <f>D92-$K19</f>
        <v>94</v>
      </c>
      <c r="F92" s="493">
        <f>E92-$K19</f>
        <v>91</v>
      </c>
      <c r="G92" s="493">
        <f>F92-$K19</f>
        <v>88</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97</v>
      </c>
      <c r="E94" s="493">
        <f>D94-$K21</f>
        <v>94</v>
      </c>
      <c r="F94" s="493">
        <f>E94-$K21</f>
        <v>91</v>
      </c>
      <c r="G94" s="493">
        <f>F94-$K21</f>
        <v>88</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28.5">
      <c r="A115" s="476" t="s">
        <v>1694</v>
      </c>
      <c r="B115" s="477" t="s">
        <v>1913</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v>
      </c>
      <c r="H115" s="478" t="str">
        <f t="shared" si="26"/>
        <v>(含)-</v>
      </c>
      <c r="I115" s="478" t="str">
        <f t="shared" si="26"/>
        <v>(含)-</v>
      </c>
      <c r="J115" s="478" t="str">
        <f t="shared" si="26"/>
        <v>(含)-</v>
      </c>
      <c r="K115" s="478" t="str">
        <f t="shared" si="26"/>
        <v>(含)-</v>
      </c>
      <c r="L115" s="478" t="str">
        <f t="shared" si="26"/>
        <v>(含)-</v>
      </c>
      <c r="M115" s="478" t="str">
        <f t="shared" si="26"/>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v>0</v>
      </c>
      <c r="D116" s="544">
        <v>20000</v>
      </c>
      <c r="E116" s="544">
        <v>40000</v>
      </c>
      <c r="F116" s="544">
        <v>60000</v>
      </c>
      <c r="G116" s="544">
        <v>80000</v>
      </c>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v>96</v>
      </c>
      <c r="D117" s="540">
        <v>98</v>
      </c>
      <c r="E117" s="540">
        <v>100</v>
      </c>
      <c r="F117" s="540">
        <v>98</v>
      </c>
      <c r="G117" s="540">
        <v>96</v>
      </c>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7">C119-$K39</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4">
        <f t="shared" si="27"/>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9">C123-$K41</f>
        <v>100</v>
      </c>
      <c r="E123" s="493">
        <f t="shared" si="29"/>
        <v>100</v>
      </c>
      <c r="F123" s="493">
        <f t="shared" si="29"/>
        <v>100</v>
      </c>
      <c r="G123" s="493">
        <f t="shared" si="29"/>
        <v>100</v>
      </c>
      <c r="H123" s="493">
        <f t="shared" si="29"/>
        <v>100</v>
      </c>
      <c r="I123" s="493">
        <f t="shared" si="29"/>
        <v>100</v>
      </c>
      <c r="J123" s="493">
        <f t="shared" si="29"/>
        <v>100</v>
      </c>
      <c r="K123" s="493">
        <f t="shared" si="29"/>
        <v>100</v>
      </c>
      <c r="L123" s="493">
        <f t="shared" si="29"/>
        <v>100</v>
      </c>
      <c r="M123" s="494">
        <f t="shared" si="29"/>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30">C125-$K42</f>
        <v>100</v>
      </c>
      <c r="E125" s="493">
        <f t="shared" si="30"/>
        <v>100</v>
      </c>
      <c r="F125" s="493">
        <f t="shared" si="30"/>
        <v>100</v>
      </c>
      <c r="G125" s="493">
        <f t="shared" si="30"/>
        <v>100</v>
      </c>
      <c r="H125" s="493">
        <f t="shared" si="30"/>
        <v>100</v>
      </c>
      <c r="I125" s="493">
        <f t="shared" si="30"/>
        <v>100</v>
      </c>
      <c r="J125" s="493">
        <f t="shared" si="30"/>
        <v>100</v>
      </c>
      <c r="K125" s="493">
        <f t="shared" si="30"/>
        <v>100</v>
      </c>
      <c r="L125" s="493">
        <f t="shared" si="30"/>
        <v>100</v>
      </c>
      <c r="M125" s="494">
        <f t="shared" si="30"/>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G4" sqref="G4"/>
    </sheetView>
  </sheetViews>
  <sheetFormatPr defaultRowHeight="13.5"/>
  <cols>
    <col min="1" max="1" width="20" style="3475" customWidth="1"/>
    <col min="2" max="2" width="20" style="3475" hidden="1" customWidth="1"/>
    <col min="3" max="3" width="7.625" style="3475" customWidth="1"/>
    <col min="4" max="4" width="10.625" style="3475" customWidth="1"/>
    <col min="5" max="5" width="9.25" style="3475" customWidth="1"/>
    <col min="6" max="6" width="8.25" style="3475" customWidth="1"/>
    <col min="7" max="7" width="14" style="3475" customWidth="1"/>
    <col min="8" max="8" width="12.5" style="3475" customWidth="1"/>
    <col min="9" max="9" width="11.75" style="3475" customWidth="1"/>
    <col min="10" max="10" width="13" style="3475" hidden="1" customWidth="1"/>
    <col min="11" max="11" width="20" style="3475" hidden="1" customWidth="1"/>
    <col min="12" max="12" width="10.875" style="3475" customWidth="1"/>
    <col min="13" max="13" width="11.75" style="3475" customWidth="1"/>
    <col min="14" max="14" width="10.375" style="3475" customWidth="1"/>
    <col min="15" max="15" width="8.75" style="3475" customWidth="1"/>
    <col min="16" max="16" width="20" style="3475" customWidth="1"/>
    <col min="17" max="17" width="20" style="3475" hidden="1" customWidth="1"/>
    <col min="18" max="18" width="20" style="3475" customWidth="1"/>
    <col min="19" max="16384" width="9" style="3475"/>
  </cols>
  <sheetData>
    <row r="1" spans="1:17">
      <c r="A1" s="3475" t="s">
        <v>3436</v>
      </c>
      <c r="B1" s="3475" t="s">
        <v>3437</v>
      </c>
      <c r="C1" s="3475" t="s">
        <v>3438</v>
      </c>
      <c r="D1" s="3475" t="s">
        <v>3439</v>
      </c>
      <c r="E1" s="3475" t="s">
        <v>3440</v>
      </c>
      <c r="F1" s="3475" t="s">
        <v>3441</v>
      </c>
      <c r="G1" s="3475" t="s">
        <v>3442</v>
      </c>
      <c r="H1" s="3475" t="s">
        <v>3443</v>
      </c>
      <c r="I1" s="3475" t="s">
        <v>3444</v>
      </c>
      <c r="J1" s="3475" t="s">
        <v>3445</v>
      </c>
      <c r="K1" s="3475" t="s">
        <v>3446</v>
      </c>
      <c r="L1" s="3475" t="s">
        <v>3447</v>
      </c>
      <c r="M1" s="3475" t="s">
        <v>3448</v>
      </c>
      <c r="N1" s="3475" t="s">
        <v>3449</v>
      </c>
      <c r="O1" s="3475" t="s">
        <v>3450</v>
      </c>
      <c r="P1" s="3475" t="s">
        <v>3451</v>
      </c>
      <c r="Q1" s="3475" t="s">
        <v>3452</v>
      </c>
    </row>
    <row r="2" spans="1:17" s="3477" customFormat="1">
      <c r="A2" s="3477" t="s">
        <v>3453</v>
      </c>
      <c r="B2" s="3477" t="s">
        <v>3454</v>
      </c>
      <c r="C2" s="3477" t="s">
        <v>3455</v>
      </c>
      <c r="D2" s="3477" t="s">
        <v>3456</v>
      </c>
      <c r="E2" s="3477" t="s">
        <v>3457</v>
      </c>
      <c r="F2" s="3477">
        <v>2.2000000000000002</v>
      </c>
      <c r="G2" s="3477" t="s">
        <v>3458</v>
      </c>
      <c r="H2" s="3477">
        <v>109781.19</v>
      </c>
      <c r="I2" s="3477">
        <v>49900.54</v>
      </c>
      <c r="J2" s="3477" t="s">
        <v>3459</v>
      </c>
      <c r="K2" s="3477">
        <v>227000</v>
      </c>
      <c r="L2" s="3478">
        <v>45141.000497685185</v>
      </c>
      <c r="M2" s="3477">
        <v>227000</v>
      </c>
      <c r="N2" s="3477">
        <v>20677</v>
      </c>
      <c r="O2" s="3477">
        <v>0</v>
      </c>
      <c r="P2" s="3477" t="s">
        <v>3460</v>
      </c>
      <c r="Q2" s="3477">
        <v>46000</v>
      </c>
    </row>
    <row r="3" spans="1:17" s="3477" customFormat="1">
      <c r="A3" s="3477" t="s">
        <v>3461</v>
      </c>
      <c r="B3" s="3477" t="s">
        <v>3462</v>
      </c>
      <c r="C3" s="3477" t="s">
        <v>3455</v>
      </c>
      <c r="D3" s="3477" t="s">
        <v>3456</v>
      </c>
      <c r="E3" s="3477" t="s">
        <v>3457</v>
      </c>
      <c r="F3" s="3477">
        <v>2.2000000000000002</v>
      </c>
      <c r="G3" s="3477" t="s">
        <v>3458</v>
      </c>
      <c r="H3" s="3477">
        <v>72013.08</v>
      </c>
      <c r="I3" s="3477">
        <v>32733.22</v>
      </c>
      <c r="J3" s="3477" t="s">
        <v>3463</v>
      </c>
      <c r="K3" s="3477">
        <v>149000</v>
      </c>
      <c r="L3" s="3478">
        <v>44865.000497685185</v>
      </c>
      <c r="M3" s="3477">
        <v>149000</v>
      </c>
      <c r="N3" s="3477">
        <v>20691</v>
      </c>
      <c r="O3" s="3477">
        <v>0</v>
      </c>
      <c r="P3" s="3477" t="s">
        <v>3464</v>
      </c>
      <c r="Q3" s="3477">
        <v>30000</v>
      </c>
    </row>
    <row r="4" spans="1:17" s="3477" customFormat="1">
      <c r="A4" s="3477" t="s">
        <v>3465</v>
      </c>
      <c r="B4" s="3477" t="s">
        <v>3466</v>
      </c>
      <c r="C4" s="3477" t="s">
        <v>3455</v>
      </c>
      <c r="D4" s="3477" t="s">
        <v>3456</v>
      </c>
      <c r="E4" s="3477" t="s">
        <v>3457</v>
      </c>
      <c r="F4" s="3477">
        <v>2.2000000000000002</v>
      </c>
      <c r="G4" s="3477" t="s">
        <v>3458</v>
      </c>
      <c r="H4" s="3477">
        <v>64914.41</v>
      </c>
      <c r="I4" s="3477">
        <v>29506.55</v>
      </c>
      <c r="J4" s="3477" t="s">
        <v>3463</v>
      </c>
      <c r="K4" s="3477">
        <v>135000</v>
      </c>
      <c r="L4" s="3478">
        <v>44865.000497685185</v>
      </c>
      <c r="M4" s="3477">
        <v>135000</v>
      </c>
      <c r="N4" s="3477">
        <v>20797</v>
      </c>
      <c r="O4" s="3477">
        <v>0</v>
      </c>
      <c r="P4" s="3477" t="s">
        <v>3467</v>
      </c>
      <c r="Q4" s="3477">
        <v>27000</v>
      </c>
    </row>
    <row r="5" spans="1:17">
      <c r="A5" s="3475" t="s">
        <v>3468</v>
      </c>
      <c r="B5" s="3475" t="s">
        <v>3469</v>
      </c>
      <c r="C5" s="3475" t="s">
        <v>3455</v>
      </c>
      <c r="D5" s="3475" t="s">
        <v>3456</v>
      </c>
      <c r="E5" s="3475" t="s">
        <v>3457</v>
      </c>
      <c r="F5" s="3475">
        <v>2.2000000000000002</v>
      </c>
      <c r="G5" s="3475" t="s">
        <v>3458</v>
      </c>
      <c r="H5" s="3475">
        <v>84155.61</v>
      </c>
      <c r="I5" s="3475">
        <v>38252.550000000003</v>
      </c>
      <c r="J5" s="3475" t="s">
        <v>3470</v>
      </c>
      <c r="K5" s="3475">
        <v>175000</v>
      </c>
      <c r="L5" s="3476">
        <v>44495.000497685185</v>
      </c>
      <c r="M5" s="3475">
        <v>175000</v>
      </c>
      <c r="N5" s="3475">
        <v>20795</v>
      </c>
      <c r="O5" s="3475">
        <v>0</v>
      </c>
      <c r="P5" s="3475" t="s">
        <v>3471</v>
      </c>
      <c r="Q5" s="3475">
        <v>35000</v>
      </c>
    </row>
    <row r="6" spans="1:17">
      <c r="A6" s="3475" t="s">
        <v>3472</v>
      </c>
      <c r="B6" s="3475" t="s">
        <v>3473</v>
      </c>
      <c r="C6" s="3475" t="s">
        <v>3455</v>
      </c>
      <c r="D6" s="3475" t="s">
        <v>3456</v>
      </c>
      <c r="E6" s="3475" t="s">
        <v>3457</v>
      </c>
      <c r="F6" s="3475">
        <v>2.2000000000000002</v>
      </c>
      <c r="G6" s="3475" t="s">
        <v>3458</v>
      </c>
      <c r="H6" s="3475">
        <v>66055.39</v>
      </c>
      <c r="I6" s="3475">
        <v>30025.18</v>
      </c>
      <c r="J6" s="3475" t="s">
        <v>3470</v>
      </c>
      <c r="K6" s="3475">
        <v>137000</v>
      </c>
      <c r="L6" s="3476">
        <v>44495.000497685185</v>
      </c>
      <c r="M6" s="3475">
        <v>137000</v>
      </c>
      <c r="N6" s="3475">
        <v>20740</v>
      </c>
      <c r="O6" s="3475">
        <v>0</v>
      </c>
      <c r="P6" s="3475" t="s">
        <v>3474</v>
      </c>
      <c r="Q6" s="3475">
        <v>137000</v>
      </c>
    </row>
    <row r="7" spans="1:17">
      <c r="A7" s="3475" t="s">
        <v>3475</v>
      </c>
      <c r="B7" s="3475" t="s">
        <v>3476</v>
      </c>
      <c r="C7" s="3475" t="s">
        <v>3455</v>
      </c>
      <c r="D7" s="3475" t="s">
        <v>3456</v>
      </c>
      <c r="E7" s="3475" t="s">
        <v>3457</v>
      </c>
      <c r="F7" s="3475">
        <v>2.2000000000000002</v>
      </c>
      <c r="G7" s="3475" t="s">
        <v>3458</v>
      </c>
      <c r="H7" s="3475">
        <v>55267.89</v>
      </c>
      <c r="I7" s="3475">
        <v>25121.77</v>
      </c>
      <c r="J7" s="3475" t="s">
        <v>3470</v>
      </c>
      <c r="K7" s="3475">
        <v>115000</v>
      </c>
      <c r="L7" s="3476">
        <v>44495.000497685185</v>
      </c>
      <c r="M7" s="3475">
        <v>115000</v>
      </c>
      <c r="N7" s="3475">
        <v>20808</v>
      </c>
      <c r="O7" s="3475">
        <v>0</v>
      </c>
      <c r="P7" s="3475" t="s">
        <v>3477</v>
      </c>
      <c r="Q7" s="3475">
        <v>23000</v>
      </c>
    </row>
    <row r="8" spans="1:17">
      <c r="A8" s="3475" t="s">
        <v>3478</v>
      </c>
      <c r="B8" s="3475" t="s">
        <v>3479</v>
      </c>
      <c r="C8" s="3475" t="s">
        <v>3455</v>
      </c>
      <c r="D8" s="3475" t="s">
        <v>3456</v>
      </c>
      <c r="E8" s="3475" t="s">
        <v>3457</v>
      </c>
      <c r="F8" s="3475" t="s">
        <v>3480</v>
      </c>
      <c r="G8" s="3475" t="s">
        <v>3481</v>
      </c>
      <c r="H8" s="3475">
        <v>184800</v>
      </c>
      <c r="I8" s="3475">
        <v>51788.13</v>
      </c>
      <c r="J8" s="3475" t="s">
        <v>3482</v>
      </c>
      <c r="K8" s="3475">
        <v>570500</v>
      </c>
      <c r="L8" s="3476">
        <v>44167.000497685185</v>
      </c>
      <c r="M8" s="3475">
        <v>579500</v>
      </c>
      <c r="N8" s="3475">
        <v>31358</v>
      </c>
      <c r="O8" s="3475">
        <v>1.5800000000000002E-2</v>
      </c>
      <c r="P8" s="3475" t="s">
        <v>3483</v>
      </c>
      <c r="Q8" s="3475">
        <v>115000</v>
      </c>
    </row>
    <row r="9" spans="1:17">
      <c r="A9" s="3475" t="s">
        <v>3484</v>
      </c>
      <c r="B9" s="3475" t="s">
        <v>3485</v>
      </c>
      <c r="C9" s="3475" t="s">
        <v>3455</v>
      </c>
      <c r="D9" s="3475" t="s">
        <v>3456</v>
      </c>
      <c r="E9" s="3475" t="s">
        <v>3457</v>
      </c>
      <c r="F9" s="3475" t="s">
        <v>3486</v>
      </c>
      <c r="G9" s="3475" t="s">
        <v>3487</v>
      </c>
      <c r="H9" s="3475">
        <v>285523</v>
      </c>
      <c r="I9" s="3475">
        <v>70601.070000000007</v>
      </c>
      <c r="J9" s="3475" t="s">
        <v>3488</v>
      </c>
      <c r="K9" s="3475" t="s">
        <v>3489</v>
      </c>
      <c r="L9" s="3476">
        <v>43801.000497685185</v>
      </c>
      <c r="M9" s="3475">
        <v>660900</v>
      </c>
      <c r="N9" s="3475">
        <v>23147</v>
      </c>
      <c r="O9" s="3475">
        <v>0</v>
      </c>
      <c r="P9" s="3475" t="s">
        <v>3490</v>
      </c>
      <c r="Q9" s="3475">
        <v>131000</v>
      </c>
    </row>
    <row r="10" spans="1:17">
      <c r="A10" s="3475" t="s">
        <v>3491</v>
      </c>
      <c r="B10" s="3475" t="s">
        <v>3492</v>
      </c>
      <c r="C10" s="3475" t="s">
        <v>3455</v>
      </c>
      <c r="D10" s="3475" t="s">
        <v>3456</v>
      </c>
      <c r="E10" s="3475" t="s">
        <v>3457</v>
      </c>
      <c r="F10" s="3475" t="s">
        <v>3493</v>
      </c>
      <c r="G10" s="3475" t="s">
        <v>3481</v>
      </c>
      <c r="H10" s="3475">
        <v>61700.6</v>
      </c>
      <c r="I10" s="3475">
        <v>22035.93</v>
      </c>
      <c r="J10" s="3475" t="s">
        <v>3494</v>
      </c>
      <c r="K10" s="3475">
        <v>103700</v>
      </c>
      <c r="L10" s="3476">
        <v>43650.000497685185</v>
      </c>
      <c r="M10" s="3475">
        <v>103700</v>
      </c>
      <c r="N10" s="3475">
        <v>16807</v>
      </c>
      <c r="O10" s="3475">
        <v>0</v>
      </c>
      <c r="P10" s="3475" t="s">
        <v>3495</v>
      </c>
      <c r="Q10" s="3475">
        <v>21000</v>
      </c>
    </row>
    <row r="11" spans="1:17">
      <c r="A11" s="3475" t="s">
        <v>3496</v>
      </c>
      <c r="B11" s="3475" t="s">
        <v>3497</v>
      </c>
      <c r="C11" s="3475" t="s">
        <v>3455</v>
      </c>
      <c r="D11" s="3475" t="s">
        <v>3456</v>
      </c>
      <c r="E11" s="3475" t="s">
        <v>3457</v>
      </c>
      <c r="F11" s="3475" t="s">
        <v>3498</v>
      </c>
      <c r="G11" s="3475" t="s">
        <v>3499</v>
      </c>
      <c r="H11" s="3475">
        <v>96476.82</v>
      </c>
      <c r="I11" s="3475">
        <v>32158.94</v>
      </c>
      <c r="J11" s="3475" t="s">
        <v>3500</v>
      </c>
      <c r="K11" s="3475">
        <v>263800</v>
      </c>
      <c r="L11" s="3476">
        <v>43613.000497685185</v>
      </c>
      <c r="M11" s="3475">
        <v>263800</v>
      </c>
      <c r="N11" s="3475">
        <v>27343</v>
      </c>
      <c r="O11" s="3475">
        <v>0</v>
      </c>
      <c r="P11" s="3475" t="s">
        <v>3501</v>
      </c>
      <c r="Q11" s="3475">
        <v>53000</v>
      </c>
    </row>
    <row r="12" spans="1:17">
      <c r="A12" s="3475" t="s">
        <v>3502</v>
      </c>
      <c r="B12" s="3475" t="s">
        <v>3503</v>
      </c>
      <c r="C12" s="3475" t="s">
        <v>3455</v>
      </c>
      <c r="D12" s="3475" t="s">
        <v>3456</v>
      </c>
      <c r="E12" s="3475" t="s">
        <v>3457</v>
      </c>
      <c r="F12" s="3475">
        <v>5.7</v>
      </c>
      <c r="G12" s="3475" t="s">
        <v>3481</v>
      </c>
      <c r="H12" s="3475">
        <v>86800</v>
      </c>
      <c r="I12" s="3475">
        <v>15240.2</v>
      </c>
      <c r="J12" s="3475" t="s">
        <v>3504</v>
      </c>
      <c r="K12" s="3475">
        <v>237500</v>
      </c>
      <c r="L12" s="3476">
        <v>43055.000497685185</v>
      </c>
      <c r="M12" s="3475">
        <v>242500</v>
      </c>
      <c r="N12" s="3475">
        <v>27938</v>
      </c>
      <c r="O12" s="3475">
        <v>2.1099999999999997E-2</v>
      </c>
      <c r="P12" s="3475" t="s">
        <v>3505</v>
      </c>
      <c r="Q12" s="3475">
        <v>72000</v>
      </c>
    </row>
    <row r="13" spans="1:17">
      <c r="A13" s="3475" t="s">
        <v>3506</v>
      </c>
      <c r="B13" s="3475" t="s">
        <v>3507</v>
      </c>
      <c r="C13" s="3475" t="s">
        <v>3455</v>
      </c>
      <c r="D13" s="3475" t="s">
        <v>3456</v>
      </c>
      <c r="E13" s="3475" t="s">
        <v>3457</v>
      </c>
      <c r="F13" s="3475">
        <v>3.5</v>
      </c>
      <c r="G13" s="3475" t="s">
        <v>3508</v>
      </c>
      <c r="H13" s="3475">
        <v>46644</v>
      </c>
      <c r="I13" s="3475">
        <v>13326.99</v>
      </c>
      <c r="J13" s="3475" t="s">
        <v>3509</v>
      </c>
      <c r="K13" s="3475">
        <v>68000</v>
      </c>
      <c r="L13" s="3476">
        <v>42523.000497685185</v>
      </c>
      <c r="M13" s="3475">
        <v>141000</v>
      </c>
      <c r="N13" s="3475">
        <v>30229</v>
      </c>
      <c r="O13" s="3475">
        <v>1.0734999999999999</v>
      </c>
      <c r="P13" s="3475" t="s">
        <v>3510</v>
      </c>
      <c r="Q13" s="3475">
        <v>20500</v>
      </c>
    </row>
    <row r="14" spans="1:17">
      <c r="A14" s="3475" t="s">
        <v>3511</v>
      </c>
      <c r="B14" s="3475" t="s">
        <v>3512</v>
      </c>
      <c r="C14" s="3475" t="s">
        <v>3455</v>
      </c>
      <c r="D14" s="3475" t="s">
        <v>3456</v>
      </c>
      <c r="E14" s="3475" t="s">
        <v>3457</v>
      </c>
      <c r="F14" s="3475">
        <v>3</v>
      </c>
      <c r="G14" s="3475" t="s">
        <v>3508</v>
      </c>
      <c r="H14" s="3475">
        <v>52889</v>
      </c>
      <c r="I14" s="3475">
        <v>17629.740000000002</v>
      </c>
      <c r="J14" s="3475" t="s">
        <v>3513</v>
      </c>
      <c r="K14" s="3475">
        <v>63500</v>
      </c>
      <c r="L14" s="3476">
        <v>42305.000497685185</v>
      </c>
      <c r="M14" s="3475">
        <v>64200</v>
      </c>
      <c r="N14" s="3475">
        <v>12139</v>
      </c>
      <c r="O14" s="3475">
        <v>1.1000000000000001E-2</v>
      </c>
      <c r="P14" s="3475" t="s">
        <v>3514</v>
      </c>
      <c r="Q14" s="3475">
        <v>19000</v>
      </c>
    </row>
    <row r="15" spans="1:17">
      <c r="A15" s="3475" t="s">
        <v>3515</v>
      </c>
      <c r="B15" s="3475" t="s">
        <v>3516</v>
      </c>
      <c r="C15" s="3475" t="s">
        <v>3455</v>
      </c>
      <c r="D15" s="3475" t="s">
        <v>3456</v>
      </c>
      <c r="E15" s="3475" t="s">
        <v>3457</v>
      </c>
      <c r="F15" s="3475">
        <v>3</v>
      </c>
      <c r="G15" s="3475" t="s">
        <v>3517</v>
      </c>
      <c r="H15" s="3475">
        <v>62041</v>
      </c>
      <c r="I15" s="3475">
        <v>20680.23</v>
      </c>
      <c r="J15" s="3475" t="s">
        <v>3518</v>
      </c>
      <c r="K15" s="3475">
        <v>75000</v>
      </c>
      <c r="L15" s="3476">
        <v>42304.000497685185</v>
      </c>
      <c r="M15" s="3475">
        <v>81000</v>
      </c>
      <c r="N15" s="3475">
        <v>13056</v>
      </c>
      <c r="O15" s="3475">
        <v>0.08</v>
      </c>
      <c r="P15" s="3475" t="s">
        <v>3519</v>
      </c>
      <c r="Q15" s="3475">
        <v>23000</v>
      </c>
    </row>
    <row r="16" spans="1:17">
      <c r="A16" s="3475" t="s">
        <v>3520</v>
      </c>
      <c r="B16" s="3475" t="s">
        <v>3521</v>
      </c>
      <c r="C16" s="3475" t="s">
        <v>3455</v>
      </c>
      <c r="D16" s="3475" t="s">
        <v>3456</v>
      </c>
      <c r="E16" s="3475" t="s">
        <v>3457</v>
      </c>
      <c r="F16" s="3475">
        <v>2.5</v>
      </c>
      <c r="G16" s="3475" t="s">
        <v>3508</v>
      </c>
      <c r="H16" s="3475">
        <v>149376</v>
      </c>
      <c r="I16" s="3475">
        <v>59750.39</v>
      </c>
      <c r="J16" s="3475" t="s">
        <v>3522</v>
      </c>
      <c r="K16" s="3475">
        <v>180000</v>
      </c>
      <c r="L16" s="3476">
        <v>42017.000497685185</v>
      </c>
      <c r="M16" s="3475">
        <v>182700</v>
      </c>
      <c r="N16" s="3475">
        <v>12231</v>
      </c>
      <c r="O16" s="3475">
        <v>1.4999999999999999E-2</v>
      </c>
      <c r="P16" s="3475" t="s">
        <v>3523</v>
      </c>
      <c r="Q16" s="3475">
        <v>54000</v>
      </c>
    </row>
  </sheetData>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Normal="100" zoomScaleSheetLayoutView="100" zoomScalePageLayoutView="80" workbookViewId="0">
      <selection activeCell="E24" sqref="E24"/>
    </sheetView>
  </sheetViews>
  <sheetFormatPr defaultColWidth="12.625" defaultRowHeight="21.75" customHeight="1"/>
  <cols>
    <col min="1" max="2" width="12.625" style="1753"/>
    <col min="3" max="3" width="12.625" style="1753" customWidth="1"/>
    <col min="4" max="4" width="1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7" t="str">
        <f>项目基本情况!S2</f>
        <v>北京市房地产</v>
      </c>
      <c r="B2" s="3638"/>
      <c r="C2" s="3638"/>
      <c r="D2" s="3638"/>
      <c r="E2" s="3638"/>
      <c r="F2" s="3638"/>
      <c r="G2" s="3638"/>
      <c r="H2" s="3638"/>
      <c r="I2" s="3639"/>
    </row>
    <row r="3" spans="1:12" ht="12.75">
      <c r="A3" s="3641" t="s">
        <v>1264</v>
      </c>
      <c r="B3" s="3642"/>
      <c r="C3" s="3642"/>
      <c r="D3" s="3642"/>
      <c r="E3" s="3642"/>
      <c r="F3" s="3642"/>
      <c r="G3" s="3642"/>
      <c r="H3" s="3642"/>
      <c r="I3" s="3642"/>
    </row>
    <row r="4" spans="1:12" ht="14.25">
      <c r="A4" s="1754" t="s">
        <v>1265</v>
      </c>
      <c r="B4" s="1755" t="s">
        <v>1266</v>
      </c>
      <c r="C4" s="1756" t="s">
        <v>3423</v>
      </c>
      <c r="D4" s="1756" t="s">
        <v>3401</v>
      </c>
      <c r="E4" s="3646" t="s">
        <v>1267</v>
      </c>
      <c r="F4" s="3647"/>
      <c r="G4" s="3647"/>
      <c r="H4" s="3647"/>
      <c r="I4" s="3648"/>
      <c r="K4" s="146" t="str">
        <f>IF(ISNUMBER(FIND("比较法",'结果表(车库)'!C4)),"比较法",IF(ISNUMBER(FIND("成本法",'结果表(车库)'!C4)),"成本法",IF(ISNUMBER(FIND("假设开发法",'结果表(车库)'!C4)),"假设开发法",IF(ISNUMBER(FIND("收益法",'结果表(车库)'!C4)),"收益法","基准地价系数修正法"))))</f>
        <v>成本法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585" t="s">
        <v>1268</v>
      </c>
      <c r="B5" s="3640">
        <v>25</v>
      </c>
      <c r="C5" s="3643"/>
      <c r="D5" s="3631"/>
      <c r="E5" s="131" t="s">
        <v>1269</v>
      </c>
      <c r="F5" s="1757"/>
      <c r="G5" s="1757"/>
      <c r="H5" s="1757"/>
      <c r="I5" s="1373"/>
    </row>
    <row r="6" spans="1:12" ht="12.75">
      <c r="A6" s="3585"/>
      <c r="B6" s="3640"/>
      <c r="C6" s="3645"/>
      <c r="D6" s="3631"/>
      <c r="E6" s="131" t="s">
        <v>1270</v>
      </c>
      <c r="F6" s="1757"/>
      <c r="G6" s="1757"/>
      <c r="H6" s="1757"/>
      <c r="I6" s="1373"/>
    </row>
    <row r="7" spans="1:12" ht="12.75">
      <c r="A7" s="3585"/>
      <c r="B7" s="3640"/>
      <c r="C7" s="3644"/>
      <c r="D7" s="3631"/>
      <c r="E7" s="131" t="s">
        <v>1271</v>
      </c>
      <c r="F7" s="1757"/>
      <c r="G7" s="1757"/>
      <c r="H7" s="1757"/>
      <c r="I7" s="1373"/>
    </row>
    <row r="8" spans="1:12" ht="12.75">
      <c r="A8" s="3585" t="s">
        <v>1272</v>
      </c>
      <c r="B8" s="3640">
        <v>15</v>
      </c>
      <c r="C8" s="3643"/>
      <c r="D8" s="3631"/>
      <c r="E8" s="131" t="s">
        <v>1273</v>
      </c>
      <c r="F8" s="1757"/>
      <c r="G8" s="1757"/>
      <c r="H8" s="1757"/>
      <c r="I8" s="1373"/>
    </row>
    <row r="9" spans="1:12" ht="12.75">
      <c r="A9" s="3585"/>
      <c r="B9" s="3640"/>
      <c r="C9" s="3644"/>
      <c r="D9" s="3631"/>
      <c r="E9" s="131" t="s">
        <v>1274</v>
      </c>
      <c r="F9" s="1757"/>
      <c r="G9" s="1757"/>
      <c r="H9" s="1757"/>
      <c r="I9" s="1373"/>
    </row>
    <row r="10" spans="1:12" ht="12.75">
      <c r="A10" s="3585" t="s">
        <v>1275</v>
      </c>
      <c r="B10" s="3640">
        <v>15</v>
      </c>
      <c r="C10" s="3643"/>
      <c r="D10" s="3631"/>
      <c r="E10" s="131" t="s">
        <v>1276</v>
      </c>
      <c r="F10" s="1757"/>
      <c r="G10" s="1757"/>
      <c r="H10" s="1757"/>
      <c r="I10" s="1373"/>
    </row>
    <row r="11" spans="1:12" ht="12.75">
      <c r="A11" s="3585"/>
      <c r="B11" s="3640"/>
      <c r="C11" s="3644"/>
      <c r="D11" s="3631"/>
      <c r="E11" s="131" t="s">
        <v>1277</v>
      </c>
      <c r="F11" s="1757"/>
      <c r="G11" s="1757"/>
      <c r="H11" s="1757"/>
      <c r="I11" s="1373"/>
    </row>
    <row r="12" spans="1:12" ht="12.75">
      <c r="A12" s="3585" t="s">
        <v>1278</v>
      </c>
      <c r="B12" s="3640">
        <v>15</v>
      </c>
      <c r="C12" s="3643"/>
      <c r="D12" s="3631"/>
      <c r="E12" s="131" t="s">
        <v>1279</v>
      </c>
      <c r="F12" s="1757"/>
      <c r="G12" s="1757"/>
      <c r="H12" s="1757"/>
      <c r="I12" s="1373"/>
    </row>
    <row r="13" spans="1:12" ht="12.75">
      <c r="A13" s="3585"/>
      <c r="B13" s="3640"/>
      <c r="C13" s="3644"/>
      <c r="D13" s="3631"/>
      <c r="E13" s="131" t="s">
        <v>1280</v>
      </c>
      <c r="F13" s="1757"/>
      <c r="G13" s="1757"/>
      <c r="H13" s="1757"/>
      <c r="I13" s="1373"/>
    </row>
    <row r="14" spans="1:12" ht="12.75">
      <c r="A14" s="3585" t="s">
        <v>1281</v>
      </c>
      <c r="B14" s="3640">
        <v>30</v>
      </c>
      <c r="C14" s="3643">
        <v>6</v>
      </c>
      <c r="D14" s="3631">
        <v>4</v>
      </c>
      <c r="E14" s="131" t="s">
        <v>1282</v>
      </c>
      <c r="F14" s="1757"/>
      <c r="G14" s="1757"/>
      <c r="H14" s="1757"/>
      <c r="I14" s="1373"/>
    </row>
    <row r="15" spans="1:12" ht="12.75">
      <c r="A15" s="3585"/>
      <c r="B15" s="3640"/>
      <c r="C15" s="3645"/>
      <c r="D15" s="3631"/>
      <c r="E15" s="131" t="s">
        <v>1283</v>
      </c>
      <c r="F15" s="1757"/>
      <c r="G15" s="1757"/>
      <c r="H15" s="1757"/>
      <c r="I15" s="1373"/>
    </row>
    <row r="16" spans="1:12" ht="12.75">
      <c r="A16" s="3585"/>
      <c r="B16" s="3640"/>
      <c r="C16" s="3644"/>
      <c r="D16" s="3631"/>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62" t="s">
        <v>2131</v>
      </c>
      <c r="F18" s="3663"/>
      <c r="G18" s="3663"/>
      <c r="H18" s="3663"/>
      <c r="I18" s="3663"/>
      <c r="K18" s="302" t="s">
        <v>1289</v>
      </c>
      <c r="L18" s="302">
        <f>IF(C1="",'数据-汇总表'!E3,SUMIF(项目类型,C1,'数据-汇总表'!E17:E26)+SUMIF(项目类型,C1,'数据-汇总表'!I17:I26))</f>
        <v>87936.610000000015</v>
      </c>
      <c r="M18" s="302">
        <f>IF(C1="",'数据-汇总表'!E3,SUMIF(项目类型,C1,'数据-汇总表'!E17:E26))</f>
        <v>87936.610000000015</v>
      </c>
    </row>
    <row r="19" spans="1:36" ht="15">
      <c r="A19" s="1761" t="s">
        <v>1290</v>
      </c>
      <c r="B19" s="1762" t="s">
        <v>1291</v>
      </c>
      <c r="C19" s="134">
        <f ca="1">SUMIF(INDIRECT("'"&amp;C4&amp;"'"&amp;"!A:A"),'结果表(车库)'!B19,INDIRECT("'"&amp;C4&amp;"'"&amp;"!B:B"))</f>
        <v>7318</v>
      </c>
      <c r="D19" s="135">
        <f ca="1">SUMIF(INDIRECT("'"&amp;D4&amp;"'"&amp;"!A:A"),'结果表(车库)'!B19,INDIRECT("'"&amp;D4&amp;"'"&amp;"!B:B"))</f>
        <v>4204</v>
      </c>
      <c r="E19" s="1761" t="s">
        <v>1292</v>
      </c>
      <c r="F19" s="1762" t="s">
        <v>1291</v>
      </c>
      <c r="G19" s="136">
        <f ca="1">ROUND(C19*$C$18+D19*$D$18,0)</f>
        <v>6072</v>
      </c>
      <c r="H19" s="1763" t="s">
        <v>1293</v>
      </c>
      <c r="I19" s="129"/>
      <c r="K19" s="302" t="s">
        <v>1294</v>
      </c>
      <c r="L19" s="302">
        <f>IF(C1="",'数据-汇总表'!D3,SUMIF(项目类型,C1,'数据-汇总表'!D17:D26)+SUMIF(项目类型,C1,'数据-汇总表'!H17:H27))</f>
        <v>16321.07</v>
      </c>
      <c r="M19" s="302">
        <f>IF(C1="",'数据-汇总表'!D3,SUMIF(项目类型,C1,'数据-汇总表'!D17:D26))</f>
        <v>16321.07</v>
      </c>
    </row>
    <row r="20" spans="1:36" ht="15">
      <c r="A20" s="1764"/>
      <c r="B20" s="1026" t="s">
        <v>1295</v>
      </c>
      <c r="C20" s="137">
        <f ca="1">SUMIF(INDIRECT("'"&amp;C4&amp;"'"&amp;"!A:A"),'结果表(车库)'!B20,INDIRECT("'"&amp;C4&amp;"'"&amp;"!B:B"))</f>
        <v>13457</v>
      </c>
      <c r="D20" s="138">
        <f ca="1">SUMIF(INDIRECT("'"&amp;D4&amp;"'"&amp;"!A:A"),'结果表(车库)'!B20,INDIRECT("'"&amp;D4&amp;"'"&amp;"!B:B"))</f>
        <v>7731</v>
      </c>
      <c r="E20" s="1764"/>
      <c r="F20" s="1026" t="s">
        <v>1295</v>
      </c>
      <c r="G20" s="139">
        <f ca="1">ROUND(C20*$C$18+D20*$D$18,0)</f>
        <v>11167</v>
      </c>
      <c r="H20" s="808" t="s">
        <v>1296</v>
      </c>
      <c r="I20" s="129"/>
    </row>
    <row r="21" spans="1:36" ht="15" customHeight="1" thickBot="1">
      <c r="A21" s="828"/>
      <c r="B21" s="1765" t="s">
        <v>1297</v>
      </c>
      <c r="C21" s="719">
        <f ca="1">ROUND(C19*10000/L19,0)</f>
        <v>4484</v>
      </c>
      <c r="D21" s="720">
        <f ca="1">ROUND(D19*10000/L19,0)</f>
        <v>2576</v>
      </c>
      <c r="E21" s="828"/>
      <c r="F21" s="1765" t="s">
        <v>1297</v>
      </c>
      <c r="G21" s="140">
        <f ca="1">ROUND(G19*10000/L19,0)</f>
        <v>3720</v>
      </c>
      <c r="H21" s="1766" t="s">
        <v>1296</v>
      </c>
      <c r="I21" s="129"/>
    </row>
    <row r="22" spans="1:36" ht="15" thickBot="1">
      <c r="A22" s="1688" t="s">
        <v>1298</v>
      </c>
      <c r="B22" s="1767"/>
      <c r="C22" s="1768"/>
      <c r="D22" s="721">
        <f ca="1">IF(C19&lt;D19,D19/C19-1,C19/D19-1)</f>
        <v>0.74072312083729774</v>
      </c>
      <c r="E22" s="129"/>
      <c r="F22" s="129"/>
      <c r="G22" s="129"/>
      <c r="H22" s="129"/>
      <c r="I22" s="129"/>
    </row>
    <row r="23" spans="1:36" ht="13.5" thickBot="1">
      <c r="A23" s="1747"/>
      <c r="B23" s="1747"/>
      <c r="C23" s="1747"/>
      <c r="D23" s="1747"/>
      <c r="E23" s="129"/>
      <c r="F23" s="129"/>
      <c r="G23" s="129"/>
      <c r="H23" s="129"/>
      <c r="I23" s="129"/>
    </row>
    <row r="24" spans="1:36" ht="14.25">
      <c r="A24" s="3655" t="s">
        <v>1299</v>
      </c>
      <c r="B24" s="1762" t="s">
        <v>1291</v>
      </c>
      <c r="C24" s="136">
        <f>IF(B30=0,0,D30)</f>
        <v>0</v>
      </c>
      <c r="D24" s="1769"/>
      <c r="E24" s="129"/>
      <c r="F24" s="129"/>
      <c r="G24" s="129"/>
      <c r="H24" s="129"/>
      <c r="I24" s="129"/>
    </row>
    <row r="25" spans="1:36" ht="14.25">
      <c r="A25" s="36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11167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2" t="s">
        <v>1312</v>
      </c>
      <c r="B36" s="1787" t="s">
        <v>1313</v>
      </c>
      <c r="C36" s="145"/>
      <c r="D36" s="1788"/>
      <c r="E36" s="1789"/>
      <c r="F36" s="1790"/>
      <c r="G36" s="129"/>
      <c r="H36" s="129"/>
      <c r="I36" s="129"/>
    </row>
    <row r="37" spans="1:15" ht="15.75" thickBot="1">
      <c r="A37" s="3633"/>
      <c r="B37" s="1674" t="s">
        <v>1314</v>
      </c>
      <c r="C37" s="147"/>
      <c r="D37" s="1139"/>
      <c r="E37" s="1139"/>
      <c r="F37" s="1790"/>
      <c r="G37" s="129"/>
      <c r="H37" s="129"/>
      <c r="I37" s="129"/>
    </row>
    <row r="38" spans="1:15" ht="15.75" thickBot="1">
      <c r="A38" s="3634"/>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2" t="s">
        <v>1326</v>
      </c>
      <c r="B45" s="3653"/>
      <c r="C45" s="3654"/>
      <c r="D45" s="155" t="e">
        <f ca="1">ROUND(H101*F45,0)</f>
        <v>#REF!</v>
      </c>
      <c r="E45" s="156" t="s">
        <v>1327</v>
      </c>
      <c r="F45" s="157">
        <v>1</v>
      </c>
      <c r="G45" s="158" t="s">
        <v>1328</v>
      </c>
      <c r="H45" s="129"/>
      <c r="I45" s="129"/>
      <c r="J45" s="3572" t="s">
        <v>1329</v>
      </c>
      <c r="K45" s="3572"/>
      <c r="L45" s="3572"/>
      <c r="M45" s="3572"/>
      <c r="N45" s="3572"/>
      <c r="O45" s="3572"/>
    </row>
    <row r="46" spans="1:15" ht="14.25" customHeight="1">
      <c r="A46" s="3649" t="s">
        <v>1330</v>
      </c>
      <c r="B46" s="3650"/>
      <c r="C46" s="3650"/>
      <c r="D46" s="3650"/>
      <c r="E46" s="3650"/>
      <c r="F46" s="3650"/>
      <c r="G46" s="3651"/>
      <c r="H46" s="1806"/>
      <c r="I46" s="159"/>
      <c r="J46" s="3458">
        <v>1</v>
      </c>
      <c r="K46" s="3573" t="s">
        <v>1331</v>
      </c>
      <c r="L46" s="3573"/>
      <c r="M46" s="3574"/>
      <c r="N46" s="3574"/>
      <c r="O46" s="3574"/>
    </row>
    <row r="47" spans="1:15" ht="12" customHeight="1">
      <c r="A47" s="160" t="s">
        <v>1332</v>
      </c>
      <c r="B47" s="161"/>
      <c r="C47" s="162"/>
      <c r="D47" s="1087" t="s">
        <v>1333</v>
      </c>
      <c r="E47" s="302" t="s">
        <v>1334</v>
      </c>
      <c r="F47" s="163" t="s">
        <v>1335</v>
      </c>
      <c r="G47" s="2546" t="s">
        <v>1336</v>
      </c>
      <c r="H47" s="2547"/>
      <c r="I47" s="159"/>
      <c r="J47" s="3458">
        <v>2</v>
      </c>
      <c r="K47" s="3573" t="s">
        <v>1337</v>
      </c>
      <c r="L47" s="3573"/>
      <c r="M47" s="3575">
        <f>'数据-取费表'!B2</f>
        <v>45239</v>
      </c>
      <c r="N47" s="3575"/>
      <c r="O47" s="3575"/>
    </row>
    <row r="48" spans="1:15" ht="25.5">
      <c r="A48" s="3635" t="s">
        <v>1338</v>
      </c>
      <c r="B48" s="3636"/>
      <c r="C48" s="3636"/>
      <c r="D48" s="3453" t="b">
        <f>IF(H48="情况1",0,IF(H48="情况2",D52,IF(H48="情况3",D53,IF(H48="情况4",D54))))</f>
        <v>0</v>
      </c>
      <c r="E48" s="3468" t="str">
        <f>IF(H48="情况4","(销售额-原购置价)×税（费）率","销售额×税（费）率")</f>
        <v>销售额×税（费）率</v>
      </c>
      <c r="F48" s="2548">
        <f>IF(H48="情况1","免征",'数据-取费表'!B41)</f>
        <v>5.6000000000000001E-2</v>
      </c>
      <c r="G48" s="2549" t="s">
        <v>1339</v>
      </c>
      <c r="H48" s="2550"/>
      <c r="I48" s="1806"/>
      <c r="J48" s="3458">
        <v>3</v>
      </c>
      <c r="K48" s="3573" t="s">
        <v>1340</v>
      </c>
      <c r="L48" s="3573"/>
      <c r="M48" s="3576" t="e">
        <f ca="1">H101</f>
        <v>#REF!</v>
      </c>
      <c r="N48" s="3576"/>
      <c r="O48" s="3576"/>
    </row>
    <row r="49" spans="1:35" ht="25.5" customHeight="1">
      <c r="A49" s="3467" t="s">
        <v>1341</v>
      </c>
      <c r="B49" s="3621" t="s">
        <v>1342</v>
      </c>
      <c r="C49" s="3621"/>
      <c r="D49" s="1590">
        <v>0</v>
      </c>
      <c r="E49" s="324" t="s">
        <v>1343</v>
      </c>
      <c r="F49" s="3451" t="s">
        <v>28</v>
      </c>
      <c r="G49" s="3604"/>
      <c r="H49" s="2310" t="s">
        <v>2134</v>
      </c>
      <c r="I49" s="2311"/>
      <c r="J49" s="3458">
        <v>4</v>
      </c>
      <c r="K49" s="3573" t="str">
        <f>IF(项目基本情况!E8="房地产抵押价值","房地产抵押价值","抵押担保权已注销时的房地产抵押价值")</f>
        <v>房地产抵押价值</v>
      </c>
      <c r="L49" s="3573"/>
      <c r="M49" s="3576" t="str">
        <f ca="1">IF(项目基本情况!E8="房地产抵押价值",H107,H109)</f>
        <v>——</v>
      </c>
      <c r="N49" s="3576"/>
      <c r="O49" s="3576"/>
    </row>
    <row r="50" spans="1:35" ht="25.5" customHeight="1">
      <c r="A50" s="2551"/>
      <c r="B50" s="3621" t="s">
        <v>1344</v>
      </c>
      <c r="C50" s="3621"/>
      <c r="D50" s="2552"/>
      <c r="E50" s="332"/>
      <c r="F50" s="3451"/>
      <c r="G50" s="3605"/>
      <c r="H50" s="2312" t="s">
        <v>2135</v>
      </c>
      <c r="I50" s="2311"/>
      <c r="J50" s="3572" t="s">
        <v>1345</v>
      </c>
      <c r="K50" s="3572"/>
      <c r="L50" s="3572"/>
      <c r="M50" s="3572"/>
      <c r="N50" s="3572"/>
      <c r="O50" s="3572"/>
    </row>
    <row r="51" spans="1:35" ht="20.45" customHeight="1">
      <c r="A51" s="2553"/>
      <c r="B51" s="3621" t="s">
        <v>1346</v>
      </c>
      <c r="C51" s="3621"/>
      <c r="D51" s="1087"/>
      <c r="E51" s="327"/>
      <c r="F51" s="3451"/>
      <c r="G51" s="3606"/>
      <c r="H51" s="2312" t="s">
        <v>2136</v>
      </c>
      <c r="I51" s="2311"/>
      <c r="J51" s="3452" t="s">
        <v>1347</v>
      </c>
      <c r="K51" s="3573" t="s">
        <v>1348</v>
      </c>
      <c r="L51" s="3573"/>
      <c r="M51" s="3452" t="s">
        <v>1349</v>
      </c>
      <c r="N51" s="3452" t="s">
        <v>1350</v>
      </c>
      <c r="O51" s="3452" t="s">
        <v>1351</v>
      </c>
    </row>
    <row r="52" spans="1:35" ht="24" customHeight="1">
      <c r="A52" s="3470" t="s">
        <v>1352</v>
      </c>
      <c r="B52" s="3621" t="s">
        <v>1353</v>
      </c>
      <c r="C52" s="3621"/>
      <c r="D52" s="1087" t="e">
        <f ca="1">ROUND(D45*'数据-取费表'!B41/(1+'数据-取费表'!C42),0)</f>
        <v>#REF!</v>
      </c>
      <c r="E52" s="3468" t="s">
        <v>1354</v>
      </c>
      <c r="F52" s="2554">
        <f>'数据-取费表'!B41</f>
        <v>5.6000000000000001E-2</v>
      </c>
      <c r="G52" s="2555"/>
      <c r="H52" s="2544"/>
      <c r="I52" s="1807"/>
      <c r="J52" s="3458">
        <v>1</v>
      </c>
      <c r="K52" s="3598" t="s">
        <v>1355</v>
      </c>
      <c r="L52" s="3598"/>
      <c r="M52" s="2525" t="b">
        <f>D48</f>
        <v>0</v>
      </c>
      <c r="N52" s="3458" t="str">
        <f>E48</f>
        <v>销售额×税（费）率</v>
      </c>
      <c r="O52" s="2526">
        <f>F48</f>
        <v>5.6000000000000001E-2</v>
      </c>
    </row>
    <row r="53" spans="1:35" ht="12" customHeight="1">
      <c r="A53" s="3470" t="s">
        <v>1356</v>
      </c>
      <c r="B53" s="3622" t="s">
        <v>2291</v>
      </c>
      <c r="C53" s="3623"/>
      <c r="D53" s="1087" t="e">
        <f ca="1">ROUND(D45*'数据-取费表'!B41/(1+'数据-取费表'!C42),0)</f>
        <v>#REF!</v>
      </c>
      <c r="E53" s="3468" t="s">
        <v>1354</v>
      </c>
      <c r="F53" s="2554">
        <f>'数据-取费表'!B41</f>
        <v>5.6000000000000001E-2</v>
      </c>
      <c r="G53" s="2555"/>
      <c r="H53" s="2544"/>
      <c r="I53" s="1807"/>
      <c r="J53" s="3458">
        <v>2</v>
      </c>
      <c r="K53" s="3598" t="s">
        <v>1357</v>
      </c>
      <c r="L53" s="3598"/>
      <c r="M53" s="2525" t="e">
        <f t="shared" ref="M53:O54" ca="1" si="0">D55</f>
        <v>#REF!</v>
      </c>
      <c r="N53" s="3458" t="str">
        <f t="shared" si="0"/>
        <v>销售额×税（费）率</v>
      </c>
      <c r="O53" s="2526" t="str">
        <f t="shared" si="0"/>
        <v>免征</v>
      </c>
    </row>
    <row r="54" spans="1:35" ht="12" customHeight="1">
      <c r="A54" s="3470" t="s">
        <v>1358</v>
      </c>
      <c r="B54" s="3622" t="s">
        <v>2292</v>
      </c>
      <c r="C54" s="3623"/>
      <c r="D54" s="1087" t="e">
        <f ca="1">C68</f>
        <v>#REF!</v>
      </c>
      <c r="E54" s="327" t="s">
        <v>1359</v>
      </c>
      <c r="F54" s="2554">
        <f>'数据-取费表'!B41</f>
        <v>5.6000000000000001E-2</v>
      </c>
      <c r="G54" s="2555"/>
      <c r="H54" s="2556"/>
      <c r="I54" s="1807"/>
      <c r="J54" s="3458">
        <v>3</v>
      </c>
      <c r="K54" s="3598" t="s">
        <v>1360</v>
      </c>
      <c r="L54" s="3598"/>
      <c r="M54" s="2525" t="e">
        <f t="shared" ca="1" si="0"/>
        <v>#REF!</v>
      </c>
      <c r="N54" s="3458" t="str">
        <f t="shared" si="0"/>
        <v>增值额×税（费）率</v>
      </c>
      <c r="O54" s="2527" t="str">
        <f t="shared" si="0"/>
        <v>免征</v>
      </c>
    </row>
    <row r="55" spans="1:35" ht="24" customHeight="1">
      <c r="A55" s="3658" t="s">
        <v>1361</v>
      </c>
      <c r="B55" s="3636"/>
      <c r="C55" s="3636"/>
      <c r="D55" s="3453" t="e">
        <f ca="1">IF(H55="个人住宅",0,ROUND(D45*I55,0))</f>
        <v>#REF!</v>
      </c>
      <c r="E55" s="3468" t="s">
        <v>1362</v>
      </c>
      <c r="F55" s="2554" t="str">
        <f>IF(H55="正常",I55,"免征")</f>
        <v>免征</v>
      </c>
      <c r="G55" s="2555"/>
      <c r="H55" s="2550"/>
      <c r="I55" s="165">
        <f>'数据-取费表'!B49</f>
        <v>5.0000000000000001E-4</v>
      </c>
      <c r="J55" s="3458">
        <f>IF(H59="非个人房产","",4)</f>
        <v>4</v>
      </c>
      <c r="K55" s="3598" t="str">
        <f>IF(H59="非个人房产","——","个人所得税")</f>
        <v>个人所得税</v>
      </c>
      <c r="L55" s="3598"/>
      <c r="M55" s="2528" t="e">
        <f ca="1">D59</f>
        <v>#REF!</v>
      </c>
      <c r="N55" s="3459" t="str">
        <f>E59</f>
        <v>差额计税</v>
      </c>
      <c r="O55" s="2529">
        <f>F59</f>
        <v>0.01</v>
      </c>
    </row>
    <row r="56" spans="1:35" ht="24.75">
      <c r="A56" s="3658" t="s">
        <v>1363</v>
      </c>
      <c r="B56" s="3636"/>
      <c r="C56" s="3636"/>
      <c r="D56" s="3453" t="e">
        <f ca="1">IF(H56="个人住宅",D57,D58)</f>
        <v>#REF!</v>
      </c>
      <c r="E56" s="3468" t="s">
        <v>1364</v>
      </c>
      <c r="F56" s="2554" t="str">
        <f>IF(H56="正常",F58,"免征")</f>
        <v>免征</v>
      </c>
      <c r="G56" s="2557" t="s">
        <v>1365</v>
      </c>
      <c r="H56" s="2558"/>
      <c r="I56" s="1808"/>
      <c r="J56" s="3458" t="str">
        <f>IF(项目基本情况!K6="上海银行",IF(J55="",4,J55+1),"")</f>
        <v/>
      </c>
      <c r="K56" s="3579" t="str">
        <f>IF(项目基本情况!K6="上海银行","其他处置费用","")</f>
        <v/>
      </c>
      <c r="L56" s="3580"/>
      <c r="M56" s="2525" t="str">
        <f>IF(项目基本情况!K6="上海银行",M69,"")</f>
        <v/>
      </c>
      <c r="N56" s="3579" t="str">
        <f>IF(项目基本情况!K6="上海银行","包含处置中涉及的律师、诉讼、拍卖、评估等费用","")</f>
        <v/>
      </c>
      <c r="O56" s="3582"/>
    </row>
    <row r="57" spans="1:35" ht="12.75">
      <c r="A57" s="3470" t="s">
        <v>1341</v>
      </c>
      <c r="B57" s="3622" t="s">
        <v>1366</v>
      </c>
      <c r="C57" s="3623"/>
      <c r="D57" s="1590">
        <v>0</v>
      </c>
      <c r="E57" s="324" t="s">
        <v>1343</v>
      </c>
      <c r="F57" s="302"/>
      <c r="G57" s="2555"/>
      <c r="H57" s="2559"/>
      <c r="I57" s="1808"/>
      <c r="J57" s="3598">
        <f>IF(AND(J55="",J56=""),4,IF(项目基本情况!K6="上海银行",'结果表(车库)'!J56+1,'结果表(车库)'!J55+1))</f>
        <v>5</v>
      </c>
      <c r="K57" s="3598" t="s">
        <v>1367</v>
      </c>
      <c r="L57" s="2530" t="s">
        <v>1368</v>
      </c>
      <c r="M57" s="2531"/>
      <c r="N57" s="2532">
        <f ca="1">SUMIF(M52:M56,"&lt;9e307")</f>
        <v>0</v>
      </c>
      <c r="O57" s="2533"/>
      <c r="P57" s="2690" t="e">
        <f ca="1">N57/M49</f>
        <v>#VALUE!</v>
      </c>
    </row>
    <row r="58" spans="1:35" ht="24.75">
      <c r="A58" s="3470" t="s">
        <v>1352</v>
      </c>
      <c r="B58" s="3622" t="s">
        <v>1369</v>
      </c>
      <c r="C58" s="3621"/>
      <c r="D58" s="3453" t="e">
        <f ca="1">IF(H58="转让取得",C81,C97)</f>
        <v>#REF!</v>
      </c>
      <c r="E58" s="3468" t="s">
        <v>1364</v>
      </c>
      <c r="F58" s="302" t="s">
        <v>28</v>
      </c>
      <c r="G58" s="2555"/>
      <c r="H58" s="2558"/>
      <c r="I58" s="1808"/>
      <c r="J58" s="3598"/>
      <c r="K58" s="3598"/>
      <c r="L58" s="2530" t="s">
        <v>1370</v>
      </c>
      <c r="M58" s="2534"/>
      <c r="N58" s="2535" t="str">
        <f ca="1">NUMBERSTRING(INT(N57*10000),2)&amp;"元整"</f>
        <v>零元整</v>
      </c>
      <c r="O58" s="2536"/>
    </row>
    <row r="59" spans="1:35" ht="24.75" thickBot="1">
      <c r="A59" s="3602" t="s">
        <v>1371</v>
      </c>
      <c r="B59" s="3603"/>
      <c r="C59" s="360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0">
        <f>J57+1</f>
        <v>6</v>
      </c>
      <c r="K59" s="3598" t="s">
        <v>1372</v>
      </c>
      <c r="L59" s="3458" t="s">
        <v>1368</v>
      </c>
      <c r="M59" s="2537"/>
      <c r="N59" s="2538" t="e">
        <f ca="1">M49-N57</f>
        <v>#VALUE!</v>
      </c>
      <c r="O59" s="2539"/>
    </row>
    <row r="60" spans="1:35" ht="12" customHeight="1">
      <c r="A60" s="1809"/>
      <c r="B60" s="1747"/>
      <c r="C60" s="1747"/>
      <c r="D60" s="1747"/>
      <c r="E60" s="1578"/>
      <c r="F60" s="1808"/>
      <c r="G60" s="1808"/>
      <c r="H60" s="1810"/>
      <c r="I60" s="129"/>
      <c r="J60" s="3601"/>
      <c r="K60" s="3598"/>
      <c r="L60" s="2530" t="s">
        <v>1370</v>
      </c>
      <c r="M60" s="2534"/>
      <c r="N60" s="2535" t="e">
        <f ca="1">NUMBERSTRING(INT(N59*10000),2)&amp;"元整"</f>
        <v>#VALUE!</v>
      </c>
      <c r="O60" s="2536"/>
    </row>
    <row r="61" spans="1:35" ht="13.5" thickBot="1">
      <c r="A61" s="3657" t="s">
        <v>1373</v>
      </c>
      <c r="B61" s="3657"/>
      <c r="C61" s="3657"/>
      <c r="D61" s="3657"/>
      <c r="E61" s="3657"/>
      <c r="F61" s="1808"/>
      <c r="G61" s="1808"/>
      <c r="H61" s="1810"/>
      <c r="I61" s="129"/>
      <c r="J61" s="3458">
        <f>J59+1</f>
        <v>7</v>
      </c>
      <c r="K61" s="3598" t="s">
        <v>1374</v>
      </c>
      <c r="L61" s="3598"/>
      <c r="M61" s="2540"/>
      <c r="N61" s="2541" t="e">
        <f ca="1">ROUND(N59*10000/'数据-汇总表'!E3,0)</f>
        <v>#VALUE!</v>
      </c>
      <c r="O61" s="2542"/>
    </row>
    <row r="62" spans="1:35" ht="12.75">
      <c r="A62" s="3617" t="s">
        <v>1375</v>
      </c>
      <c r="B62" s="3618"/>
      <c r="C62" s="3463"/>
      <c r="D62" s="3463"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1" t="s">
        <v>1379</v>
      </c>
      <c r="K63" s="3454" t="s">
        <v>1380</v>
      </c>
      <c r="L63" s="3454"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1"/>
      <c r="K64" s="3454" t="s">
        <v>1382</v>
      </c>
      <c r="L64" s="3454"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81"/>
      <c r="K65" s="3454" t="s">
        <v>1385</v>
      </c>
      <c r="L65" s="3454"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81"/>
      <c r="K66" s="3454" t="s">
        <v>1387</v>
      </c>
      <c r="L66" s="3454"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1"/>
      <c r="K67" s="3454" t="s">
        <v>1390</v>
      </c>
      <c r="L67" s="3454"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1"/>
      <c r="K68" s="3454" t="s">
        <v>1392</v>
      </c>
      <c r="L68" s="3454"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81"/>
      <c r="K69" s="3454" t="s">
        <v>1393</v>
      </c>
      <c r="L69" s="3454"/>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5" t="s">
        <v>1394</v>
      </c>
      <c r="B70" s="3626"/>
      <c r="C70" s="3626"/>
      <c r="D70" s="3626"/>
      <c r="E70" s="3626"/>
      <c r="F70" s="3626"/>
      <c r="G70" s="3626"/>
      <c r="H70" s="362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7" t="s">
        <v>1375</v>
      </c>
      <c r="B71" s="3618"/>
      <c r="C71" s="3463"/>
      <c r="D71" s="3463"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3465"/>
      <c r="F72" s="3464"/>
      <c r="G72" s="3464"/>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3465"/>
      <c r="F73" s="3464"/>
      <c r="G73" s="3464"/>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5"/>
      <c r="F74" s="3464"/>
      <c r="G74" s="3464"/>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2" t="s">
        <v>1402</v>
      </c>
      <c r="F76" s="3621"/>
      <c r="G76" s="3621"/>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53" t="s">
        <v>1404</v>
      </c>
      <c r="F77" s="186"/>
      <c r="G77" s="1822"/>
      <c r="H77" s="3466"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14" t="s">
        <v>1406</v>
      </c>
      <c r="F78" s="3615"/>
      <c r="G78" s="3615"/>
      <c r="H78" s="361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3465"/>
      <c r="F79" s="3464"/>
      <c r="G79" s="3464"/>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3453" t="e">
        <f ca="1">IF(C80&gt;=200%,"增值额超过扣除项目金额200%",IF(C80&gt;=100%,"增值额超过扣除项目金额100%，未超过200%",IF(C80&gt;=50%,"增值额超过扣除项目金额50%，未超过100%",IF(C80&lt;50%,"增值额未超过扣除项目金额50%"))))</f>
        <v>#REF!</v>
      </c>
      <c r="F80" s="3464"/>
      <c r="G80" s="3464"/>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5" t="s">
        <v>1410</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7" t="s">
        <v>1375</v>
      </c>
      <c r="B84" s="3618"/>
      <c r="C84" s="3463"/>
      <c r="D84" s="3463"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3465"/>
      <c r="F85" s="3464"/>
      <c r="G85" s="3464"/>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3465"/>
      <c r="F86" s="3464"/>
      <c r="G86" s="3464"/>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60"/>
      <c r="F87" s="3461"/>
      <c r="G87" s="3461"/>
      <c r="H87" s="3462"/>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61"/>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61"/>
      <c r="G89" s="3461"/>
      <c r="H89" s="3462"/>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61"/>
      <c r="G90" s="3583" t="s">
        <v>2129</v>
      </c>
      <c r="H90" s="358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4" t="s">
        <v>1419</v>
      </c>
      <c r="F91" s="3615"/>
      <c r="G91" s="361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4" t="s">
        <v>1422</v>
      </c>
      <c r="F92" s="3615"/>
      <c r="G92" s="3615"/>
      <c r="H92" s="361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14" t="s">
        <v>1406</v>
      </c>
      <c r="F93" s="3615"/>
      <c r="G93" s="3615"/>
      <c r="H93" s="361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9" t="s">
        <v>1426</v>
      </c>
      <c r="F94" s="3660"/>
      <c r="G94" s="3660"/>
      <c r="H94" s="36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3465"/>
      <c r="F95" s="3464"/>
      <c r="G95" s="3464"/>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3453" t="e">
        <f ca="1">IF(C96&gt;=200%,"增值额超过扣除项目金额200%",IF(C96&gt;=100%,"增值额超过扣除项目金额100%，未超过200%",IF(C96&gt;=50%,"增值额超过扣除项目金额50%，未超过100%",IF(C96&lt;50%,"增值额未超过扣除项目金额50%"))))</f>
        <v>#REF!</v>
      </c>
      <c r="F96" s="3464"/>
      <c r="G96" s="3464"/>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4" t="s">
        <v>1428</v>
      </c>
      <c r="B100" s="3565"/>
      <c r="C100" s="3565"/>
      <c r="D100" s="3599"/>
      <c r="E100" s="3565" t="s">
        <v>1429</v>
      </c>
      <c r="F100" s="3565"/>
      <c r="G100" s="3565"/>
      <c r="H100" s="3599"/>
      <c r="I100" s="129"/>
    </row>
    <row r="101" spans="1:35" ht="18.75" customHeight="1">
      <c r="A101" s="3607" t="s">
        <v>1430</v>
      </c>
      <c r="B101" s="3608"/>
      <c r="C101" s="2585" t="str">
        <f>C4</f>
        <v>成本法(车库)</v>
      </c>
      <c r="D101" s="2586" t="str">
        <f>D4</f>
        <v>收益法(车库)</v>
      </c>
      <c r="E101" s="3577" t="s">
        <v>1431</v>
      </c>
      <c r="F101" s="3578"/>
      <c r="G101" s="1827" t="s">
        <v>1432</v>
      </c>
      <c r="H101" s="2595" t="e">
        <f ca="1">H118</f>
        <v>#REF!</v>
      </c>
      <c r="I101" s="129"/>
    </row>
    <row r="102" spans="1:35" ht="18.75" customHeight="1">
      <c r="A102" s="3609" t="s">
        <v>1433</v>
      </c>
      <c r="B102" s="2584" t="s">
        <v>1432</v>
      </c>
      <c r="C102" s="2585">
        <f ca="1">IF(D32="楼面单价",ROUND(C19,0),C19)</f>
        <v>7318</v>
      </c>
      <c r="D102" s="2586">
        <f ca="1">IF(D32="楼面单价",ROUND(D19,0),D19)</f>
        <v>4204</v>
      </c>
      <c r="E102" s="3577"/>
      <c r="F102" s="3578"/>
      <c r="G102" s="1827" t="s">
        <v>1434</v>
      </c>
      <c r="H102" s="2555" t="e">
        <f ca="1">I118</f>
        <v>#REF!</v>
      </c>
      <c r="I102" s="129"/>
    </row>
    <row r="103" spans="1:35" ht="42.75" customHeight="1">
      <c r="A103" s="3609"/>
      <c r="B103" s="2584" t="s">
        <v>1434</v>
      </c>
      <c r="C103" s="2587">
        <f ca="1">C20</f>
        <v>13457</v>
      </c>
      <c r="D103" s="2588">
        <f ca="1">D20</f>
        <v>7731</v>
      </c>
      <c r="E103" s="3570" t="s">
        <v>1435</v>
      </c>
      <c r="F103" s="3571"/>
      <c r="G103" s="1828" t="s">
        <v>1436</v>
      </c>
      <c r="H103" s="2595">
        <f>IF(D36="正常操作",H104+H105+H106,H105+H106)</f>
        <v>0</v>
      </c>
      <c r="I103" s="129"/>
    </row>
    <row r="104" spans="1:35" ht="18.75" customHeight="1">
      <c r="A104" s="360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0" t="str">
        <f>IF(项目基本情况!E8="已注销","——","3.房地产抵押价值")</f>
        <v>3.房地产抵押价值</v>
      </c>
      <c r="F107" s="3578"/>
      <c r="G107" s="1827" t="s">
        <v>1432</v>
      </c>
      <c r="H107" s="2595" t="e">
        <f ca="1">IF(E107="——","——",H101-H103)</f>
        <v>#REF!</v>
      </c>
      <c r="I107" s="129"/>
    </row>
    <row r="108" spans="1:35" ht="18.75" customHeight="1">
      <c r="A108" s="129"/>
      <c r="B108" s="129"/>
      <c r="C108" s="129"/>
      <c r="D108" s="129"/>
      <c r="E108" s="3610"/>
      <c r="F108" s="3578"/>
      <c r="G108" s="1827" t="s">
        <v>1434</v>
      </c>
      <c r="H108" s="2555">
        <f ca="1">IF(H107=H101,H102,ROUND(H107*10000/'数据-汇总表'!E3,0))</f>
        <v>0</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7" t="s">
        <v>1432</v>
      </c>
      <c r="H109" s="2598" t="str">
        <f>IF(E109="——","——",H101-H105-H106)</f>
        <v>——</v>
      </c>
      <c r="I109" s="129"/>
    </row>
    <row r="110" spans="1:35" ht="18.75" customHeight="1">
      <c r="A110" s="129"/>
      <c r="B110" s="129"/>
      <c r="C110" s="129"/>
      <c r="D110" s="129"/>
      <c r="E110" s="3610"/>
      <c r="F110" s="3578"/>
      <c r="G110" s="1827" t="s">
        <v>1434</v>
      </c>
      <c r="H110" s="2555"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v>
      </c>
      <c r="F111" s="3597"/>
      <c r="G111" s="1827" t="s">
        <v>1432</v>
      </c>
      <c r="H111" s="2595" t="str">
        <f>IF(E111="——","——",N59)</f>
        <v>——</v>
      </c>
      <c r="I111" s="129"/>
    </row>
    <row r="112" spans="1:35" ht="18.75" customHeight="1" thickBot="1">
      <c r="A112" s="129"/>
      <c r="B112" s="129"/>
      <c r="C112" s="129"/>
      <c r="D112" s="129"/>
      <c r="E112" s="3612"/>
      <c r="F112" s="3613"/>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5" t="s">
        <v>1443</v>
      </c>
      <c r="B116" s="3589" t="s">
        <v>1444</v>
      </c>
      <c r="C116" s="3589" t="s">
        <v>1445</v>
      </c>
      <c r="D116" s="3595" t="s">
        <v>1446</v>
      </c>
      <c r="E116" s="3596"/>
      <c r="F116" s="3627" t="s">
        <v>1447</v>
      </c>
      <c r="G116" s="3627"/>
      <c r="H116" s="3585" t="s">
        <v>1448</v>
      </c>
      <c r="I116" s="3585"/>
    </row>
    <row r="117" spans="1:27" ht="18.75" customHeight="1">
      <c r="A117" s="3585"/>
      <c r="B117" s="3590"/>
      <c r="C117" s="3590"/>
      <c r="D117" s="3456" t="s">
        <v>1449</v>
      </c>
      <c r="E117" s="3456" t="s">
        <v>1450</v>
      </c>
      <c r="F117" s="3456" t="s">
        <v>1449</v>
      </c>
      <c r="G117" s="3456" t="s">
        <v>1451</v>
      </c>
      <c r="H117" s="3456" t="s">
        <v>1449</v>
      </c>
      <c r="I117" s="3456" t="s">
        <v>1451</v>
      </c>
    </row>
    <row r="118" spans="1:27" ht="24.75" customHeight="1">
      <c r="A118" s="2600" t="str">
        <f>项目基本情况!S2</f>
        <v>北京市房地产</v>
      </c>
      <c r="B118" s="3456">
        <f>M18</f>
        <v>87936.610000000015</v>
      </c>
      <c r="C118" s="3456">
        <f>M19</f>
        <v>16321.07</v>
      </c>
      <c r="D118" s="3456" t="e">
        <f ca="1">ROUND(IF(D32="总价",C34,E118*B118/10000),0)</f>
        <v>#REF!</v>
      </c>
      <c r="E118" s="3456" t="e">
        <f ca="1">ROUND(IF(C33="自定义",IF(D32="楼面单价",C34,D118*10000/B118),I118-G118),0)</f>
        <v>#REF!</v>
      </c>
      <c r="F118" s="3456" t="e">
        <f ca="1">ROUND(IF(D32="总价",C35,G118*B118/10000),0)</f>
        <v>#REF!</v>
      </c>
      <c r="G118" s="3456" t="e">
        <f ca="1">ROUND(IF(D32="楼面单价",C35,F118*10000/B118),0)</f>
        <v>#REF!</v>
      </c>
      <c r="H118" s="3456" t="e">
        <f ca="1">ROUND(IF(D32="总价",C32,I118*B118/10000),0)</f>
        <v>#REF!</v>
      </c>
      <c r="I118" s="3456" t="e">
        <f ca="1">ROUND(IF(D32="楼面单价",C32,H118*10000/B118),0)</f>
        <v>#REF!</v>
      </c>
    </row>
    <row r="119" spans="1:27" ht="18.75" customHeight="1">
      <c r="A119" s="3585" t="s">
        <v>1452</v>
      </c>
      <c r="B119" s="3585"/>
      <c r="C119" s="3585"/>
      <c r="D119" s="3591" t="e">
        <f ca="1">NUMBERSTRING(INT(D118*10000),2)&amp;"元整"</f>
        <v>#REF!</v>
      </c>
      <c r="E119" s="3592"/>
      <c r="F119" s="3591" t="e">
        <f ca="1">NUMBERSTRING(INT(F118*10000),2)&amp;"元整"</f>
        <v>#REF!</v>
      </c>
      <c r="G119" s="3592"/>
      <c r="H119" s="3591" t="e">
        <f ca="1">NUMBERSTRING(INT(H118*10000),2)&amp;"元整"</f>
        <v>#REF!</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1" t="s">
        <v>1452</v>
      </c>
      <c r="B121" s="3593"/>
      <c r="C121" s="3592"/>
      <c r="D121" s="3591" t="str">
        <f>IF(D120=0,"零元整",NUMBERSTRING(INT(D120*10000),2)&amp;"元整")</f>
        <v>零元整</v>
      </c>
      <c r="E121" s="3593"/>
      <c r="F121" s="3593"/>
      <c r="G121" s="3593"/>
      <c r="H121" s="3593"/>
      <c r="I121" s="3592"/>
      <c r="AA121" s="725"/>
    </row>
    <row r="122" spans="1:27" ht="18.75" customHeight="1">
      <c r="A122" s="3597" t="str">
        <f>IF(项目基本情况!B9="房地产市场价值","",MID(E107,3,LEN(E107)-2))</f>
        <v>房地产抵押价值</v>
      </c>
      <c r="B122" s="3597"/>
      <c r="C122" s="3597"/>
      <c r="D122" s="3586" t="e">
        <f ca="1">H107</f>
        <v>#REF!</v>
      </c>
      <c r="E122" s="3587"/>
      <c r="F122" s="3587"/>
      <c r="G122" s="3587"/>
      <c r="H122" s="3587"/>
      <c r="I122" s="3588"/>
      <c r="AA122" s="725"/>
    </row>
    <row r="123" spans="1:27" ht="18.75" customHeight="1">
      <c r="A123" s="3585" t="s">
        <v>1452</v>
      </c>
      <c r="B123" s="3585"/>
      <c r="C123" s="3585"/>
      <c r="D123" s="3591" t="e">
        <f ca="1">NUMBERSTRING(INT(D122*10000),2)&amp;"元整"</f>
        <v>#REF!</v>
      </c>
      <c r="E123" s="3593"/>
      <c r="F123" s="3593"/>
      <c r="G123" s="3593"/>
      <c r="H123" s="3593"/>
      <c r="I123" s="3592"/>
      <c r="AA123" s="725"/>
    </row>
    <row r="124" spans="1:27" ht="18.75" customHeight="1">
      <c r="A124" s="3597" t="str">
        <f>IF(项目基本情况!B9="房地产市场价值","",MID(E109,3,LEN(E109)-2))</f>
        <v/>
      </c>
      <c r="B124" s="3597"/>
      <c r="C124" s="3597"/>
      <c r="D124" s="3586" t="str">
        <f>H109</f>
        <v>——</v>
      </c>
      <c r="E124" s="3587"/>
      <c r="F124" s="3587"/>
      <c r="G124" s="3587"/>
      <c r="H124" s="3587"/>
      <c r="I124" s="3588"/>
      <c r="AA124" s="725"/>
    </row>
    <row r="125" spans="1:27" ht="18.75" customHeight="1">
      <c r="A125" s="3585" t="s">
        <v>1452</v>
      </c>
      <c r="B125" s="3585"/>
      <c r="C125" s="3585"/>
      <c r="D125" s="3591" t="e">
        <f>NUMBERSTRING(INT(D124*10000),2)&amp;"元整"</f>
        <v>#VALUE!</v>
      </c>
      <c r="E125" s="3593"/>
      <c r="F125" s="3593"/>
      <c r="G125" s="3593"/>
      <c r="H125" s="3593"/>
      <c r="I125" s="3592"/>
      <c r="AA125" s="725"/>
    </row>
    <row r="126" spans="1:27" ht="18.75" customHeight="1">
      <c r="A126" s="3597" t="str">
        <f>IF(项目基本情况!B9="房地产市场价值","",MID(E111,3,LEN(E111)-2))</f>
        <v/>
      </c>
      <c r="B126" s="3597"/>
      <c r="C126" s="3597"/>
      <c r="D126" s="3586" t="str">
        <f>H111</f>
        <v>——</v>
      </c>
      <c r="E126" s="3587"/>
      <c r="F126" s="3587"/>
      <c r="G126" s="3587"/>
      <c r="H126" s="3587"/>
      <c r="I126" s="3588"/>
      <c r="AA126" s="725"/>
    </row>
    <row r="127" spans="1:27" ht="18.75" customHeight="1">
      <c r="A127" s="3585" t="s">
        <v>1452</v>
      </c>
      <c r="B127" s="3585"/>
      <c r="C127" s="3585"/>
      <c r="D127" s="3591" t="e">
        <f>NUMBERSTRING(INT(D126*10000),2)&amp;"元整"</f>
        <v>#VALUE!</v>
      </c>
      <c r="E127" s="3593"/>
      <c r="F127" s="3593"/>
      <c r="G127" s="3593"/>
      <c r="H127" s="3593"/>
      <c r="I127" s="3592"/>
      <c r="AA127" s="725"/>
    </row>
    <row r="128" spans="1:27" ht="21.75" customHeight="1">
      <c r="A128" s="3594" t="s">
        <v>1453</v>
      </c>
      <c r="B128" s="3594"/>
      <c r="C128" s="3594"/>
      <c r="D128" s="3594"/>
      <c r="E128" s="3594"/>
      <c r="F128" s="3594"/>
      <c r="G128" s="3594"/>
      <c r="H128" s="3594"/>
      <c r="I128" s="359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估价对象为北京市房地产，为所有。根据《国有土地使用证》[]，估价对象（分摊）出让国有建设用地使用权面积为16321.07平方米，建筑面积为87936.61平方米。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估价对象为北京市房地产,属开发建设的，该项目尚在开发建设中。根据《国有土地使用证》[]，估价对象（分摊）出让国有建设用地使用权面积为16321.07平方米，规划建筑面积为87936.61平方米。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3337</v>
      </c>
      <c r="C1" s="198"/>
      <c r="D1" s="198"/>
      <c r="E1" s="198"/>
      <c r="F1" s="198"/>
      <c r="G1" s="1126">
        <f>MATCH(B1,'数据-取费表'!A6:A16,0)+5</f>
        <v>7</v>
      </c>
    </row>
    <row r="2" spans="1:9" s="200" customFormat="1" ht="18" customHeight="1">
      <c r="A2" s="201" t="s">
        <v>685</v>
      </c>
      <c r="B2" s="202">
        <f ca="1">IF(D2="——",C52,C52-E2)</f>
        <v>7318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13457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2972</v>
      </c>
      <c r="D5" s="211" t="s">
        <v>1469</v>
      </c>
      <c r="E5" s="212" t="s">
        <v>1470</v>
      </c>
      <c r="F5" s="212" t="s">
        <v>1471</v>
      </c>
      <c r="G5" s="213"/>
    </row>
    <row r="6" spans="1:9" s="214" customFormat="1" ht="13.5" customHeight="1">
      <c r="A6" s="778" t="s">
        <v>1472</v>
      </c>
      <c r="B6" s="215" t="s">
        <v>1473</v>
      </c>
      <c r="C6" s="216">
        <f>基准地价修正!E42</f>
        <v>2778</v>
      </c>
      <c r="D6" s="217"/>
      <c r="E6" s="218"/>
      <c r="F6" s="218"/>
      <c r="G6" s="219"/>
    </row>
    <row r="7" spans="1:9" s="214" customFormat="1" ht="13.5" customHeight="1">
      <c r="A7" s="778" t="s">
        <v>1474</v>
      </c>
      <c r="B7" s="215" t="s">
        <v>1475</v>
      </c>
      <c r="C7" s="220">
        <f>ROUND(C6*F7,0)</f>
        <v>85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109</v>
      </c>
      <c r="D8" s="222"/>
      <c r="E8" s="220"/>
      <c r="F8" s="221"/>
      <c r="G8" s="1856" t="s">
        <v>3414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3415</v>
      </c>
      <c r="H9" s="1137"/>
      <c r="I9" s="1858" t="s">
        <v>1479</v>
      </c>
    </row>
    <row r="10" spans="1:9" s="214" customFormat="1" ht="13.5" customHeight="1">
      <c r="A10" s="779" t="s">
        <v>356</v>
      </c>
      <c r="B10" s="224" t="s">
        <v>1480</v>
      </c>
      <c r="C10" s="225">
        <f ca="1">ROUND(D10*E10/10000,0)</f>
        <v>109</v>
      </c>
      <c r="D10" s="845">
        <f ca="1">IF(B1="",'数据-汇总表'!E6,IF(INDIRECT("'数据-取费表'!c"&amp;$G$1)="住宅",INDIRECT("'数据-取费表'!s"&amp;$G$1),INDIRECT("'数据-取费表'!k"&amp;$G$1)+INDIRECT("'数据-取费表'!s"&amp;$G$1)))</f>
        <v>5437.93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1477</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5437.93</v>
      </c>
      <c r="E19" s="211">
        <f>'数据-取费表'!B31</f>
        <v>200</v>
      </c>
      <c r="F19" s="231"/>
      <c r="G19" s="1856" t="s">
        <v>3416</v>
      </c>
    </row>
    <row r="20" spans="1:7" s="214" customFormat="1" ht="13.5" customHeight="1">
      <c r="A20" s="255" t="s">
        <v>1493</v>
      </c>
      <c r="B20" s="210" t="s">
        <v>1494</v>
      </c>
      <c r="C20" s="232">
        <f ca="1">ROUND((C5+C19)*F20,0)</f>
        <v>59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211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1472</v>
      </c>
      <c r="B23" s="215" t="s">
        <v>1503</v>
      </c>
      <c r="C23" s="1105">
        <f ca="1">ROUND(IF('数据-取费表'!B22&lt;=1,C5*F22*'数据-取费表'!B23,C5*(POWER((1+F22),'数据-取费表'!B23)-1)),0)</f>
        <v>209</v>
      </c>
      <c r="D23" s="238"/>
      <c r="E23" s="238"/>
      <c r="F23" s="239"/>
      <c r="G23" s="240" t="s">
        <v>1504</v>
      </c>
    </row>
    <row r="24" spans="1:7" s="214" customFormat="1" ht="13.5" customHeight="1">
      <c r="A24" s="780" t="s">
        <v>1474</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1476</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303</v>
      </c>
      <c r="D27" s="235">
        <f ca="1">C29</f>
        <v>2E-3</v>
      </c>
      <c r="E27" s="236" t="s">
        <v>1498</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303</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1498</v>
      </c>
      <c r="E30" s="241"/>
      <c r="F30" s="237">
        <f>'数据-取费表'!B41</f>
        <v>5.6000000000000001E-2</v>
      </c>
      <c r="G30" s="234" t="s">
        <v>1520</v>
      </c>
    </row>
    <row r="31" spans="1:7" ht="16.5" customHeight="1">
      <c r="A31" s="209">
        <v>1</v>
      </c>
      <c r="B31" s="210" t="s">
        <v>1521</v>
      </c>
      <c r="C31" s="211">
        <f ca="1">ROUND((C5+C19+C20+C22+C27)/(1-C21-D22-D27-C30),0)</f>
        <v>3837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3519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3263</v>
      </c>
      <c r="D34" s="217"/>
      <c r="E34" s="220"/>
      <c r="F34" s="257">
        <f ca="1">IF('数据-取费表'!B24=0,1,IF(B1="",'数据-取费表'!N16,INDIRECT("'数据-取费表'!n"&amp;$G$1)))</f>
        <v>1</v>
      </c>
      <c r="G34" s="219" t="s">
        <v>1526</v>
      </c>
    </row>
    <row r="35" spans="1:7" ht="13.5" customHeight="1">
      <c r="A35" s="780" t="s">
        <v>351</v>
      </c>
      <c r="B35" s="215" t="s">
        <v>1527</v>
      </c>
      <c r="C35" s="220">
        <f ca="1">ROUND(C34*F35,0)</f>
        <v>98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109</v>
      </c>
      <c r="D37" s="217">
        <f ca="1">D19</f>
        <v>5437.93</v>
      </c>
      <c r="E37" s="249">
        <f>'数据-取费表'!B35</f>
        <v>200</v>
      </c>
      <c r="F37" s="259"/>
      <c r="G37" s="261" t="s">
        <v>1532</v>
      </c>
    </row>
    <row r="38" spans="1:7" ht="13.5" customHeight="1">
      <c r="A38" s="780" t="s">
        <v>354</v>
      </c>
      <c r="B38" s="215" t="s">
        <v>1533</v>
      </c>
      <c r="C38" s="220">
        <f ca="1">ROUND(C34*F38,0)</f>
        <v>49</v>
      </c>
      <c r="D38" s="220"/>
      <c r="E38" s="220"/>
      <c r="F38" s="259">
        <f>'数据-取费表'!B36</f>
        <v>1.4999999999999999E-2</v>
      </c>
      <c r="G38" s="219" t="s">
        <v>1528</v>
      </c>
    </row>
    <row r="39" spans="1:7" s="214" customFormat="1" ht="13.5" customHeight="1">
      <c r="A39" s="255" t="s">
        <v>1491</v>
      </c>
      <c r="B39" s="210" t="s">
        <v>1494</v>
      </c>
      <c r="C39" s="232">
        <f ca="1">ROUND(C33*F20,0)</f>
        <v>70</v>
      </c>
      <c r="D39" s="232"/>
      <c r="E39" s="232"/>
      <c r="F39" s="233">
        <f>F20</f>
        <v>0.02</v>
      </c>
      <c r="G39" s="234" t="s">
        <v>1536</v>
      </c>
    </row>
    <row r="40" spans="1:7" s="214" customFormat="1" ht="13.5" customHeight="1">
      <c r="A40" s="255" t="s">
        <v>1493</v>
      </c>
      <c r="B40" s="210" t="s">
        <v>1497</v>
      </c>
      <c r="C40" s="1327">
        <f>F21</f>
        <v>0.02</v>
      </c>
      <c r="D40" s="236" t="s">
        <v>1539</v>
      </c>
      <c r="E40" s="232"/>
      <c r="F40" s="233">
        <f>F21</f>
        <v>0.02</v>
      </c>
      <c r="G40" s="234" t="s">
        <v>1540</v>
      </c>
    </row>
    <row r="41" spans="1:7" s="214" customFormat="1" ht="13.5" customHeight="1">
      <c r="A41" s="255" t="s">
        <v>1496</v>
      </c>
      <c r="B41" s="210" t="s">
        <v>1501</v>
      </c>
      <c r="C41" s="232">
        <f ca="1">ROUND(SUM(C42:C43),0)</f>
        <v>123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1503</v>
      </c>
      <c r="C42" s="238">
        <f ca="1">ROUND(IF('数据-取费表'!B22&lt;=1,C33*F22*'数据-取费表'!B21/2,C33*(POWER((1+F22),'数据-取费表'!B21/2)-1)),0)</f>
        <v>121</v>
      </c>
      <c r="D42" s="238"/>
      <c r="E42" s="238"/>
      <c r="F42" s="239"/>
      <c r="G42" s="3664" t="s">
        <v>1544</v>
      </c>
    </row>
    <row r="43" spans="1:7" ht="13.5" customHeight="1">
      <c r="A43" s="780" t="s">
        <v>347</v>
      </c>
      <c r="B43" s="215" t="s">
        <v>1506</v>
      </c>
      <c r="C43" s="238">
        <f ca="1">ROUND(IF('数据-取费表'!B22&lt;=1,C39*F22*'数据-取费表'!B21/2,C39*(POWER((1+F22),'数据-取费表'!B21/2)-1)),0)</f>
        <v>2</v>
      </c>
      <c r="D43" s="238"/>
      <c r="E43" s="238"/>
      <c r="F43" s="239"/>
      <c r="G43" s="3665"/>
    </row>
    <row r="44" spans="1:7" ht="13.5" customHeight="1">
      <c r="A44" s="780" t="s">
        <v>348</v>
      </c>
      <c r="B44" s="215" t="s">
        <v>1509</v>
      </c>
      <c r="C44" s="238">
        <f ca="1">ROUND(IF('数据-取费表'!B22&lt;=1,C40*F22*'数据-取费表'!B21/2,C40*(POWER((1+F22),'数据-取费表'!B21/2)-1)),4)</f>
        <v>6.9999999999999999E-4</v>
      </c>
      <c r="D44" s="238"/>
      <c r="E44" s="238"/>
      <c r="F44" s="239"/>
      <c r="G44" s="3666"/>
    </row>
    <row r="45" spans="1:7" s="214" customFormat="1" ht="13.5" customHeight="1">
      <c r="A45" s="255" t="s">
        <v>1500</v>
      </c>
      <c r="B45" s="244" t="s">
        <v>1513</v>
      </c>
      <c r="C45" s="245">
        <f ca="1">C46</f>
        <v>359</v>
      </c>
      <c r="D45" s="235">
        <f ca="1">C47</f>
        <v>2E-3</v>
      </c>
      <c r="E45" s="236" t="s">
        <v>1539</v>
      </c>
      <c r="F45" s="246">
        <f ca="1">F27</f>
        <v>0.1</v>
      </c>
      <c r="G45" s="247" t="s">
        <v>1548</v>
      </c>
    </row>
    <row r="46" spans="1:7" s="214" customFormat="1" ht="13.5" customHeight="1">
      <c r="A46" s="780" t="s">
        <v>346</v>
      </c>
      <c r="B46" s="248" t="s">
        <v>1549</v>
      </c>
      <c r="C46" s="249">
        <f ca="1">ROUND((C33+C39)*F27,0)</f>
        <v>359</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4406</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3481</v>
      </c>
      <c r="D51" s="232"/>
      <c r="E51" s="232"/>
      <c r="F51" s="264"/>
      <c r="G51" s="234" t="s">
        <v>1560</v>
      </c>
    </row>
    <row r="52" spans="1:7" s="208" customFormat="1" ht="16.5" thickBot="1">
      <c r="A52" s="265" t="s">
        <v>1561</v>
      </c>
      <c r="B52" s="266"/>
      <c r="C52" s="267">
        <f ca="1">C31+C51</f>
        <v>7318</v>
      </c>
      <c r="D52" s="266"/>
      <c r="E52" s="266"/>
      <c r="F52" s="266"/>
      <c r="G52" s="268"/>
    </row>
    <row r="55" spans="1:7" ht="15">
      <c r="B55" s="270" t="s">
        <v>1562</v>
      </c>
      <c r="C55" s="271"/>
    </row>
    <row r="56" spans="1:7">
      <c r="B56" s="273" t="s">
        <v>802</v>
      </c>
      <c r="C56" s="275">
        <f ca="1">1-C57</f>
        <v>0.52400000000000002</v>
      </c>
    </row>
    <row r="57" spans="1:7">
      <c r="B57" s="273" t="s">
        <v>803</v>
      </c>
      <c r="C57" s="274">
        <f ca="1">ROUND(C51/C52,3)</f>
        <v>0.47599999999999998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9" t="s">
        <v>694</v>
      </c>
      <c r="C6" s="1074">
        <f ca="1">ROUND(F6*F8*F7*(1-F9),0)</f>
        <v>0</v>
      </c>
      <c r="D6" s="155" t="s">
        <v>2106</v>
      </c>
      <c r="E6" s="302" t="s">
        <v>696</v>
      </c>
      <c r="F6" s="303">
        <f ca="1">INDIRECT("'数据-取费表'!u"&amp;$G$1)</f>
        <v>0</v>
      </c>
      <c r="G6" s="1384"/>
      <c r="H6" s="1069" t="s">
        <v>398</v>
      </c>
      <c r="I6" s="3669" t="s">
        <v>694</v>
      </c>
      <c r="J6" s="301">
        <f ca="1">ROUND(M6*M8*M7*(1-M9),0)</f>
        <v>0</v>
      </c>
      <c r="K6" s="1376" t="s">
        <v>2107</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735" t="s">
        <v>2321</v>
      </c>
      <c r="K2" s="3736"/>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37" t="s">
        <v>2331</v>
      </c>
      <c r="K3" s="3738"/>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37" t="s">
        <v>2333</v>
      </c>
      <c r="K4" s="3738"/>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39" t="s">
        <v>2337</v>
      </c>
      <c r="B6" s="3740"/>
      <c r="C6" s="3741"/>
      <c r="D6" s="2870"/>
      <c r="E6" s="2871"/>
      <c r="F6" s="2872"/>
      <c r="G6" s="2873"/>
      <c r="H6" s="2848"/>
      <c r="I6" s="2849"/>
      <c r="J6" s="3742">
        <v>1</v>
      </c>
      <c r="K6" s="3743"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742"/>
      <c r="K7" s="3744"/>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46" t="s">
        <v>2351</v>
      </c>
      <c r="C8" s="3747"/>
      <c r="D8" s="2889" t="s">
        <v>2352</v>
      </c>
      <c r="E8" s="2890" t="s">
        <v>2353</v>
      </c>
      <c r="F8" s="2891" t="s">
        <v>2354</v>
      </c>
      <c r="G8" s="2892"/>
      <c r="H8" s="2848"/>
      <c r="I8" s="2849"/>
      <c r="J8" s="3742"/>
      <c r="K8" s="3744"/>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46" t="s">
        <v>2357</v>
      </c>
      <c r="C9" s="3747"/>
      <c r="D9" s="2889">
        <f>ROUND(D6*E9,0)</f>
        <v>0</v>
      </c>
      <c r="E9" s="2893"/>
      <c r="F9" s="2894" t="s">
        <v>2358</v>
      </c>
      <c r="G9" s="2873"/>
      <c r="H9" s="2848"/>
      <c r="I9" s="2849"/>
      <c r="J9" s="3742"/>
      <c r="K9" s="3744"/>
      <c r="L9" s="2883" t="s">
        <v>2359</v>
      </c>
      <c r="M9" s="2884"/>
      <c r="N9" s="2860"/>
      <c r="O9" s="2885"/>
      <c r="P9" s="2885"/>
      <c r="Q9" s="2886">
        <v>365</v>
      </c>
      <c r="R9" s="2887">
        <f t="shared" si="0"/>
        <v>0</v>
      </c>
      <c r="S9" s="2841"/>
      <c r="T9" s="2841"/>
      <c r="U9" s="2841"/>
      <c r="V9" s="2849"/>
    </row>
    <row r="10" spans="1:22" s="2853" customFormat="1" ht="13.15" customHeight="1">
      <c r="A10" s="2888">
        <v>2</v>
      </c>
      <c r="B10" s="3746" t="s">
        <v>2360</v>
      </c>
      <c r="C10" s="3747"/>
      <c r="D10" s="2889">
        <f>ROUND(D6*E10,0)</f>
        <v>0</v>
      </c>
      <c r="E10" s="2893"/>
      <c r="F10" s="2894" t="s">
        <v>2361</v>
      </c>
      <c r="G10" s="2873"/>
      <c r="H10" s="2848"/>
      <c r="I10" s="2849"/>
      <c r="J10" s="3742"/>
      <c r="K10" s="3744"/>
      <c r="L10" s="2883" t="s">
        <v>2362</v>
      </c>
      <c r="M10" s="2884"/>
      <c r="N10" s="2860"/>
      <c r="O10" s="2885"/>
      <c r="P10" s="2885"/>
      <c r="Q10" s="2886">
        <v>365</v>
      </c>
      <c r="R10" s="2887">
        <f t="shared" si="0"/>
        <v>0</v>
      </c>
      <c r="S10" s="2841"/>
      <c r="T10" s="2841"/>
      <c r="U10" s="2841"/>
      <c r="V10" s="2849"/>
    </row>
    <row r="11" spans="1:22" s="2853" customFormat="1" ht="13.15" customHeight="1">
      <c r="A11" s="2888">
        <v>3</v>
      </c>
      <c r="B11" s="3746" t="s">
        <v>2363</v>
      </c>
      <c r="C11" s="3747"/>
      <c r="D11" s="2889">
        <f>D12+D14+D15+D16</f>
        <v>0</v>
      </c>
      <c r="E11" s="2895" t="e">
        <f>D11/D6</f>
        <v>#DIV/0!</v>
      </c>
      <c r="F11" s="2891"/>
      <c r="G11" s="2892"/>
      <c r="H11" s="2848"/>
      <c r="I11" s="2849"/>
      <c r="J11" s="3742"/>
      <c r="K11" s="3744"/>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48" t="s">
        <v>2366</v>
      </c>
      <c r="C12" s="3749"/>
      <c r="D12" s="2897">
        <f>ROUND(D13*1.2%*(1-30%),0)</f>
        <v>0</v>
      </c>
      <c r="E12" s="2898">
        <v>1.2E-2</v>
      </c>
      <c r="F12" s="2891" t="s">
        <v>2367</v>
      </c>
      <c r="G12" s="2892"/>
      <c r="H12" s="2848"/>
      <c r="I12" s="2849"/>
      <c r="J12" s="3742"/>
      <c r="K12" s="3744"/>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742"/>
      <c r="K13" s="3744"/>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48" t="s">
        <v>2372</v>
      </c>
      <c r="C14" s="3749"/>
      <c r="D14" s="2897">
        <f>ROUND(E14*B5/10000,0)</f>
        <v>0</v>
      </c>
      <c r="E14" s="2886"/>
      <c r="F14" s="2891" t="s">
        <v>2373</v>
      </c>
      <c r="G14" s="2892"/>
      <c r="H14" s="2848"/>
      <c r="I14" s="2849"/>
      <c r="J14" s="3742"/>
      <c r="K14" s="3745"/>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48" t="s">
        <v>2376</v>
      </c>
      <c r="C15" s="3749"/>
      <c r="D15" s="2897">
        <f>ROUND(D6*E15,0)</f>
        <v>0</v>
      </c>
      <c r="E15" s="2898">
        <v>5.5E-2</v>
      </c>
      <c r="F15" s="2891" t="s">
        <v>2377</v>
      </c>
      <c r="G15" s="2873"/>
      <c r="H15" s="2848"/>
      <c r="I15" s="2849"/>
      <c r="J15" s="3742">
        <v>2</v>
      </c>
      <c r="K15" s="3743"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48" t="s">
        <v>2385</v>
      </c>
      <c r="C16" s="3749"/>
      <c r="D16" s="2908">
        <f>D6*E16</f>
        <v>0</v>
      </c>
      <c r="E16" s="2909"/>
      <c r="F16" s="2894" t="s">
        <v>2386</v>
      </c>
      <c r="G16" s="2873"/>
      <c r="H16" s="2848"/>
      <c r="I16" s="2849"/>
      <c r="J16" s="3742"/>
      <c r="K16" s="3744"/>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50" t="s">
        <v>2388</v>
      </c>
      <c r="C17" s="3751"/>
      <c r="D17" s="2911">
        <f>ROUND(D6*E17,0)</f>
        <v>0</v>
      </c>
      <c r="E17" s="2912"/>
      <c r="F17" s="2913" t="s">
        <v>2389</v>
      </c>
      <c r="G17" s="2873"/>
      <c r="H17" s="2848"/>
      <c r="I17" s="2849"/>
      <c r="J17" s="3742"/>
      <c r="K17" s="3744"/>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742"/>
      <c r="K18" s="3744"/>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742"/>
      <c r="K19" s="3745"/>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42">
        <v>3</v>
      </c>
      <c r="K20" s="3743"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742"/>
      <c r="K21" s="3744"/>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742"/>
      <c r="K22" s="3744"/>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742"/>
      <c r="K23" s="3744"/>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742"/>
      <c r="K24" s="3745"/>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52">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5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735" t="s">
        <v>2321</v>
      </c>
      <c r="K32" s="3736"/>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37" t="s">
        <v>2331</v>
      </c>
      <c r="K33" s="3738"/>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37" t="s">
        <v>2333</v>
      </c>
      <c r="K34" s="373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742">
        <v>1</v>
      </c>
      <c r="K36" s="3743"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742"/>
      <c r="K37" s="3744"/>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42"/>
      <c r="K38" s="3744"/>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742"/>
      <c r="K39" s="3744"/>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742"/>
      <c r="K40" s="3745"/>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52">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5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87936.610000000015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1" t="s">
        <v>1667</v>
      </c>
      <c r="D4" s="3712"/>
      <c r="E4" s="3713" t="s">
        <v>1668</v>
      </c>
      <c r="F4" s="3714"/>
      <c r="G4" s="3711" t="s">
        <v>1669</v>
      </c>
      <c r="H4" s="3712"/>
      <c r="I4" s="3711" t="s">
        <v>1670</v>
      </c>
      <c r="J4" s="3712"/>
      <c r="K4" s="1889" t="s">
        <v>1671</v>
      </c>
      <c r="L4" s="2715"/>
      <c r="M4" s="2716"/>
      <c r="N4" s="2716"/>
      <c r="O4" s="2716"/>
      <c r="P4" s="3715" t="s">
        <v>1672</v>
      </c>
      <c r="Q4" s="3716"/>
      <c r="R4" s="3698" t="s">
        <v>1668</v>
      </c>
      <c r="S4" s="3699"/>
      <c r="T4" s="3698" t="s">
        <v>1669</v>
      </c>
      <c r="U4" s="3699"/>
      <c r="V4" s="3723" t="s">
        <v>1670</v>
      </c>
      <c r="W4" s="3723"/>
      <c r="X4" s="1355"/>
      <c r="Y4" s="3698" t="s">
        <v>1672</v>
      </c>
      <c r="Z4" s="3699"/>
      <c r="AA4" s="3693" t="s">
        <v>1668</v>
      </c>
      <c r="AB4" s="3693" t="s">
        <v>1669</v>
      </c>
      <c r="AC4" s="3693" t="s">
        <v>1670</v>
      </c>
    </row>
    <row r="5" spans="1:29" ht="15">
      <c r="A5" s="358"/>
      <c r="B5" s="359"/>
      <c r="C5" s="3704" t="s">
        <v>1673</v>
      </c>
      <c r="D5" s="3705"/>
      <c r="E5" s="3702" t="s">
        <v>1674</v>
      </c>
      <c r="F5" s="3703"/>
      <c r="G5" s="3704" t="s">
        <v>1675</v>
      </c>
      <c r="H5" s="3705"/>
      <c r="I5" s="3704" t="s">
        <v>1676</v>
      </c>
      <c r="J5" s="3705"/>
      <c r="K5" s="1890"/>
      <c r="L5" s="2715"/>
      <c r="M5" s="2716"/>
      <c r="N5" s="2716"/>
      <c r="O5" s="2716"/>
      <c r="P5" s="3717"/>
      <c r="Q5" s="3718"/>
      <c r="R5" s="3700"/>
      <c r="S5" s="3701"/>
      <c r="T5" s="3700"/>
      <c r="U5" s="3701"/>
      <c r="V5" s="3723"/>
      <c r="W5" s="3723"/>
      <c r="X5" s="1355"/>
      <c r="Y5" s="3700"/>
      <c r="Z5" s="3701"/>
      <c r="AA5" s="3694"/>
      <c r="AB5" s="3694"/>
      <c r="AC5" s="3694"/>
    </row>
    <row r="6" spans="1:29" ht="15.75" thickBot="1">
      <c r="A6" s="360"/>
      <c r="B6" s="361"/>
      <c r="C6" s="3706" t="s">
        <v>1677</v>
      </c>
      <c r="D6" s="3707"/>
      <c r="E6" s="3708" t="s">
        <v>1677</v>
      </c>
      <c r="F6" s="3709"/>
      <c r="G6" s="3706" t="s">
        <v>1677</v>
      </c>
      <c r="H6" s="3707"/>
      <c r="I6" s="3706" t="s">
        <v>1677</v>
      </c>
      <c r="J6" s="3707"/>
      <c r="K6" s="1890" t="s">
        <v>1678</v>
      </c>
      <c r="L6" s="2715"/>
      <c r="M6" s="2716"/>
      <c r="N6" s="2716"/>
      <c r="O6" s="2716"/>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45239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6" t="s">
        <v>1680</v>
      </c>
      <c r="Q7" s="3724"/>
      <c r="R7" s="701" t="s">
        <v>20</v>
      </c>
      <c r="S7" s="702">
        <f t="shared" ref="S7:S15" si="0">F7</f>
        <v>0</v>
      </c>
      <c r="T7" s="701" t="s">
        <v>20</v>
      </c>
      <c r="U7" s="702">
        <f t="shared" ref="U7:U15" si="1">H7</f>
        <v>0</v>
      </c>
      <c r="V7" s="701" t="s">
        <v>20</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6" t="s">
        <v>1683</v>
      </c>
      <c r="Q8" s="3697"/>
      <c r="R8" s="701" t="s">
        <v>20</v>
      </c>
      <c r="S8" s="702">
        <f t="shared" si="0"/>
        <v>100</v>
      </c>
      <c r="T8" s="701" t="s">
        <v>20</v>
      </c>
      <c r="U8" s="702">
        <f t="shared" si="1"/>
        <v>100</v>
      </c>
      <c r="V8" s="701" t="s">
        <v>20</v>
      </c>
      <c r="W8" s="702">
        <f t="shared" si="2"/>
        <v>100</v>
      </c>
      <c r="X8" s="703"/>
      <c r="Y8" s="3696" t="s">
        <v>1683</v>
      </c>
      <c r="Z8" s="369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34"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34"/>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34"/>
      <c r="Q11" s="1343" t="str">
        <f t="shared" si="6"/>
        <v>容积率</v>
      </c>
      <c r="R11" s="701" t="s">
        <v>18</v>
      </c>
      <c r="S11" s="702" t="e">
        <f t="shared" si="0"/>
        <v>#N/A</v>
      </c>
      <c r="T11" s="701" t="s">
        <v>18</v>
      </c>
      <c r="U11" s="702" t="e">
        <f t="shared" si="1"/>
        <v>#N/A</v>
      </c>
      <c r="V11" s="701" t="s">
        <v>18</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34"/>
      <c r="Q12" s="1343">
        <f t="shared" si="6"/>
        <v>111</v>
      </c>
      <c r="R12" s="701" t="s">
        <v>18</v>
      </c>
      <c r="S12" s="702">
        <f t="shared" si="0"/>
        <v>100</v>
      </c>
      <c r="T12" s="701" t="s">
        <v>18</v>
      </c>
      <c r="U12" s="702">
        <f t="shared" si="1"/>
        <v>100</v>
      </c>
      <c r="V12" s="701" t="s">
        <v>18</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34"/>
      <c r="Q13" s="1343">
        <f t="shared" si="6"/>
        <v>111</v>
      </c>
      <c r="R13" s="701" t="s">
        <v>18</v>
      </c>
      <c r="S13" s="702">
        <f t="shared" si="0"/>
        <v>100</v>
      </c>
      <c r="T13" s="701" t="s">
        <v>18</v>
      </c>
      <c r="U13" s="702">
        <f t="shared" si="1"/>
        <v>100</v>
      </c>
      <c r="V13" s="701" t="s">
        <v>18</v>
      </c>
      <c r="W13" s="702">
        <f t="shared" si="2"/>
        <v>100</v>
      </c>
      <c r="X13" s="703"/>
      <c r="Y13" s="36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34"/>
      <c r="Q14" s="1343">
        <f t="shared" si="6"/>
        <v>111</v>
      </c>
      <c r="R14" s="701" t="s">
        <v>18</v>
      </c>
      <c r="S14" s="702">
        <f t="shared" si="0"/>
        <v>100</v>
      </c>
      <c r="T14" s="701" t="s">
        <v>18</v>
      </c>
      <c r="U14" s="702">
        <f t="shared" si="1"/>
        <v>100</v>
      </c>
      <c r="V14" s="701" t="s">
        <v>18</v>
      </c>
      <c r="W14" s="702">
        <f t="shared" si="2"/>
        <v>100</v>
      </c>
      <c r="X14" s="703"/>
      <c r="Y14" s="36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60" t="s">
        <v>1691</v>
      </c>
      <c r="Q15" s="1352" t="str">
        <f t="shared" si="6"/>
        <v>居住社区成熟度</v>
      </c>
      <c r="R15" s="705" t="s">
        <v>18</v>
      </c>
      <c r="S15" s="706">
        <f t="shared" si="0"/>
        <v>100</v>
      </c>
      <c r="T15" s="705" t="s">
        <v>18</v>
      </c>
      <c r="U15" s="706">
        <f t="shared" si="1"/>
        <v>100</v>
      </c>
      <c r="V15" s="705" t="s">
        <v>18</v>
      </c>
      <c r="W15" s="706">
        <f t="shared" si="2"/>
        <v>100</v>
      </c>
      <c r="X15" s="1355"/>
      <c r="Y15" s="372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61"/>
      <c r="Q16" s="1352"/>
      <c r="R16" s="705"/>
      <c r="S16" s="706"/>
      <c r="T16" s="705"/>
      <c r="U16" s="706"/>
      <c r="V16" s="705"/>
      <c r="W16" s="706"/>
      <c r="X16" s="1355"/>
      <c r="Y16" s="372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61"/>
      <c r="Q17" s="1352" t="str">
        <f>B17</f>
        <v>交通便捷度</v>
      </c>
      <c r="R17" s="705" t="s">
        <v>18</v>
      </c>
      <c r="S17" s="706">
        <f>F17</f>
        <v>100</v>
      </c>
      <c r="T17" s="705" t="s">
        <v>18</v>
      </c>
      <c r="U17" s="706">
        <f>H17</f>
        <v>100</v>
      </c>
      <c r="V17" s="705" t="s">
        <v>18</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61"/>
      <c r="Q18" s="1352"/>
      <c r="R18" s="705"/>
      <c r="S18" s="706"/>
      <c r="T18" s="705"/>
      <c r="U18" s="706"/>
      <c r="V18" s="705"/>
      <c r="W18" s="706"/>
      <c r="X18" s="1355"/>
      <c r="Y18" s="372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61"/>
      <c r="Q19" s="1352" t="str">
        <f>B19</f>
        <v>公共配套设施</v>
      </c>
      <c r="R19" s="705" t="s">
        <v>18</v>
      </c>
      <c r="S19" s="706">
        <f>F19</f>
        <v>100</v>
      </c>
      <c r="T19" s="705" t="s">
        <v>18</v>
      </c>
      <c r="U19" s="706">
        <f>H19</f>
        <v>100</v>
      </c>
      <c r="V19" s="705" t="s">
        <v>18</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61"/>
      <c r="Q20" s="1352"/>
      <c r="R20" s="705"/>
      <c r="S20" s="706"/>
      <c r="T20" s="705"/>
      <c r="U20" s="706"/>
      <c r="V20" s="705"/>
      <c r="W20" s="706"/>
      <c r="X20" s="1355"/>
      <c r="Y20" s="372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61"/>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61"/>
      <c r="Q22" s="1352"/>
      <c r="R22" s="705"/>
      <c r="S22" s="706"/>
      <c r="T22" s="705"/>
      <c r="U22" s="706"/>
      <c r="V22" s="705"/>
      <c r="W22" s="706"/>
      <c r="X22" s="1355"/>
      <c r="Y22" s="372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61"/>
      <c r="Q23" s="1352" t="str">
        <f>B23</f>
        <v>自然及人文环境</v>
      </c>
      <c r="R23" s="705" t="s">
        <v>18</v>
      </c>
      <c r="S23" s="706">
        <f>F23</f>
        <v>100</v>
      </c>
      <c r="T23" s="705" t="s">
        <v>18</v>
      </c>
      <c r="U23" s="706">
        <f>H23</f>
        <v>100</v>
      </c>
      <c r="V23" s="705" t="s">
        <v>18</v>
      </c>
      <c r="W23" s="706">
        <f>J23</f>
        <v>100</v>
      </c>
      <c r="X23" s="1355"/>
      <c r="Y23" s="372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61"/>
      <c r="Q24" s="1352"/>
      <c r="R24" s="705"/>
      <c r="S24" s="706"/>
      <c r="T24" s="705"/>
      <c r="U24" s="706"/>
      <c r="V24" s="705"/>
      <c r="W24" s="706"/>
      <c r="X24" s="1355"/>
      <c r="Y24" s="372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6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61"/>
      <c r="Q26" s="1352" t="str">
        <f t="shared" si="11"/>
        <v>朝向</v>
      </c>
      <c r="R26" s="705" t="s">
        <v>18</v>
      </c>
      <c r="S26" s="706">
        <f t="shared" si="12"/>
        <v>100</v>
      </c>
      <c r="T26" s="705" t="s">
        <v>18</v>
      </c>
      <c r="U26" s="706">
        <f t="shared" si="13"/>
        <v>100</v>
      </c>
      <c r="V26" s="705" t="s">
        <v>18</v>
      </c>
      <c r="W26" s="706">
        <f t="shared" si="14"/>
        <v>100</v>
      </c>
      <c r="X26" s="1355"/>
      <c r="Y26" s="372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61"/>
      <c r="Q27" s="1343">
        <f t="shared" si="11"/>
        <v>111</v>
      </c>
      <c r="R27" s="701" t="s">
        <v>18</v>
      </c>
      <c r="S27" s="702">
        <f t="shared" si="12"/>
        <v>100</v>
      </c>
      <c r="T27" s="701" t="s">
        <v>18</v>
      </c>
      <c r="U27" s="702">
        <f t="shared" si="13"/>
        <v>100</v>
      </c>
      <c r="V27" s="701" t="s">
        <v>18</v>
      </c>
      <c r="W27" s="702">
        <f t="shared" si="14"/>
        <v>100</v>
      </c>
      <c r="X27" s="703"/>
      <c r="Y27" s="372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61"/>
      <c r="Q28" s="1352">
        <f t="shared" si="11"/>
        <v>111</v>
      </c>
      <c r="R28" s="705" t="s">
        <v>18</v>
      </c>
      <c r="S28" s="706">
        <f t="shared" si="12"/>
        <v>100</v>
      </c>
      <c r="T28" s="705" t="s">
        <v>18</v>
      </c>
      <c r="U28" s="706">
        <f t="shared" si="13"/>
        <v>100</v>
      </c>
      <c r="V28" s="705" t="s">
        <v>18</v>
      </c>
      <c r="W28" s="706">
        <f t="shared" si="14"/>
        <v>100</v>
      </c>
      <c r="X28" s="1355"/>
      <c r="Y28" s="372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61"/>
      <c r="Q29" s="1352">
        <f t="shared" si="11"/>
        <v>111</v>
      </c>
      <c r="R29" s="705" t="s">
        <v>18</v>
      </c>
      <c r="S29" s="706">
        <f t="shared" si="12"/>
        <v>100</v>
      </c>
      <c r="T29" s="705" t="s">
        <v>18</v>
      </c>
      <c r="U29" s="706">
        <f t="shared" si="13"/>
        <v>100</v>
      </c>
      <c r="V29" s="705" t="s">
        <v>18</v>
      </c>
      <c r="W29" s="706">
        <f t="shared" si="14"/>
        <v>100</v>
      </c>
      <c r="X29" s="1355"/>
      <c r="Y29" s="372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61"/>
      <c r="Q30" s="1352">
        <f t="shared" si="11"/>
        <v>111</v>
      </c>
      <c r="R30" s="705" t="s">
        <v>18</v>
      </c>
      <c r="S30" s="706">
        <f t="shared" si="12"/>
        <v>100</v>
      </c>
      <c r="T30" s="705" t="s">
        <v>18</v>
      </c>
      <c r="U30" s="706">
        <f t="shared" si="13"/>
        <v>100</v>
      </c>
      <c r="V30" s="705" t="s">
        <v>18</v>
      </c>
      <c r="W30" s="706">
        <f t="shared" si="14"/>
        <v>100</v>
      </c>
      <c r="X30" s="1355"/>
      <c r="Y30" s="372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61"/>
      <c r="Q31" s="1352">
        <f t="shared" si="11"/>
        <v>111</v>
      </c>
      <c r="R31" s="705" t="s">
        <v>18</v>
      </c>
      <c r="S31" s="706">
        <f t="shared" si="12"/>
        <v>100</v>
      </c>
      <c r="T31" s="705" t="s">
        <v>18</v>
      </c>
      <c r="U31" s="706">
        <f t="shared" si="13"/>
        <v>100</v>
      </c>
      <c r="V31" s="705" t="s">
        <v>18</v>
      </c>
      <c r="W31" s="706">
        <f t="shared" si="14"/>
        <v>100</v>
      </c>
      <c r="X31" s="1355"/>
      <c r="Y31" s="372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56" t="s">
        <v>1696</v>
      </c>
      <c r="Q32" s="1352" t="str">
        <f t="shared" si="11"/>
        <v>建筑类型</v>
      </c>
      <c r="R32" s="705" t="s">
        <v>18</v>
      </c>
      <c r="S32" s="706">
        <f t="shared" si="12"/>
        <v>100</v>
      </c>
      <c r="T32" s="705" t="s">
        <v>18</v>
      </c>
      <c r="U32" s="706">
        <f t="shared" si="13"/>
        <v>100</v>
      </c>
      <c r="V32" s="705" t="s">
        <v>18</v>
      </c>
      <c r="W32" s="706">
        <f t="shared" si="14"/>
        <v>100</v>
      </c>
      <c r="X32" s="1355"/>
      <c r="Y32" s="372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57"/>
      <c r="Q33" s="707" t="str">
        <f t="shared" si="11"/>
        <v>项目建筑规模</v>
      </c>
      <c r="R33" s="708" t="s">
        <v>18</v>
      </c>
      <c r="S33" s="709" t="e">
        <f t="shared" si="12"/>
        <v>#N/A</v>
      </c>
      <c r="T33" s="708" t="s">
        <v>18</v>
      </c>
      <c r="U33" s="709" t="e">
        <f t="shared" si="13"/>
        <v>#N/A</v>
      </c>
      <c r="V33" s="708" t="s">
        <v>18</v>
      </c>
      <c r="W33" s="709" t="e">
        <f t="shared" si="14"/>
        <v>#N/A</v>
      </c>
      <c r="X33" s="710"/>
      <c r="Y33" s="372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57"/>
      <c r="Q34" s="1352" t="str">
        <f t="shared" si="11"/>
        <v>建筑结构</v>
      </c>
      <c r="R34" s="705" t="s">
        <v>18</v>
      </c>
      <c r="S34" s="706">
        <f t="shared" si="12"/>
        <v>100</v>
      </c>
      <c r="T34" s="705" t="s">
        <v>18</v>
      </c>
      <c r="U34" s="706">
        <f t="shared" si="13"/>
        <v>100</v>
      </c>
      <c r="V34" s="705" t="s">
        <v>18</v>
      </c>
      <c r="W34" s="706">
        <f t="shared" si="14"/>
        <v>100</v>
      </c>
      <c r="X34" s="1355"/>
      <c r="Y34" s="372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57"/>
      <c r="Q35" s="1352" t="str">
        <f t="shared" si="11"/>
        <v>建筑品质</v>
      </c>
      <c r="R35" s="705" t="s">
        <v>18</v>
      </c>
      <c r="S35" s="706">
        <f t="shared" si="12"/>
        <v>100</v>
      </c>
      <c r="T35" s="705" t="s">
        <v>18</v>
      </c>
      <c r="U35" s="706">
        <f t="shared" si="13"/>
        <v>100</v>
      </c>
      <c r="V35" s="705" t="s">
        <v>18</v>
      </c>
      <c r="W35" s="706">
        <f t="shared" si="14"/>
        <v>100</v>
      </c>
      <c r="X35" s="1355"/>
      <c r="Y35" s="372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57"/>
      <c r="Q36" s="1352" t="str">
        <f t="shared" si="11"/>
        <v>公共部分装修</v>
      </c>
      <c r="R36" s="705" t="s">
        <v>18</v>
      </c>
      <c r="S36" s="706">
        <f t="shared" si="12"/>
        <v>100</v>
      </c>
      <c r="T36" s="705" t="s">
        <v>18</v>
      </c>
      <c r="U36" s="706">
        <f t="shared" si="13"/>
        <v>100</v>
      </c>
      <c r="V36" s="705" t="s">
        <v>18</v>
      </c>
      <c r="W36" s="706">
        <f t="shared" si="14"/>
        <v>100</v>
      </c>
      <c r="X36" s="1355"/>
      <c r="Y36" s="372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57"/>
      <c r="Q37" s="1343" t="str">
        <f t="shared" si="11"/>
        <v>成新度</v>
      </c>
      <c r="R37" s="701" t="s">
        <v>18</v>
      </c>
      <c r="S37" s="702" t="e">
        <f t="shared" si="12"/>
        <v>#N/A</v>
      </c>
      <c r="T37" s="701" t="s">
        <v>18</v>
      </c>
      <c r="U37" s="702" t="e">
        <f t="shared" si="13"/>
        <v>#N/A</v>
      </c>
      <c r="V37" s="701" t="s">
        <v>18</v>
      </c>
      <c r="W37" s="702" t="e">
        <f t="shared" si="14"/>
        <v>#N/A</v>
      </c>
      <c r="X37" s="703"/>
      <c r="Y37" s="372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57" t="s">
        <v>1696</v>
      </c>
      <c r="Q38" s="1352" t="str">
        <f t="shared" si="11"/>
        <v>物业管理</v>
      </c>
      <c r="R38" s="705" t="s">
        <v>18</v>
      </c>
      <c r="S38" s="706">
        <f t="shared" si="12"/>
        <v>100</v>
      </c>
      <c r="T38" s="705" t="s">
        <v>18</v>
      </c>
      <c r="U38" s="706">
        <f t="shared" si="13"/>
        <v>100</v>
      </c>
      <c r="V38" s="705" t="s">
        <v>18</v>
      </c>
      <c r="W38" s="706">
        <f t="shared" si="14"/>
        <v>100</v>
      </c>
      <c r="X38" s="1355"/>
      <c r="Y38" s="372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57"/>
      <c r="Q39" s="1352" t="str">
        <f t="shared" si="11"/>
        <v>市政基础设施</v>
      </c>
      <c r="R39" s="705" t="s">
        <v>18</v>
      </c>
      <c r="S39" s="706">
        <f t="shared" si="12"/>
        <v>100</v>
      </c>
      <c r="T39" s="705" t="s">
        <v>18</v>
      </c>
      <c r="U39" s="706">
        <f t="shared" si="13"/>
        <v>100</v>
      </c>
      <c r="V39" s="705" t="s">
        <v>18</v>
      </c>
      <c r="W39" s="706">
        <f t="shared" si="14"/>
        <v>100</v>
      </c>
      <c r="X39" s="1355"/>
      <c r="Y39" s="372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57"/>
      <c r="Q40" s="1352" t="str">
        <f t="shared" si="11"/>
        <v>房型</v>
      </c>
      <c r="R40" s="705" t="s">
        <v>18</v>
      </c>
      <c r="S40" s="706">
        <f t="shared" si="12"/>
        <v>100</v>
      </c>
      <c r="T40" s="705" t="s">
        <v>18</v>
      </c>
      <c r="U40" s="706">
        <f t="shared" si="13"/>
        <v>100</v>
      </c>
      <c r="V40" s="705" t="s">
        <v>18</v>
      </c>
      <c r="W40" s="706">
        <f t="shared" si="14"/>
        <v>100</v>
      </c>
      <c r="X40" s="1355"/>
      <c r="Y40" s="372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57"/>
      <c r="Q41" s="707" t="str">
        <f t="shared" si="11"/>
        <v>单套/主力户型建筑面积</v>
      </c>
      <c r="R41" s="708" t="s">
        <v>18</v>
      </c>
      <c r="S41" s="709">
        <f t="shared" si="12"/>
        <v>100</v>
      </c>
      <c r="T41" s="708" t="s">
        <v>18</v>
      </c>
      <c r="U41" s="709">
        <f t="shared" si="13"/>
        <v>100</v>
      </c>
      <c r="V41" s="708" t="s">
        <v>18</v>
      </c>
      <c r="W41" s="709">
        <f t="shared" si="14"/>
        <v>100</v>
      </c>
      <c r="X41" s="710"/>
      <c r="Y41" s="372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57"/>
      <c r="Q42" s="1352" t="str">
        <f t="shared" si="11"/>
        <v>内部装修</v>
      </c>
      <c r="R42" s="705" t="s">
        <v>18</v>
      </c>
      <c r="S42" s="706">
        <f t="shared" si="12"/>
        <v>100</v>
      </c>
      <c r="T42" s="705" t="s">
        <v>18</v>
      </c>
      <c r="U42" s="706">
        <f t="shared" si="13"/>
        <v>100</v>
      </c>
      <c r="V42" s="705" t="s">
        <v>18</v>
      </c>
      <c r="W42" s="706">
        <f t="shared" si="14"/>
        <v>100</v>
      </c>
      <c r="X42" s="1355"/>
      <c r="Y42" s="372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57"/>
      <c r="Q43" s="1352" t="str">
        <f t="shared" si="11"/>
        <v>内部装修维护情况</v>
      </c>
      <c r="R43" s="705" t="s">
        <v>18</v>
      </c>
      <c r="S43" s="706">
        <f t="shared" si="12"/>
        <v>100</v>
      </c>
      <c r="T43" s="705" t="s">
        <v>18</v>
      </c>
      <c r="U43" s="706">
        <f t="shared" si="13"/>
        <v>100</v>
      </c>
      <c r="V43" s="705" t="s">
        <v>18</v>
      </c>
      <c r="W43" s="706">
        <f t="shared" si="14"/>
        <v>100</v>
      </c>
      <c r="X43" s="1355"/>
      <c r="Y43" s="372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57"/>
      <c r="Q44" s="1343">
        <f t="shared" si="11"/>
        <v>111</v>
      </c>
      <c r="R44" s="701" t="s">
        <v>18</v>
      </c>
      <c r="S44" s="702">
        <f t="shared" si="12"/>
        <v>100</v>
      </c>
      <c r="T44" s="701" t="s">
        <v>18</v>
      </c>
      <c r="U44" s="702">
        <f t="shared" si="13"/>
        <v>100</v>
      </c>
      <c r="V44" s="701" t="s">
        <v>18</v>
      </c>
      <c r="W44" s="702">
        <f t="shared" si="14"/>
        <v>100</v>
      </c>
      <c r="X44" s="703"/>
      <c r="Y44" s="372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57"/>
      <c r="Q45" s="1352">
        <f t="shared" si="11"/>
        <v>111</v>
      </c>
      <c r="R45" s="705" t="s">
        <v>18</v>
      </c>
      <c r="S45" s="706">
        <f t="shared" si="12"/>
        <v>100</v>
      </c>
      <c r="T45" s="705" t="s">
        <v>18</v>
      </c>
      <c r="U45" s="706">
        <f t="shared" si="13"/>
        <v>100</v>
      </c>
      <c r="V45" s="705" t="s">
        <v>18</v>
      </c>
      <c r="W45" s="706">
        <f t="shared" si="14"/>
        <v>100</v>
      </c>
      <c r="X45" s="1355"/>
      <c r="Y45" s="372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58"/>
      <c r="Q46" s="1352">
        <f t="shared" si="11"/>
        <v>111</v>
      </c>
      <c r="R46" s="705" t="s">
        <v>17</v>
      </c>
      <c r="S46" s="706">
        <f t="shared" si="12"/>
        <v>100</v>
      </c>
      <c r="T46" s="705" t="s">
        <v>17</v>
      </c>
      <c r="U46" s="706">
        <f t="shared" si="13"/>
        <v>100</v>
      </c>
      <c r="V46" s="705" t="s">
        <v>17</v>
      </c>
      <c r="W46" s="706">
        <f t="shared" si="14"/>
        <v>100</v>
      </c>
      <c r="X46" s="1355"/>
      <c r="Y46" s="375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0" t="str">
        <f>A47</f>
        <v>成交单价（元/平方米）</v>
      </c>
      <c r="Q47" s="3710"/>
      <c r="R47" s="3755">
        <f>E47</f>
        <v>0</v>
      </c>
      <c r="S47" s="3755"/>
      <c r="T47" s="3755">
        <f>G47</f>
        <v>0</v>
      </c>
      <c r="U47" s="3755"/>
      <c r="V47" s="3755">
        <f>I47</f>
        <v>0</v>
      </c>
      <c r="W47" s="375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0" t="str">
        <f>A48</f>
        <v>比较价值（元/平方米）</v>
      </c>
      <c r="Q48" s="3710"/>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0" t="str">
        <f>A49</f>
        <v>估价对象XX用房的比较价值（楼面单价，元/平方米）</v>
      </c>
      <c r="Q49" s="3731"/>
      <c r="R49" s="3754" t="e">
        <f>IF(F1="售价",ROUND(IF(D48="简单平均",AVERAGE(R48:V48),R48*F48+T48*H48+V48*J48),0),ROUND(IF(D48="简单平均",AVERAGE(R48:V48),R48*F48+T48*H48+V48*J48),1))</f>
        <v>#DIV/0!</v>
      </c>
      <c r="S49" s="3754"/>
      <c r="T49" s="3754"/>
      <c r="U49" s="3754"/>
      <c r="V49" s="3754"/>
      <c r="W49" s="375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87936.610000000015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8" t="s">
        <v>1771</v>
      </c>
      <c r="S4" s="3699"/>
      <c r="T4" s="3698" t="s">
        <v>1772</v>
      </c>
      <c r="U4" s="3699"/>
      <c r="V4" s="3723" t="s">
        <v>1773</v>
      </c>
      <c r="W4" s="3723"/>
      <c r="X4" s="1355"/>
      <c r="Y4" s="3698" t="s">
        <v>1775</v>
      </c>
      <c r="Z4" s="3699"/>
      <c r="AA4" s="3693" t="s">
        <v>1771</v>
      </c>
      <c r="AB4" s="3723" t="s">
        <v>1772</v>
      </c>
      <c r="AC4" s="3693" t="s">
        <v>1773</v>
      </c>
    </row>
    <row r="5" spans="1:29" ht="15">
      <c r="A5" s="358"/>
      <c r="B5" s="359"/>
      <c r="C5" s="3704" t="s">
        <v>1673</v>
      </c>
      <c r="D5" s="3705"/>
      <c r="E5" s="3702" t="s">
        <v>1674</v>
      </c>
      <c r="F5" s="3703"/>
      <c r="G5" s="3704" t="s">
        <v>1675</v>
      </c>
      <c r="H5" s="3705"/>
      <c r="I5" s="3704" t="s">
        <v>1676</v>
      </c>
      <c r="J5" s="3705"/>
      <c r="K5" s="559"/>
      <c r="L5" s="2715"/>
      <c r="M5" s="2716"/>
      <c r="N5" s="2716"/>
      <c r="O5" s="2716"/>
      <c r="P5" s="3717"/>
      <c r="Q5" s="3718"/>
      <c r="R5" s="3700"/>
      <c r="S5" s="3701"/>
      <c r="T5" s="3700"/>
      <c r="U5" s="3701"/>
      <c r="V5" s="3723"/>
      <c r="W5" s="3723"/>
      <c r="X5" s="1355"/>
      <c r="Y5" s="3700"/>
      <c r="Z5" s="3701"/>
      <c r="AA5" s="3694"/>
      <c r="AB5" s="3723"/>
      <c r="AC5" s="3694"/>
    </row>
    <row r="6" spans="1:29" ht="15.75" thickBot="1">
      <c r="A6" s="360"/>
      <c r="B6" s="361"/>
      <c r="C6" s="3706" t="s">
        <v>1677</v>
      </c>
      <c r="D6" s="3707"/>
      <c r="E6" s="3708" t="s">
        <v>1677</v>
      </c>
      <c r="F6" s="3709"/>
      <c r="G6" s="3706" t="s">
        <v>1677</v>
      </c>
      <c r="H6" s="3707"/>
      <c r="I6" s="3706" t="s">
        <v>1677</v>
      </c>
      <c r="J6" s="3707"/>
      <c r="K6" s="559" t="s">
        <v>1678</v>
      </c>
      <c r="L6" s="2715"/>
      <c r="M6" s="2716"/>
      <c r="N6" s="2716"/>
      <c r="O6" s="2716"/>
      <c r="P6" s="3719"/>
      <c r="Q6" s="3720"/>
      <c r="R6" s="3700"/>
      <c r="S6" s="3701"/>
      <c r="T6" s="3721"/>
      <c r="U6" s="3722"/>
      <c r="V6" s="3723"/>
      <c r="W6" s="3723"/>
      <c r="X6" s="1355"/>
      <c r="Y6" s="3721"/>
      <c r="Z6" s="3722"/>
      <c r="AA6" s="3695"/>
      <c r="AB6" s="3723"/>
      <c r="AC6" s="3695"/>
    </row>
    <row r="7" spans="1:29" s="108" customFormat="1" ht="15.75" thickBot="1">
      <c r="A7" s="362" t="s">
        <v>1679</v>
      </c>
      <c r="B7" s="363"/>
      <c r="C7" s="364">
        <f>'数据-取费表'!B2</f>
        <v>45239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6" t="s">
        <v>1680</v>
      </c>
      <c r="Q7" s="3724"/>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6" t="s">
        <v>1683</v>
      </c>
      <c r="Q8" s="3697"/>
      <c r="R8" s="701" t="s">
        <v>14</v>
      </c>
      <c r="S8" s="702">
        <f t="shared" si="0"/>
        <v>100</v>
      </c>
      <c r="T8" s="701" t="s">
        <v>14</v>
      </c>
      <c r="U8" s="702">
        <f t="shared" si="1"/>
        <v>100</v>
      </c>
      <c r="V8" s="701" t="s">
        <v>14</v>
      </c>
      <c r="W8" s="702">
        <f t="shared" si="2"/>
        <v>100</v>
      </c>
      <c r="X8" s="703"/>
      <c r="Y8" s="3696" t="s">
        <v>1683</v>
      </c>
      <c r="Z8" s="369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34"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34"/>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34"/>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34"/>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34"/>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34"/>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60" t="s">
        <v>1691</v>
      </c>
      <c r="Q15" s="1352" t="str">
        <f t="shared" si="6"/>
        <v>商业繁华度</v>
      </c>
      <c r="R15" s="705" t="s">
        <v>14</v>
      </c>
      <c r="S15" s="706">
        <f t="shared" si="0"/>
        <v>100</v>
      </c>
      <c r="T15" s="705" t="s">
        <v>14</v>
      </c>
      <c r="U15" s="706">
        <f t="shared" si="1"/>
        <v>100</v>
      </c>
      <c r="V15" s="705" t="s">
        <v>14</v>
      </c>
      <c r="W15" s="706">
        <f t="shared" si="2"/>
        <v>100</v>
      </c>
      <c r="X15" s="1355"/>
      <c r="Y15" s="372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61"/>
      <c r="Q16" s="1352"/>
      <c r="R16" s="705"/>
      <c r="S16" s="706"/>
      <c r="T16" s="705"/>
      <c r="U16" s="706"/>
      <c r="V16" s="705"/>
      <c r="W16" s="706"/>
      <c r="X16" s="1355"/>
      <c r="Y16" s="372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61"/>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61"/>
      <c r="Q18" s="1352"/>
      <c r="R18" s="705"/>
      <c r="S18" s="706"/>
      <c r="T18" s="705"/>
      <c r="U18" s="706"/>
      <c r="V18" s="705"/>
      <c r="W18" s="706"/>
      <c r="X18" s="1355"/>
      <c r="Y18" s="372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61"/>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61"/>
      <c r="Q20" s="1352"/>
      <c r="R20" s="705"/>
      <c r="S20" s="706"/>
      <c r="T20" s="705"/>
      <c r="U20" s="706"/>
      <c r="V20" s="705"/>
      <c r="W20" s="706"/>
      <c r="X20" s="1355"/>
      <c r="Y20" s="372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61"/>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61"/>
      <c r="Q22" s="1352"/>
      <c r="R22" s="705"/>
      <c r="S22" s="706"/>
      <c r="T22" s="705"/>
      <c r="U22" s="706"/>
      <c r="V22" s="705"/>
      <c r="W22" s="706"/>
      <c r="X22" s="1355"/>
      <c r="Y22" s="372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61"/>
      <c r="Q23" s="1352" t="str">
        <f>B23</f>
        <v>自然及人文环境</v>
      </c>
      <c r="R23" s="705" t="s">
        <v>14</v>
      </c>
      <c r="S23" s="706">
        <f>F23</f>
        <v>100</v>
      </c>
      <c r="T23" s="705" t="s">
        <v>14</v>
      </c>
      <c r="U23" s="706">
        <f>H23</f>
        <v>100</v>
      </c>
      <c r="V23" s="705" t="s">
        <v>14</v>
      </c>
      <c r="W23" s="706">
        <f>J23</f>
        <v>100</v>
      </c>
      <c r="X23" s="1355"/>
      <c r="Y23" s="372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61"/>
      <c r="Q24" s="1352"/>
      <c r="R24" s="705"/>
      <c r="S24" s="706"/>
      <c r="T24" s="705"/>
      <c r="U24" s="706"/>
      <c r="V24" s="705"/>
      <c r="W24" s="706"/>
      <c r="X24" s="1355"/>
      <c r="Y24" s="372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61"/>
      <c r="Q25" s="1352" t="str">
        <f t="shared" ref="Q25:Q46" si="11">B25</f>
        <v>临街状况</v>
      </c>
      <c r="R25" s="705" t="s">
        <v>14</v>
      </c>
      <c r="S25" s="706">
        <f>F25</f>
        <v>100</v>
      </c>
      <c r="T25" s="705" t="s">
        <v>14</v>
      </c>
      <c r="U25" s="706">
        <f>H25</f>
        <v>100</v>
      </c>
      <c r="V25" s="705" t="s">
        <v>14</v>
      </c>
      <c r="W25" s="706">
        <f>J25</f>
        <v>100</v>
      </c>
      <c r="X25" s="1355"/>
      <c r="Y25" s="372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61"/>
      <c r="Q26" s="1352" t="str">
        <f t="shared" si="11"/>
        <v>平面位置/可视性</v>
      </c>
      <c r="R26" s="705" t="s">
        <v>14</v>
      </c>
      <c r="S26" s="706">
        <f>F26</f>
        <v>100</v>
      </c>
      <c r="T26" s="705" t="s">
        <v>14</v>
      </c>
      <c r="U26" s="706">
        <f>H26</f>
        <v>100</v>
      </c>
      <c r="V26" s="705" t="s">
        <v>14</v>
      </c>
      <c r="W26" s="706">
        <f>J26</f>
        <v>100</v>
      </c>
      <c r="X26" s="1355"/>
      <c r="Y26" s="372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61"/>
      <c r="Q27" s="1343" t="str">
        <f t="shared" si="11"/>
        <v>人流量</v>
      </c>
      <c r="R27" s="701" t="s">
        <v>14</v>
      </c>
      <c r="S27" s="702">
        <f>F27</f>
        <v>100</v>
      </c>
      <c r="T27" s="701" t="s">
        <v>14</v>
      </c>
      <c r="U27" s="702">
        <f>H27</f>
        <v>100</v>
      </c>
      <c r="V27" s="701" t="s">
        <v>14</v>
      </c>
      <c r="W27" s="702">
        <f>J27</f>
        <v>100</v>
      </c>
      <c r="X27" s="703"/>
      <c r="Y27" s="372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6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61"/>
      <c r="Q29" s="1352">
        <f t="shared" si="11"/>
        <v>111</v>
      </c>
      <c r="R29" s="705" t="s">
        <v>14</v>
      </c>
      <c r="S29" s="706">
        <f t="shared" si="12"/>
        <v>100</v>
      </c>
      <c r="T29" s="705" t="s">
        <v>14</v>
      </c>
      <c r="U29" s="706">
        <f t="shared" si="13"/>
        <v>100</v>
      </c>
      <c r="V29" s="705" t="s">
        <v>14</v>
      </c>
      <c r="W29" s="706">
        <f t="shared" si="14"/>
        <v>100</v>
      </c>
      <c r="X29" s="1355"/>
      <c r="Y29" s="372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61"/>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61"/>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56" t="s">
        <v>1696</v>
      </c>
      <c r="Q32" s="1352" t="str">
        <f t="shared" si="11"/>
        <v>商业类型</v>
      </c>
      <c r="R32" s="705" t="s">
        <v>14</v>
      </c>
      <c r="S32" s="706">
        <f t="shared" si="12"/>
        <v>100</v>
      </c>
      <c r="T32" s="705" t="s">
        <v>14</v>
      </c>
      <c r="U32" s="706">
        <f t="shared" si="13"/>
        <v>100</v>
      </c>
      <c r="V32" s="705" t="s">
        <v>14</v>
      </c>
      <c r="W32" s="706">
        <f t="shared" si="14"/>
        <v>100</v>
      </c>
      <c r="X32" s="1355"/>
      <c r="Y32" s="372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57"/>
      <c r="Q33" s="707" t="str">
        <f t="shared" si="11"/>
        <v>项目建筑规模</v>
      </c>
      <c r="R33" s="708" t="s">
        <v>14</v>
      </c>
      <c r="S33" s="709" t="e">
        <f t="shared" si="12"/>
        <v>#N/A</v>
      </c>
      <c r="T33" s="708" t="s">
        <v>14</v>
      </c>
      <c r="U33" s="709" t="e">
        <f t="shared" si="13"/>
        <v>#N/A</v>
      </c>
      <c r="V33" s="708" t="s">
        <v>14</v>
      </c>
      <c r="W33" s="709" t="e">
        <f t="shared" si="14"/>
        <v>#N/A</v>
      </c>
      <c r="X33" s="710"/>
      <c r="Y33" s="372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57"/>
      <c r="Q34" s="1352" t="str">
        <f t="shared" si="11"/>
        <v>建筑结构</v>
      </c>
      <c r="R34" s="705" t="s">
        <v>14</v>
      </c>
      <c r="S34" s="706">
        <f t="shared" si="12"/>
        <v>100</v>
      </c>
      <c r="T34" s="705" t="s">
        <v>14</v>
      </c>
      <c r="U34" s="706">
        <f t="shared" si="13"/>
        <v>100</v>
      </c>
      <c r="V34" s="705" t="s">
        <v>14</v>
      </c>
      <c r="W34" s="706">
        <f t="shared" si="14"/>
        <v>100</v>
      </c>
      <c r="X34" s="1355"/>
      <c r="Y34" s="372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57"/>
      <c r="Q35" s="1352" t="str">
        <f t="shared" si="11"/>
        <v>公共部分装修</v>
      </c>
      <c r="R35" s="705" t="s">
        <v>14</v>
      </c>
      <c r="S35" s="706">
        <f t="shared" si="12"/>
        <v>100</v>
      </c>
      <c r="T35" s="705" t="s">
        <v>14</v>
      </c>
      <c r="U35" s="706">
        <f t="shared" si="13"/>
        <v>100</v>
      </c>
      <c r="V35" s="705" t="s">
        <v>14</v>
      </c>
      <c r="W35" s="706">
        <f t="shared" si="14"/>
        <v>100</v>
      </c>
      <c r="X35" s="1355"/>
      <c r="Y35" s="372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57"/>
      <c r="Q36" s="1352" t="str">
        <f t="shared" si="11"/>
        <v>成新度</v>
      </c>
      <c r="R36" s="705" t="s">
        <v>14</v>
      </c>
      <c r="S36" s="706" t="e">
        <f t="shared" si="12"/>
        <v>#N/A</v>
      </c>
      <c r="T36" s="705" t="s">
        <v>14</v>
      </c>
      <c r="U36" s="706" t="e">
        <f t="shared" si="13"/>
        <v>#N/A</v>
      </c>
      <c r="V36" s="705" t="s">
        <v>14</v>
      </c>
      <c r="W36" s="706" t="e">
        <f t="shared" si="14"/>
        <v>#N/A</v>
      </c>
      <c r="X36" s="1355"/>
      <c r="Y36" s="372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57"/>
      <c r="Q37" s="1343" t="str">
        <f t="shared" si="11"/>
        <v>市政基础设施</v>
      </c>
      <c r="R37" s="701" t="s">
        <v>14</v>
      </c>
      <c r="S37" s="702">
        <f t="shared" si="12"/>
        <v>100</v>
      </c>
      <c r="T37" s="701" t="s">
        <v>14</v>
      </c>
      <c r="U37" s="702">
        <f t="shared" si="13"/>
        <v>100</v>
      </c>
      <c r="V37" s="701" t="s">
        <v>14</v>
      </c>
      <c r="W37" s="702">
        <f t="shared" si="14"/>
        <v>100</v>
      </c>
      <c r="X37" s="703"/>
      <c r="Y37" s="372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57" t="s">
        <v>1696</v>
      </c>
      <c r="Q38" s="1352" t="str">
        <f t="shared" si="11"/>
        <v>业态</v>
      </c>
      <c r="R38" s="705" t="s">
        <v>14</v>
      </c>
      <c r="S38" s="706">
        <f t="shared" si="12"/>
        <v>100</v>
      </c>
      <c r="T38" s="705" t="s">
        <v>14</v>
      </c>
      <c r="U38" s="706">
        <f t="shared" si="13"/>
        <v>100</v>
      </c>
      <c r="V38" s="705" t="s">
        <v>14</v>
      </c>
      <c r="W38" s="706">
        <f t="shared" si="14"/>
        <v>100</v>
      </c>
      <c r="X38" s="1355"/>
      <c r="Y38" s="372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57"/>
      <c r="Q39" s="1352" t="str">
        <f t="shared" si="11"/>
        <v>层高</v>
      </c>
      <c r="R39" s="705" t="s">
        <v>14</v>
      </c>
      <c r="S39" s="706">
        <f t="shared" si="12"/>
        <v>100</v>
      </c>
      <c r="T39" s="705" t="s">
        <v>14</v>
      </c>
      <c r="U39" s="706">
        <f t="shared" si="13"/>
        <v>100</v>
      </c>
      <c r="V39" s="705" t="s">
        <v>14</v>
      </c>
      <c r="W39" s="706">
        <f t="shared" si="14"/>
        <v>100</v>
      </c>
      <c r="X39" s="1355"/>
      <c r="Y39" s="372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57"/>
      <c r="Q40" s="1352" t="str">
        <f t="shared" si="11"/>
        <v>单套建筑面积</v>
      </c>
      <c r="R40" s="705" t="s">
        <v>14</v>
      </c>
      <c r="S40" s="706">
        <f t="shared" si="12"/>
        <v>100</v>
      </c>
      <c r="T40" s="705" t="s">
        <v>14</v>
      </c>
      <c r="U40" s="706">
        <f t="shared" si="13"/>
        <v>100</v>
      </c>
      <c r="V40" s="705" t="s">
        <v>14</v>
      </c>
      <c r="W40" s="706">
        <f t="shared" si="14"/>
        <v>100</v>
      </c>
      <c r="X40" s="1355"/>
      <c r="Y40" s="372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57"/>
      <c r="Q41" s="707" t="str">
        <f t="shared" si="11"/>
        <v>进深比</v>
      </c>
      <c r="R41" s="708" t="s">
        <v>14</v>
      </c>
      <c r="S41" s="709">
        <f t="shared" si="12"/>
        <v>100</v>
      </c>
      <c r="T41" s="708" t="s">
        <v>14</v>
      </c>
      <c r="U41" s="709">
        <f t="shared" si="13"/>
        <v>100</v>
      </c>
      <c r="V41" s="708" t="s">
        <v>14</v>
      </c>
      <c r="W41" s="709">
        <f t="shared" si="14"/>
        <v>100</v>
      </c>
      <c r="X41" s="710"/>
      <c r="Y41" s="372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57"/>
      <c r="Q42" s="1352" t="str">
        <f t="shared" si="11"/>
        <v>内部装修</v>
      </c>
      <c r="R42" s="705" t="s">
        <v>14</v>
      </c>
      <c r="S42" s="706">
        <f t="shared" si="12"/>
        <v>100</v>
      </c>
      <c r="T42" s="705" t="s">
        <v>14</v>
      </c>
      <c r="U42" s="706">
        <f t="shared" si="13"/>
        <v>100</v>
      </c>
      <c r="V42" s="705" t="s">
        <v>14</v>
      </c>
      <c r="W42" s="706">
        <f t="shared" si="14"/>
        <v>100</v>
      </c>
      <c r="X42" s="1355"/>
      <c r="Y42" s="372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57"/>
      <c r="Q43" s="1352" t="str">
        <f t="shared" si="11"/>
        <v>内部装修维护情况</v>
      </c>
      <c r="R43" s="705" t="s">
        <v>14</v>
      </c>
      <c r="S43" s="706">
        <f t="shared" si="12"/>
        <v>100</v>
      </c>
      <c r="T43" s="705" t="s">
        <v>14</v>
      </c>
      <c r="U43" s="706">
        <f t="shared" si="13"/>
        <v>100</v>
      </c>
      <c r="V43" s="705" t="s">
        <v>14</v>
      </c>
      <c r="W43" s="706">
        <f t="shared" si="14"/>
        <v>100</v>
      </c>
      <c r="X43" s="1355"/>
      <c r="Y43" s="372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57"/>
      <c r="Q44" s="1343">
        <f t="shared" si="11"/>
        <v>111</v>
      </c>
      <c r="R44" s="701" t="s">
        <v>14</v>
      </c>
      <c r="S44" s="702">
        <f t="shared" si="12"/>
        <v>100</v>
      </c>
      <c r="T44" s="701" t="s">
        <v>14</v>
      </c>
      <c r="U44" s="702">
        <f t="shared" si="13"/>
        <v>100</v>
      </c>
      <c r="V44" s="701" t="s">
        <v>14</v>
      </c>
      <c r="W44" s="702">
        <f t="shared" si="14"/>
        <v>100</v>
      </c>
      <c r="X44" s="703"/>
      <c r="Y44" s="372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57"/>
      <c r="Q45" s="1352">
        <f t="shared" si="11"/>
        <v>111</v>
      </c>
      <c r="R45" s="705" t="s">
        <v>14</v>
      </c>
      <c r="S45" s="706">
        <f t="shared" si="12"/>
        <v>100</v>
      </c>
      <c r="T45" s="705" t="s">
        <v>14</v>
      </c>
      <c r="U45" s="706">
        <f t="shared" si="13"/>
        <v>100</v>
      </c>
      <c r="V45" s="705" t="s">
        <v>14</v>
      </c>
      <c r="W45" s="706">
        <f t="shared" si="14"/>
        <v>100</v>
      </c>
      <c r="X45" s="1355"/>
      <c r="Y45" s="372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58"/>
      <c r="Q46" s="1352">
        <f t="shared" si="11"/>
        <v>111</v>
      </c>
      <c r="R46" s="705" t="s">
        <v>14</v>
      </c>
      <c r="S46" s="706">
        <f t="shared" si="12"/>
        <v>100</v>
      </c>
      <c r="T46" s="705" t="s">
        <v>14</v>
      </c>
      <c r="U46" s="706">
        <f t="shared" si="13"/>
        <v>100</v>
      </c>
      <c r="V46" s="705" t="s">
        <v>14</v>
      </c>
      <c r="W46" s="706">
        <f t="shared" si="14"/>
        <v>100</v>
      </c>
      <c r="X46" s="1355"/>
      <c r="Y46" s="375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0" t="str">
        <f>A47</f>
        <v>成交单价（元/平方米）</v>
      </c>
      <c r="Q47" s="3710"/>
      <c r="R47" s="3723">
        <f>E47</f>
        <v>0</v>
      </c>
      <c r="S47" s="3723"/>
      <c r="T47" s="3723">
        <f>G47</f>
        <v>0</v>
      </c>
      <c r="U47" s="3723"/>
      <c r="V47" s="3723">
        <f>I47</f>
        <v>0</v>
      </c>
      <c r="W47" s="372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0" t="str">
        <f>A48</f>
        <v>比较价值（元/平方米）</v>
      </c>
      <c r="Q48" s="3710"/>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0" t="str">
        <f>A49</f>
        <v>估价对象XX用房的比较价值（楼面单价，元/平方米）</v>
      </c>
      <c r="Q49" s="3731"/>
      <c r="R49" s="3754" t="e">
        <f>IF(F1="售价",ROUND(IF(D48="简单平均",AVERAGE(R48:V48),R48*F48+T48*H48+V48*J48),0),ROUND(IF(D48="简单平均",AVERAGE(R48:V48),R48*F48+T48*H48+V48*J48),1))</f>
        <v>#DIV/0!</v>
      </c>
      <c r="S49" s="3754"/>
      <c r="T49" s="3754"/>
      <c r="U49" s="3754"/>
      <c r="V49" s="3754"/>
      <c r="W49" s="375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D3" sqref="D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3419</v>
      </c>
      <c r="F1" s="1879" t="s">
        <v>3420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295712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45000</v>
      </c>
      <c r="C3" s="354" t="s">
        <v>1768</v>
      </c>
      <c r="D3" s="353">
        <f>'数据-汇总表'!F19</f>
        <v>65713.740000000005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68" t="s">
        <v>1775</v>
      </c>
      <c r="Q4" s="3769"/>
      <c r="R4" s="3763" t="s">
        <v>1771</v>
      </c>
      <c r="S4" s="3764"/>
      <c r="T4" s="3763" t="s">
        <v>1772</v>
      </c>
      <c r="U4" s="3764"/>
      <c r="V4" s="3772" t="s">
        <v>1773</v>
      </c>
      <c r="W4" s="3772"/>
      <c r="X4" s="1958"/>
      <c r="Y4" s="3763" t="s">
        <v>1775</v>
      </c>
      <c r="Z4" s="3764"/>
      <c r="AA4" s="3762" t="s">
        <v>1771</v>
      </c>
      <c r="AB4" s="3762" t="s">
        <v>1772</v>
      </c>
      <c r="AC4" s="3765" t="s">
        <v>1773</v>
      </c>
    </row>
    <row r="5" spans="1:29" ht="15">
      <c r="A5" s="358"/>
      <c r="B5" s="359"/>
      <c r="C5" s="3704" t="s">
        <v>1673</v>
      </c>
      <c r="D5" s="3705"/>
      <c r="E5" s="3702" t="s">
        <v>1674</v>
      </c>
      <c r="F5" s="3703"/>
      <c r="G5" s="3704" t="s">
        <v>1675</v>
      </c>
      <c r="H5" s="3705"/>
      <c r="I5" s="3704" t="s">
        <v>1676</v>
      </c>
      <c r="J5" s="3705"/>
      <c r="K5" s="559"/>
      <c r="L5" s="2715"/>
      <c r="M5" s="2716"/>
      <c r="N5" s="2716"/>
      <c r="O5" s="2716"/>
      <c r="P5" s="3770"/>
      <c r="Q5" s="3718"/>
      <c r="R5" s="3700"/>
      <c r="S5" s="3701"/>
      <c r="T5" s="3700"/>
      <c r="U5" s="3701"/>
      <c r="V5" s="3723"/>
      <c r="W5" s="3723"/>
      <c r="X5" s="1355"/>
      <c r="Y5" s="3700"/>
      <c r="Z5" s="3701"/>
      <c r="AA5" s="3694"/>
      <c r="AB5" s="3694"/>
      <c r="AC5" s="3766"/>
    </row>
    <row r="6" spans="1:29" ht="15.75" thickBot="1">
      <c r="A6" s="360"/>
      <c r="B6" s="361"/>
      <c r="C6" s="3706" t="s">
        <v>1677</v>
      </c>
      <c r="D6" s="3707"/>
      <c r="E6" s="3708" t="s">
        <v>1677</v>
      </c>
      <c r="F6" s="3709"/>
      <c r="G6" s="3706" t="s">
        <v>1677</v>
      </c>
      <c r="H6" s="3707"/>
      <c r="I6" s="3706" t="s">
        <v>1677</v>
      </c>
      <c r="J6" s="3707"/>
      <c r="K6" s="559" t="s">
        <v>1678</v>
      </c>
      <c r="L6" s="2715"/>
      <c r="M6" s="2716"/>
      <c r="N6" s="2716"/>
      <c r="O6" s="2716"/>
      <c r="P6" s="3771"/>
      <c r="Q6" s="3720"/>
      <c r="R6" s="3700"/>
      <c r="S6" s="3701"/>
      <c r="T6" s="3721"/>
      <c r="U6" s="3722"/>
      <c r="V6" s="3723"/>
      <c r="W6" s="3723"/>
      <c r="X6" s="1355"/>
      <c r="Y6" s="3721"/>
      <c r="Z6" s="3722"/>
      <c r="AA6" s="3695"/>
      <c r="AB6" s="3695"/>
      <c r="AC6" s="3767"/>
    </row>
    <row r="7" spans="1:29" s="108" customFormat="1" ht="15.75" thickBot="1">
      <c r="A7" s="362" t="s">
        <v>1679</v>
      </c>
      <c r="B7" s="363"/>
      <c r="C7" s="364">
        <f>'数据-取费表'!B2</f>
        <v>45239</v>
      </c>
      <c r="D7" s="365">
        <v>100</v>
      </c>
      <c r="E7" s="366">
        <f>C7</f>
        <v>45239</v>
      </c>
      <c r="F7" s="367">
        <f>SUMIF(59:59,YEAR(E7)&amp;"-"&amp;MONTH(E7),60:60)</f>
        <v>100</v>
      </c>
      <c r="G7" s="366">
        <f>C7</f>
        <v>45239</v>
      </c>
      <c r="H7" s="365">
        <f>SUMIF(59:59,YEAR(G7)&amp;"-"&amp;MONTH(G7),60:60)</f>
        <v>100</v>
      </c>
      <c r="I7" s="366">
        <f>C7</f>
        <v>45239</v>
      </c>
      <c r="J7" s="365">
        <f>SUMIF(59:59,YEAR(I7)&amp;"-"&amp;MONTH(I7),60:60)</f>
        <v>100</v>
      </c>
      <c r="K7" s="560"/>
      <c r="L7" s="2717"/>
      <c r="M7" s="2718"/>
      <c r="N7" s="2718"/>
      <c r="O7" s="2718"/>
      <c r="P7" s="3773" t="s">
        <v>1680</v>
      </c>
      <c r="Q7" s="3724"/>
      <c r="R7" s="701" t="s">
        <v>14</v>
      </c>
      <c r="S7" s="702">
        <f t="shared" ref="S7:S15" si="0">F7</f>
        <v>100</v>
      </c>
      <c r="T7" s="701" t="s">
        <v>14</v>
      </c>
      <c r="U7" s="702">
        <f t="shared" ref="U7:U15" si="1">H7</f>
        <v>100</v>
      </c>
      <c r="V7" s="701" t="s">
        <v>14</v>
      </c>
      <c r="W7" s="702">
        <f t="shared" ref="W7:W15" si="2">J7</f>
        <v>100</v>
      </c>
      <c r="X7" s="703"/>
      <c r="Y7" s="3696" t="s">
        <v>1680</v>
      </c>
      <c r="Z7" s="3697"/>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73" t="s">
        <v>1683</v>
      </c>
      <c r="Q8" s="3697"/>
      <c r="R8" s="701" t="s">
        <v>14</v>
      </c>
      <c r="S8" s="702">
        <f t="shared" si="0"/>
        <v>100</v>
      </c>
      <c r="T8" s="701" t="s">
        <v>14</v>
      </c>
      <c r="U8" s="702">
        <f t="shared" si="1"/>
        <v>100</v>
      </c>
      <c r="V8" s="701" t="s">
        <v>14</v>
      </c>
      <c r="W8" s="702">
        <f t="shared" si="2"/>
        <v>100</v>
      </c>
      <c r="X8" s="703"/>
      <c r="Y8" s="3696" t="s">
        <v>1683</v>
      </c>
      <c r="Z8" s="369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34"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34"/>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34"/>
      <c r="Q11" s="1343"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34"/>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34"/>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34"/>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60" t="s">
        <v>1691</v>
      </c>
      <c r="Q15" s="1352" t="str">
        <f t="shared" si="6"/>
        <v>办公集聚程度</v>
      </c>
      <c r="R15" s="705" t="s">
        <v>14</v>
      </c>
      <c r="S15" s="706">
        <f t="shared" si="0"/>
        <v>100</v>
      </c>
      <c r="T15" s="705" t="s">
        <v>14</v>
      </c>
      <c r="U15" s="706">
        <f t="shared" si="1"/>
        <v>100</v>
      </c>
      <c r="V15" s="705" t="s">
        <v>14</v>
      </c>
      <c r="W15" s="706">
        <f t="shared" si="2"/>
        <v>100</v>
      </c>
      <c r="X15" s="1355"/>
      <c r="Y15" s="372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61"/>
      <c r="Q16" s="1352"/>
      <c r="R16" s="705"/>
      <c r="S16" s="706"/>
      <c r="T16" s="705"/>
      <c r="U16" s="706"/>
      <c r="V16" s="705"/>
      <c r="W16" s="706"/>
      <c r="X16" s="1355"/>
      <c r="Y16" s="372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61"/>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61"/>
      <c r="Q18" s="1352"/>
      <c r="R18" s="705"/>
      <c r="S18" s="706"/>
      <c r="T18" s="705"/>
      <c r="U18" s="706"/>
      <c r="V18" s="705"/>
      <c r="W18" s="706"/>
      <c r="X18" s="1355"/>
      <c r="Y18" s="372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61"/>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61"/>
      <c r="Q20" s="1352"/>
      <c r="R20" s="705"/>
      <c r="S20" s="706"/>
      <c r="T20" s="705"/>
      <c r="U20" s="706"/>
      <c r="V20" s="705"/>
      <c r="W20" s="706"/>
      <c r="X20" s="1355"/>
      <c r="Y20" s="372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61"/>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61"/>
      <c r="Q22" s="1352"/>
      <c r="R22" s="705"/>
      <c r="S22" s="706"/>
      <c r="T22" s="705"/>
      <c r="U22" s="706"/>
      <c r="V22" s="705"/>
      <c r="W22" s="706"/>
      <c r="X22" s="1355"/>
      <c r="Y22" s="372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61"/>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61"/>
      <c r="Q24" s="1352"/>
      <c r="R24" s="705"/>
      <c r="S24" s="706"/>
      <c r="T24" s="705"/>
      <c r="U24" s="706"/>
      <c r="V24" s="705"/>
      <c r="W24" s="706"/>
      <c r="X24" s="1355"/>
      <c r="Y24" s="372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61"/>
      <c r="Q25" s="1352" t="str">
        <f>B25</f>
        <v>毗邻道路的类型与等级</v>
      </c>
      <c r="R25" s="705" t="s">
        <v>14</v>
      </c>
      <c r="S25" s="706">
        <f>F25</f>
        <v>100</v>
      </c>
      <c r="T25" s="705" t="s">
        <v>14</v>
      </c>
      <c r="U25" s="706">
        <f>H25</f>
        <v>100</v>
      </c>
      <c r="V25" s="705" t="s">
        <v>14</v>
      </c>
      <c r="W25" s="706">
        <f>J25</f>
        <v>100</v>
      </c>
      <c r="X25" s="1355"/>
      <c r="Y25" s="372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61"/>
      <c r="Q26" s="1352"/>
      <c r="R26" s="705"/>
      <c r="S26" s="706"/>
      <c r="T26" s="705"/>
      <c r="U26" s="706"/>
      <c r="V26" s="705"/>
      <c r="W26" s="706"/>
      <c r="X26" s="1355"/>
      <c r="Y26" s="372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61"/>
      <c r="Q27" s="1352" t="str">
        <f t="shared" ref="Q27:Q47" si="11">B27</f>
        <v>楼层</v>
      </c>
      <c r="R27" s="705" t="s">
        <v>14</v>
      </c>
      <c r="S27" s="706">
        <f>F27</f>
        <v>100</v>
      </c>
      <c r="T27" s="705" t="s">
        <v>14</v>
      </c>
      <c r="U27" s="706">
        <f>H27</f>
        <v>100</v>
      </c>
      <c r="V27" s="705" t="s">
        <v>14</v>
      </c>
      <c r="W27" s="706">
        <f>J27</f>
        <v>100</v>
      </c>
      <c r="X27" s="1355"/>
      <c r="Y27" s="372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61"/>
      <c r="Q28" s="1343" t="str">
        <f t="shared" si="11"/>
        <v>朝向</v>
      </c>
      <c r="R28" s="701" t="s">
        <v>14</v>
      </c>
      <c r="S28" s="702">
        <f>F28</f>
        <v>100</v>
      </c>
      <c r="T28" s="701" t="s">
        <v>14</v>
      </c>
      <c r="U28" s="702">
        <f>H28</f>
        <v>100</v>
      </c>
      <c r="V28" s="701" t="s">
        <v>14</v>
      </c>
      <c r="W28" s="702">
        <f>J28</f>
        <v>100</v>
      </c>
      <c r="X28" s="703"/>
      <c r="Y28" s="372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61"/>
      <c r="Q29" s="1352">
        <f t="shared" si="11"/>
        <v>111</v>
      </c>
      <c r="R29" s="705" t="s">
        <v>14</v>
      </c>
      <c r="S29" s="706">
        <f t="shared" ref="S29:S47" si="12">F29</f>
        <v>100</v>
      </c>
      <c r="T29" s="705" t="s">
        <v>14</v>
      </c>
      <c r="U29" s="706">
        <f t="shared" ref="U29:U47" si="13">H29</f>
        <v>100</v>
      </c>
      <c r="V29" s="705" t="s">
        <v>14</v>
      </c>
      <c r="W29" s="706">
        <f t="shared" ref="W29:W47" si="14">J29</f>
        <v>100</v>
      </c>
      <c r="X29" s="1355"/>
      <c r="Y29" s="372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61"/>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61"/>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61"/>
      <c r="Q32" s="1352">
        <f t="shared" si="11"/>
        <v>111</v>
      </c>
      <c r="R32" s="705" t="s">
        <v>14</v>
      </c>
      <c r="S32" s="706">
        <f t="shared" si="12"/>
        <v>100</v>
      </c>
      <c r="T32" s="705" t="s">
        <v>14</v>
      </c>
      <c r="U32" s="706">
        <f t="shared" si="13"/>
        <v>100</v>
      </c>
      <c r="V32" s="705" t="s">
        <v>14</v>
      </c>
      <c r="W32" s="706">
        <f t="shared" si="14"/>
        <v>100</v>
      </c>
      <c r="X32" s="1355"/>
      <c r="Y32" s="372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56" t="s">
        <v>1696</v>
      </c>
      <c r="Q33" s="1352" t="str">
        <f t="shared" si="11"/>
        <v>建筑类型</v>
      </c>
      <c r="R33" s="705" t="s">
        <v>14</v>
      </c>
      <c r="S33" s="706">
        <f t="shared" si="12"/>
        <v>100</v>
      </c>
      <c r="T33" s="705" t="s">
        <v>14</v>
      </c>
      <c r="U33" s="706">
        <f t="shared" si="13"/>
        <v>100</v>
      </c>
      <c r="V33" s="705" t="s">
        <v>14</v>
      </c>
      <c r="W33" s="706">
        <f t="shared" si="14"/>
        <v>100</v>
      </c>
      <c r="X33" s="1355"/>
      <c r="Y33" s="372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757"/>
      <c r="Q34" s="707" t="str">
        <f t="shared" si="11"/>
        <v>项目建筑规模</v>
      </c>
      <c r="R34" s="708" t="s">
        <v>14</v>
      </c>
      <c r="S34" s="709">
        <f t="shared" si="12"/>
        <v>100</v>
      </c>
      <c r="T34" s="708" t="s">
        <v>14</v>
      </c>
      <c r="U34" s="709">
        <f t="shared" si="13"/>
        <v>100</v>
      </c>
      <c r="V34" s="708" t="s">
        <v>14</v>
      </c>
      <c r="W34" s="709">
        <f t="shared" si="14"/>
        <v>100</v>
      </c>
      <c r="X34" s="710"/>
      <c r="Y34" s="3728"/>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57"/>
      <c r="Q35" s="1352" t="str">
        <f t="shared" si="11"/>
        <v>建筑结构</v>
      </c>
      <c r="R35" s="705" t="s">
        <v>14</v>
      </c>
      <c r="S35" s="706">
        <f t="shared" si="12"/>
        <v>100</v>
      </c>
      <c r="T35" s="705" t="s">
        <v>14</v>
      </c>
      <c r="U35" s="706">
        <f t="shared" si="13"/>
        <v>100</v>
      </c>
      <c r="V35" s="705" t="s">
        <v>14</v>
      </c>
      <c r="W35" s="706">
        <f t="shared" si="14"/>
        <v>100</v>
      </c>
      <c r="X35" s="1355"/>
      <c r="Y35" s="372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57"/>
      <c r="Q36" s="1352" t="str">
        <f t="shared" si="11"/>
        <v>公共部分装修</v>
      </c>
      <c r="R36" s="705" t="s">
        <v>14</v>
      </c>
      <c r="S36" s="706">
        <f t="shared" si="12"/>
        <v>100</v>
      </c>
      <c r="T36" s="705" t="s">
        <v>14</v>
      </c>
      <c r="U36" s="706">
        <f t="shared" si="13"/>
        <v>100</v>
      </c>
      <c r="V36" s="705" t="s">
        <v>14</v>
      </c>
      <c r="W36" s="706">
        <f t="shared" si="14"/>
        <v>100</v>
      </c>
      <c r="X36" s="1355"/>
      <c r="Y36" s="3728"/>
      <c r="Z36" s="1356" t="str">
        <f t="shared" si="15"/>
        <v>公共部分装修</v>
      </c>
      <c r="AA36" s="1353">
        <f t="shared" si="3"/>
        <v>1</v>
      </c>
      <c r="AB36" s="1353">
        <f t="shared" si="4"/>
        <v>1</v>
      </c>
      <c r="AC36" s="1962">
        <f t="shared" si="5"/>
        <v>1</v>
      </c>
    </row>
    <row r="37" spans="1:29" ht="15">
      <c r="A37" s="423"/>
      <c r="B37" s="375" t="s">
        <v>1786</v>
      </c>
      <c r="C37" s="425">
        <v>0.9</v>
      </c>
      <c r="D37" s="386">
        <v>100</v>
      </c>
      <c r="E37" s="425">
        <v>0.9</v>
      </c>
      <c r="F37" s="412">
        <f>LOOKUP(E37,111:111,112:112)-LOOKUP(C37,111:111,112:112)+100</f>
        <v>100</v>
      </c>
      <c r="G37" s="425">
        <v>0.9</v>
      </c>
      <c r="H37" s="412">
        <f>LOOKUP(G37,111:111,112:112)-LOOKUP(C37,111:111,112:112)+100</f>
        <v>100</v>
      </c>
      <c r="I37" s="425">
        <v>0.9</v>
      </c>
      <c r="J37" s="386">
        <f>LOOKUP(I37,111:111,112:112)-LOOKUP(C37,111:111,112:112)+100</f>
        <v>100</v>
      </c>
      <c r="K37" s="561"/>
      <c r="L37" s="2722"/>
      <c r="M37" s="2716"/>
      <c r="N37" s="2716"/>
      <c r="O37" s="2716"/>
      <c r="P37" s="3757"/>
      <c r="Q37" s="1352" t="str">
        <f t="shared" si="11"/>
        <v>成新度</v>
      </c>
      <c r="R37" s="705" t="s">
        <v>14</v>
      </c>
      <c r="S37" s="706">
        <f t="shared" si="12"/>
        <v>100</v>
      </c>
      <c r="T37" s="705" t="s">
        <v>14</v>
      </c>
      <c r="U37" s="706">
        <f t="shared" si="13"/>
        <v>100</v>
      </c>
      <c r="V37" s="705" t="s">
        <v>14</v>
      </c>
      <c r="W37" s="706">
        <f t="shared" si="14"/>
        <v>100</v>
      </c>
      <c r="X37" s="1355"/>
      <c r="Y37" s="3728"/>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57"/>
      <c r="Q38" s="1343" t="str">
        <f t="shared" si="11"/>
        <v>写字楼等级</v>
      </c>
      <c r="R38" s="701" t="s">
        <v>14</v>
      </c>
      <c r="S38" s="702">
        <f t="shared" si="12"/>
        <v>100</v>
      </c>
      <c r="T38" s="701" t="s">
        <v>14</v>
      </c>
      <c r="U38" s="702">
        <f t="shared" si="13"/>
        <v>100</v>
      </c>
      <c r="V38" s="701" t="s">
        <v>14</v>
      </c>
      <c r="W38" s="702">
        <f t="shared" si="14"/>
        <v>100</v>
      </c>
      <c r="X38" s="703"/>
      <c r="Y38" s="372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57" t="s">
        <v>1696</v>
      </c>
      <c r="Q39" s="1352" t="str">
        <f t="shared" si="11"/>
        <v>物业管理</v>
      </c>
      <c r="R39" s="705" t="s">
        <v>14</v>
      </c>
      <c r="S39" s="706">
        <f t="shared" si="12"/>
        <v>100</v>
      </c>
      <c r="T39" s="705" t="s">
        <v>14</v>
      </c>
      <c r="U39" s="706">
        <f t="shared" si="13"/>
        <v>100</v>
      </c>
      <c r="V39" s="705" t="s">
        <v>14</v>
      </c>
      <c r="W39" s="706">
        <f t="shared" si="14"/>
        <v>100</v>
      </c>
      <c r="X39" s="1355"/>
      <c r="Y39" s="372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57"/>
      <c r="Q40" s="1352" t="str">
        <f t="shared" si="11"/>
        <v>市政基础设施</v>
      </c>
      <c r="R40" s="705" t="s">
        <v>14</v>
      </c>
      <c r="S40" s="706">
        <f t="shared" si="12"/>
        <v>100</v>
      </c>
      <c r="T40" s="705" t="s">
        <v>14</v>
      </c>
      <c r="U40" s="706">
        <f t="shared" si="13"/>
        <v>100</v>
      </c>
      <c r="V40" s="705" t="s">
        <v>14</v>
      </c>
      <c r="W40" s="706">
        <f t="shared" si="14"/>
        <v>100</v>
      </c>
      <c r="X40" s="1355"/>
      <c r="Y40" s="372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57"/>
      <c r="Q41" s="1352" t="str">
        <f t="shared" si="11"/>
        <v>层高</v>
      </c>
      <c r="R41" s="705" t="s">
        <v>14</v>
      </c>
      <c r="S41" s="706">
        <f t="shared" si="12"/>
        <v>100</v>
      </c>
      <c r="T41" s="705" t="s">
        <v>14</v>
      </c>
      <c r="U41" s="706">
        <f t="shared" si="13"/>
        <v>100</v>
      </c>
      <c r="V41" s="705" t="s">
        <v>14</v>
      </c>
      <c r="W41" s="706">
        <f t="shared" si="14"/>
        <v>100</v>
      </c>
      <c r="X41" s="1355"/>
      <c r="Y41" s="372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57"/>
      <c r="Q42" s="707" t="str">
        <f t="shared" si="11"/>
        <v>单套建筑面积</v>
      </c>
      <c r="R42" s="708" t="s">
        <v>14</v>
      </c>
      <c r="S42" s="709">
        <f t="shared" si="12"/>
        <v>100</v>
      </c>
      <c r="T42" s="708" t="s">
        <v>14</v>
      </c>
      <c r="U42" s="709">
        <f t="shared" si="13"/>
        <v>100</v>
      </c>
      <c r="V42" s="708" t="s">
        <v>14</v>
      </c>
      <c r="W42" s="709">
        <f t="shared" si="14"/>
        <v>100</v>
      </c>
      <c r="X42" s="710"/>
      <c r="Y42" s="372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57"/>
      <c r="Q43" s="1352" t="str">
        <f t="shared" si="11"/>
        <v>内部装修</v>
      </c>
      <c r="R43" s="705" t="s">
        <v>14</v>
      </c>
      <c r="S43" s="706">
        <f t="shared" si="12"/>
        <v>100</v>
      </c>
      <c r="T43" s="705" t="s">
        <v>14</v>
      </c>
      <c r="U43" s="706">
        <f t="shared" si="13"/>
        <v>100</v>
      </c>
      <c r="V43" s="705" t="s">
        <v>14</v>
      </c>
      <c r="W43" s="706">
        <f t="shared" si="14"/>
        <v>100</v>
      </c>
      <c r="X43" s="1355"/>
      <c r="Y43" s="372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57"/>
      <c r="Q44" s="1352" t="str">
        <f t="shared" si="11"/>
        <v>内部装修维护情况</v>
      </c>
      <c r="R44" s="705" t="s">
        <v>14</v>
      </c>
      <c r="S44" s="706">
        <f t="shared" si="12"/>
        <v>100</v>
      </c>
      <c r="T44" s="705" t="s">
        <v>14</v>
      </c>
      <c r="U44" s="706">
        <f t="shared" si="13"/>
        <v>100</v>
      </c>
      <c r="V44" s="705" t="s">
        <v>14</v>
      </c>
      <c r="W44" s="706">
        <f t="shared" si="14"/>
        <v>100</v>
      </c>
      <c r="X44" s="1355"/>
      <c r="Y44" s="372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57"/>
      <c r="Q45" s="1343">
        <f t="shared" si="11"/>
        <v>111</v>
      </c>
      <c r="R45" s="701" t="s">
        <v>14</v>
      </c>
      <c r="S45" s="702">
        <f t="shared" si="12"/>
        <v>100</v>
      </c>
      <c r="T45" s="701" t="s">
        <v>14</v>
      </c>
      <c r="U45" s="702">
        <f t="shared" si="13"/>
        <v>100</v>
      </c>
      <c r="V45" s="701" t="s">
        <v>14</v>
      </c>
      <c r="W45" s="702">
        <f t="shared" si="14"/>
        <v>100</v>
      </c>
      <c r="X45" s="703"/>
      <c r="Y45" s="372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57"/>
      <c r="Q46" s="1352">
        <f t="shared" si="11"/>
        <v>111</v>
      </c>
      <c r="R46" s="705" t="s">
        <v>14</v>
      </c>
      <c r="S46" s="706">
        <f t="shared" si="12"/>
        <v>100</v>
      </c>
      <c r="T46" s="705" t="s">
        <v>14</v>
      </c>
      <c r="U46" s="706">
        <f t="shared" si="13"/>
        <v>100</v>
      </c>
      <c r="V46" s="705" t="s">
        <v>14</v>
      </c>
      <c r="W46" s="706">
        <f t="shared" si="14"/>
        <v>100</v>
      </c>
      <c r="X46" s="1355"/>
      <c r="Y46" s="372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58"/>
      <c r="Q47" s="1352">
        <f t="shared" si="11"/>
        <v>111</v>
      </c>
      <c r="R47" s="705" t="s">
        <v>14</v>
      </c>
      <c r="S47" s="706">
        <f t="shared" si="12"/>
        <v>100</v>
      </c>
      <c r="T47" s="705" t="s">
        <v>14</v>
      </c>
      <c r="U47" s="706">
        <f t="shared" si="13"/>
        <v>100</v>
      </c>
      <c r="V47" s="705" t="s">
        <v>14</v>
      </c>
      <c r="W47" s="706">
        <f t="shared" si="14"/>
        <v>100</v>
      </c>
      <c r="X47" s="1355"/>
      <c r="Y47" s="3759"/>
      <c r="Z47" s="1356">
        <f t="shared" si="15"/>
        <v>111</v>
      </c>
      <c r="AA47" s="1353">
        <f t="shared" si="3"/>
        <v>1</v>
      </c>
      <c r="AB47" s="1353">
        <f t="shared" si="4"/>
        <v>1</v>
      </c>
      <c r="AC47" s="1962">
        <f t="shared" si="5"/>
        <v>1</v>
      </c>
    </row>
    <row r="48" spans="1:29" ht="15">
      <c r="A48" s="430" t="s">
        <v>1708</v>
      </c>
      <c r="B48" s="431"/>
      <c r="C48" s="1154" t="s">
        <v>0</v>
      </c>
      <c r="D48" s="1155"/>
      <c r="E48" s="1156">
        <v>45000</v>
      </c>
      <c r="F48" s="1157"/>
      <c r="G48" s="1158">
        <f>E48</f>
        <v>45000</v>
      </c>
      <c r="H48" s="1159"/>
      <c r="I48" s="1156">
        <f>E48</f>
        <v>45000</v>
      </c>
      <c r="J48" s="436"/>
      <c r="K48" s="714"/>
      <c r="L48" s="2724"/>
      <c r="M48" s="2716"/>
      <c r="N48" s="2716"/>
      <c r="O48" s="2716"/>
      <c r="P48" s="3734" t="str">
        <f>A48</f>
        <v>成交单价（元/平方米）</v>
      </c>
      <c r="Q48" s="3710"/>
      <c r="R48" s="3755">
        <f>E48</f>
        <v>45000</v>
      </c>
      <c r="S48" s="3755"/>
      <c r="T48" s="3755">
        <f>G48</f>
        <v>45000</v>
      </c>
      <c r="U48" s="3755"/>
      <c r="V48" s="3755">
        <f>I48</f>
        <v>45000</v>
      </c>
      <c r="W48" s="3755"/>
      <c r="X48" s="397"/>
      <c r="Y48" s="712"/>
      <c r="Z48" s="397"/>
      <c r="AA48" s="397"/>
      <c r="AB48" s="397"/>
      <c r="AC48" s="578"/>
    </row>
    <row r="49" spans="1:29" ht="15.75" thickBot="1">
      <c r="A49" s="437" t="s">
        <v>1793</v>
      </c>
      <c r="B49" s="438"/>
      <c r="C49" s="1160">
        <f>R50</f>
        <v>45000</v>
      </c>
      <c r="D49" s="2317" t="s">
        <v>2138</v>
      </c>
      <c r="E49" s="1161">
        <f>R49</f>
        <v>45000</v>
      </c>
      <c r="F49" s="2318"/>
      <c r="G49" s="1160">
        <f>T49</f>
        <v>45000</v>
      </c>
      <c r="H49" s="2318"/>
      <c r="I49" s="1161">
        <f>V49</f>
        <v>45000</v>
      </c>
      <c r="J49" s="2318"/>
      <c r="K49" s="2320">
        <f>F49+H49+J49</f>
        <v>0</v>
      </c>
      <c r="L49" s="2724"/>
      <c r="M49" s="2716"/>
      <c r="N49" s="2716"/>
      <c r="O49" s="2716"/>
      <c r="P49" s="3734" t="str">
        <f>A49</f>
        <v>比较价值（元/平方米）</v>
      </c>
      <c r="Q49" s="3710"/>
      <c r="R49" s="3755">
        <f>IF(F1="售价",ROUND(PRODUCT(R48,AA7:AA47),0),ROUND(PRODUCT(R48,AA7:AA47),1))</f>
        <v>45000</v>
      </c>
      <c r="S49" s="3755"/>
      <c r="T49" s="3755">
        <f>IF(F1="售价",ROUND(PRODUCT(T48,AB7:AB47),0),ROUND(PRODUCT(T48,AB7:AB47),1))</f>
        <v>45000</v>
      </c>
      <c r="U49" s="3755"/>
      <c r="V49" s="3755">
        <f>IF(F1="售价",ROUND(PRODUCT(V48,AC7:AC47),0),ROUND(PRODUCT(V48,AC7:AC47),1))</f>
        <v>45000</v>
      </c>
      <c r="W49" s="3755"/>
      <c r="X49" s="397"/>
      <c r="Y49" s="397"/>
      <c r="Z49" s="397"/>
      <c r="AA49" s="397"/>
      <c r="AB49" s="397"/>
      <c r="AC49" s="578"/>
    </row>
    <row r="50" spans="1:29" ht="15.75" thickBot="1">
      <c r="A50" s="441" t="s">
        <v>1794</v>
      </c>
      <c r="B50" s="442"/>
      <c r="C50" s="1163">
        <f>R50</f>
        <v>45000</v>
      </c>
      <c r="D50" s="1163"/>
      <c r="E50" s="1163"/>
      <c r="F50" s="1163"/>
      <c r="G50" s="1163"/>
      <c r="H50" s="1163"/>
      <c r="I50" s="1163"/>
      <c r="J50" s="443"/>
      <c r="K50" s="715"/>
      <c r="L50" s="2724"/>
      <c r="M50" s="2716"/>
      <c r="N50" s="2716"/>
      <c r="O50" s="2716"/>
      <c r="P50" s="3774" t="str">
        <f>A50</f>
        <v>估价对象XX用房的比较价值（楼面单价，元/平方米）</v>
      </c>
      <c r="Q50" s="3775"/>
      <c r="R50" s="3776">
        <f>IF(F1="售价",ROUND(IF(D49="简单平均",AVERAGE(R49:V49),R49*F49+T49*H49+V49*J49),0),ROUND(IF(D49="简单平均",AVERAGE(R49:V49),R49*F49+T49*H49+V49*J49),1))</f>
        <v>45000</v>
      </c>
      <c r="S50" s="3776"/>
      <c r="T50" s="3776"/>
      <c r="U50" s="3776"/>
      <c r="V50" s="3776"/>
      <c r="W50" s="377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87936.610000000015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913"/>
      <c r="M4" s="914"/>
      <c r="N4" s="914"/>
      <c r="O4" s="914"/>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29" ht="15">
      <c r="A5" s="358"/>
      <c r="B5" s="359"/>
      <c r="C5" s="3704" t="s">
        <v>1673</v>
      </c>
      <c r="D5" s="3705"/>
      <c r="E5" s="3702" t="s">
        <v>1674</v>
      </c>
      <c r="F5" s="3703"/>
      <c r="G5" s="3704" t="s">
        <v>1675</v>
      </c>
      <c r="H5" s="3705"/>
      <c r="I5" s="3704" t="s">
        <v>1676</v>
      </c>
      <c r="J5" s="3705"/>
      <c r="K5" s="559"/>
      <c r="L5" s="913"/>
      <c r="M5" s="914"/>
      <c r="N5" s="914"/>
      <c r="O5" s="914"/>
      <c r="P5" s="3717"/>
      <c r="Q5" s="3718"/>
      <c r="R5" s="3700"/>
      <c r="S5" s="3701"/>
      <c r="T5" s="3700"/>
      <c r="U5" s="3701"/>
      <c r="V5" s="3723"/>
      <c r="W5" s="3723"/>
      <c r="X5" s="1355"/>
      <c r="Y5" s="3700"/>
      <c r="Z5" s="3701"/>
      <c r="AA5" s="3694"/>
      <c r="AB5" s="3694"/>
      <c r="AC5" s="3694"/>
    </row>
    <row r="6" spans="1:29" ht="15.75" thickBot="1">
      <c r="A6" s="360"/>
      <c r="B6" s="361"/>
      <c r="C6" s="3706" t="s">
        <v>1677</v>
      </c>
      <c r="D6" s="3707"/>
      <c r="E6" s="3708" t="s">
        <v>1677</v>
      </c>
      <c r="F6" s="3709"/>
      <c r="G6" s="3706" t="s">
        <v>1677</v>
      </c>
      <c r="H6" s="3707"/>
      <c r="I6" s="3706" t="s">
        <v>1677</v>
      </c>
      <c r="J6" s="3707"/>
      <c r="K6" s="559" t="s">
        <v>1678</v>
      </c>
      <c r="L6" s="913"/>
      <c r="M6" s="914"/>
      <c r="N6" s="914"/>
      <c r="O6" s="914"/>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45239</v>
      </c>
      <c r="D7" s="365">
        <v>100</v>
      </c>
      <c r="E7" s="366"/>
      <c r="F7" s="367">
        <f>SUMIF(52:52,YEAR(E7)&amp;"-"&amp;MONTH(E7),53:53)</f>
        <v>0</v>
      </c>
      <c r="G7" s="366"/>
      <c r="H7" s="365">
        <f>SUMIF(52:52,YEAR(G7)&amp;"-"&amp;MONTH(G7),53:53)</f>
        <v>0</v>
      </c>
      <c r="I7" s="366"/>
      <c r="J7" s="365">
        <f>SUMIF(52:52,YEAR(I7)&amp;"-"&amp;MONTH(I7),53:53)</f>
        <v>0</v>
      </c>
      <c r="K7" s="560"/>
      <c r="L7" s="915"/>
      <c r="M7" s="916"/>
      <c r="N7" s="916"/>
      <c r="O7" s="916"/>
      <c r="P7" s="3696" t="s">
        <v>1680</v>
      </c>
      <c r="Q7" s="3724"/>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6" t="s">
        <v>1683</v>
      </c>
      <c r="Q8" s="3697"/>
      <c r="R8" s="701" t="s">
        <v>14</v>
      </c>
      <c r="S8" s="702">
        <f t="shared" si="0"/>
        <v>100</v>
      </c>
      <c r="T8" s="701" t="s">
        <v>14</v>
      </c>
      <c r="U8" s="702">
        <f t="shared" si="1"/>
        <v>100</v>
      </c>
      <c r="V8" s="701" t="s">
        <v>14</v>
      </c>
      <c r="W8" s="702">
        <f t="shared" si="2"/>
        <v>100</v>
      </c>
      <c r="X8" s="703"/>
      <c r="Y8" s="3696" t="s">
        <v>1683</v>
      </c>
      <c r="Z8" s="369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0"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0"/>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0"/>
      <c r="Q11" s="1343"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0"/>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0"/>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0"/>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5" t="s">
        <v>1691</v>
      </c>
      <c r="Q15" s="1352" t="str">
        <f t="shared" si="6"/>
        <v>产业集聚程度</v>
      </c>
      <c r="R15" s="705" t="s">
        <v>14</v>
      </c>
      <c r="S15" s="706">
        <f t="shared" si="0"/>
        <v>100</v>
      </c>
      <c r="T15" s="705" t="s">
        <v>14</v>
      </c>
      <c r="U15" s="706">
        <f t="shared" si="1"/>
        <v>100</v>
      </c>
      <c r="V15" s="705" t="s">
        <v>14</v>
      </c>
      <c r="W15" s="706">
        <f t="shared" si="2"/>
        <v>100</v>
      </c>
      <c r="X15" s="1355"/>
      <c r="Y15" s="372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6"/>
      <c r="Q16" s="1352"/>
      <c r="R16" s="705"/>
      <c r="S16" s="706"/>
      <c r="T16" s="705"/>
      <c r="U16" s="706"/>
      <c r="V16" s="705"/>
      <c r="W16" s="706"/>
      <c r="X16" s="1355"/>
      <c r="Y16" s="372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6"/>
      <c r="Q18" s="1352"/>
      <c r="R18" s="705"/>
      <c r="S18" s="706"/>
      <c r="T18" s="705"/>
      <c r="U18" s="706"/>
      <c r="V18" s="705"/>
      <c r="W18" s="706"/>
      <c r="X18" s="1355"/>
      <c r="Y18" s="372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6"/>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6"/>
      <c r="Q20" s="1352"/>
      <c r="R20" s="705"/>
      <c r="S20" s="706"/>
      <c r="T20" s="705"/>
      <c r="U20" s="706"/>
      <c r="V20" s="705"/>
      <c r="W20" s="706"/>
      <c r="X20" s="1355"/>
      <c r="Y20" s="372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6"/>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6"/>
      <c r="Q22" s="1352"/>
      <c r="R22" s="705"/>
      <c r="S22" s="706"/>
      <c r="T22" s="705"/>
      <c r="U22" s="706"/>
      <c r="V22" s="705"/>
      <c r="W22" s="706"/>
      <c r="X22" s="1355"/>
      <c r="Y22" s="372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6"/>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6"/>
      <c r="Q24" s="1352"/>
      <c r="R24" s="705"/>
      <c r="S24" s="706"/>
      <c r="T24" s="705"/>
      <c r="U24" s="706"/>
      <c r="V24" s="705"/>
      <c r="W24" s="706"/>
      <c r="X24" s="1355"/>
      <c r="Y24" s="372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6"/>
      <c r="Q25" s="1352">
        <f>B25</f>
        <v>111</v>
      </c>
      <c r="R25" s="705" t="s">
        <v>14</v>
      </c>
      <c r="S25" s="706">
        <f>F25</f>
        <v>100</v>
      </c>
      <c r="T25" s="705" t="s">
        <v>14</v>
      </c>
      <c r="U25" s="706">
        <f>H25</f>
        <v>100</v>
      </c>
      <c r="V25" s="705" t="s">
        <v>14</v>
      </c>
      <c r="W25" s="706">
        <f>J25</f>
        <v>100</v>
      </c>
      <c r="X25" s="1355"/>
      <c r="Y25" s="372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6"/>
      <c r="Q26" s="1352">
        <f t="shared" ref="Q26:Q40" si="11">B26</f>
        <v>111</v>
      </c>
      <c r="R26" s="705" t="s">
        <v>14</v>
      </c>
      <c r="S26" s="706">
        <f>F26</f>
        <v>100</v>
      </c>
      <c r="T26" s="705" t="s">
        <v>14</v>
      </c>
      <c r="U26" s="706">
        <f>H26</f>
        <v>100</v>
      </c>
      <c r="V26" s="705" t="s">
        <v>14</v>
      </c>
      <c r="W26" s="706">
        <f>J26</f>
        <v>100</v>
      </c>
      <c r="X26" s="1355"/>
      <c r="Y26" s="372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6"/>
      <c r="Q27" s="1343">
        <f t="shared" si="11"/>
        <v>111</v>
      </c>
      <c r="R27" s="701" t="s">
        <v>14</v>
      </c>
      <c r="S27" s="702">
        <f>F27</f>
        <v>100</v>
      </c>
      <c r="T27" s="701" t="s">
        <v>14</v>
      </c>
      <c r="U27" s="702">
        <f>H27</f>
        <v>100</v>
      </c>
      <c r="V27" s="701" t="s">
        <v>14</v>
      </c>
      <c r="W27" s="702">
        <f>J27</f>
        <v>100</v>
      </c>
      <c r="X27" s="703"/>
      <c r="Y27" s="372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6"/>
      <c r="Q28" s="1352">
        <f t="shared" si="11"/>
        <v>111</v>
      </c>
      <c r="R28" s="705" t="s">
        <v>14</v>
      </c>
      <c r="S28" s="706">
        <f t="shared" ref="S28:S40" si="12">F28</f>
        <v>100</v>
      </c>
      <c r="T28" s="705" t="s">
        <v>14</v>
      </c>
      <c r="U28" s="706">
        <f t="shared" ref="U28:U40" si="13">H28</f>
        <v>100</v>
      </c>
      <c r="V28" s="705" t="s">
        <v>14</v>
      </c>
      <c r="W28" s="706">
        <f t="shared" ref="W28:W40" si="14">J28</f>
        <v>100</v>
      </c>
      <c r="X28" s="1355"/>
      <c r="Y28" s="372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1696</v>
      </c>
      <c r="Q29" s="1352" t="str">
        <f t="shared" si="11"/>
        <v>建筑类型</v>
      </c>
      <c r="R29" s="705" t="s">
        <v>14</v>
      </c>
      <c r="S29" s="706">
        <f t="shared" si="12"/>
        <v>100</v>
      </c>
      <c r="T29" s="705" t="s">
        <v>14</v>
      </c>
      <c r="U29" s="706">
        <f t="shared" si="13"/>
        <v>100</v>
      </c>
      <c r="V29" s="705" t="s">
        <v>14</v>
      </c>
      <c r="W29" s="706">
        <f t="shared" si="14"/>
        <v>100</v>
      </c>
      <c r="X29" s="1355"/>
      <c r="Y29" s="372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8"/>
      <c r="Q30" s="707" t="str">
        <f t="shared" si="11"/>
        <v>项目建筑规模</v>
      </c>
      <c r="R30" s="708" t="s">
        <v>14</v>
      </c>
      <c r="S30" s="709" t="e">
        <f t="shared" si="12"/>
        <v>#N/A</v>
      </c>
      <c r="T30" s="708" t="s">
        <v>14</v>
      </c>
      <c r="U30" s="709" t="e">
        <f t="shared" si="13"/>
        <v>#N/A</v>
      </c>
      <c r="V30" s="708" t="s">
        <v>14</v>
      </c>
      <c r="W30" s="709" t="e">
        <f t="shared" si="14"/>
        <v>#N/A</v>
      </c>
      <c r="X30" s="710"/>
      <c r="Y30" s="372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8"/>
      <c r="Q31" s="1352" t="str">
        <f t="shared" si="11"/>
        <v>建筑结构</v>
      </c>
      <c r="R31" s="705" t="s">
        <v>14</v>
      </c>
      <c r="S31" s="706">
        <f t="shared" si="12"/>
        <v>100</v>
      </c>
      <c r="T31" s="705" t="s">
        <v>14</v>
      </c>
      <c r="U31" s="706">
        <f t="shared" si="13"/>
        <v>100</v>
      </c>
      <c r="V31" s="705" t="s">
        <v>14</v>
      </c>
      <c r="W31" s="706">
        <f t="shared" si="14"/>
        <v>100</v>
      </c>
      <c r="X31" s="1355"/>
      <c r="Y31" s="372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8"/>
      <c r="Q32" s="1352" t="str">
        <f t="shared" si="11"/>
        <v>公共部分装修</v>
      </c>
      <c r="R32" s="705" t="s">
        <v>14</v>
      </c>
      <c r="S32" s="706">
        <f t="shared" si="12"/>
        <v>100</v>
      </c>
      <c r="T32" s="705" t="s">
        <v>14</v>
      </c>
      <c r="U32" s="706">
        <f t="shared" si="13"/>
        <v>100</v>
      </c>
      <c r="V32" s="705" t="s">
        <v>14</v>
      </c>
      <c r="W32" s="706">
        <f t="shared" si="14"/>
        <v>100</v>
      </c>
      <c r="X32" s="1355"/>
      <c r="Y32" s="372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8"/>
      <c r="Q33" s="1352" t="str">
        <f t="shared" si="11"/>
        <v>成新度</v>
      </c>
      <c r="R33" s="705" t="s">
        <v>14</v>
      </c>
      <c r="S33" s="706" t="e">
        <f t="shared" si="12"/>
        <v>#N/A</v>
      </c>
      <c r="T33" s="705" t="s">
        <v>14</v>
      </c>
      <c r="U33" s="706" t="e">
        <f t="shared" si="13"/>
        <v>#N/A</v>
      </c>
      <c r="V33" s="705" t="s">
        <v>14</v>
      </c>
      <c r="W33" s="706" t="e">
        <f t="shared" si="14"/>
        <v>#N/A</v>
      </c>
      <c r="X33" s="1355"/>
      <c r="Y33" s="372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8"/>
      <c r="Q34" s="1343" t="str">
        <f t="shared" si="11"/>
        <v>物业管理</v>
      </c>
      <c r="R34" s="701" t="s">
        <v>14</v>
      </c>
      <c r="S34" s="702">
        <f t="shared" si="12"/>
        <v>100</v>
      </c>
      <c r="T34" s="701" t="s">
        <v>14</v>
      </c>
      <c r="U34" s="702">
        <f t="shared" si="13"/>
        <v>100</v>
      </c>
      <c r="V34" s="701" t="s">
        <v>14</v>
      </c>
      <c r="W34" s="702">
        <f t="shared" si="14"/>
        <v>100</v>
      </c>
      <c r="X34" s="703"/>
      <c r="Y34" s="372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8" t="s">
        <v>1696</v>
      </c>
      <c r="Q35" s="1352" t="str">
        <f t="shared" si="11"/>
        <v>市政基础设施</v>
      </c>
      <c r="R35" s="705" t="s">
        <v>14</v>
      </c>
      <c r="S35" s="706">
        <f t="shared" si="12"/>
        <v>100</v>
      </c>
      <c r="T35" s="705" t="s">
        <v>14</v>
      </c>
      <c r="U35" s="706">
        <f t="shared" si="13"/>
        <v>100</v>
      </c>
      <c r="V35" s="705" t="s">
        <v>14</v>
      </c>
      <c r="W35" s="706">
        <f t="shared" si="14"/>
        <v>100</v>
      </c>
      <c r="X35" s="1355"/>
      <c r="Y35" s="372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8"/>
      <c r="Q36" s="1352" t="str">
        <f t="shared" si="11"/>
        <v>内部装修</v>
      </c>
      <c r="R36" s="705" t="s">
        <v>14</v>
      </c>
      <c r="S36" s="706">
        <f t="shared" si="12"/>
        <v>100</v>
      </c>
      <c r="T36" s="705" t="s">
        <v>14</v>
      </c>
      <c r="U36" s="706">
        <f t="shared" si="13"/>
        <v>100</v>
      </c>
      <c r="V36" s="705" t="s">
        <v>14</v>
      </c>
      <c r="W36" s="706">
        <f t="shared" si="14"/>
        <v>100</v>
      </c>
      <c r="X36" s="1355"/>
      <c r="Y36" s="372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8"/>
      <c r="Q37" s="1352" t="str">
        <f t="shared" si="11"/>
        <v>内部装修状况</v>
      </c>
      <c r="R37" s="705" t="s">
        <v>14</v>
      </c>
      <c r="S37" s="706">
        <f t="shared" si="12"/>
        <v>100</v>
      </c>
      <c r="T37" s="705" t="s">
        <v>14</v>
      </c>
      <c r="U37" s="706">
        <f t="shared" si="13"/>
        <v>100</v>
      </c>
      <c r="V37" s="705" t="s">
        <v>14</v>
      </c>
      <c r="W37" s="706">
        <f t="shared" si="14"/>
        <v>100</v>
      </c>
      <c r="X37" s="1355"/>
      <c r="Y37" s="372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8"/>
      <c r="Q38" s="707">
        <f t="shared" si="11"/>
        <v>111</v>
      </c>
      <c r="R38" s="708" t="s">
        <v>14</v>
      </c>
      <c r="S38" s="709">
        <f t="shared" si="12"/>
        <v>100</v>
      </c>
      <c r="T38" s="708" t="s">
        <v>14</v>
      </c>
      <c r="U38" s="709">
        <f t="shared" si="13"/>
        <v>100</v>
      </c>
      <c r="V38" s="708" t="s">
        <v>14</v>
      </c>
      <c r="W38" s="709">
        <f t="shared" si="14"/>
        <v>100</v>
      </c>
      <c r="X38" s="710"/>
      <c r="Y38" s="372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8"/>
      <c r="Q39" s="1352">
        <f t="shared" si="11"/>
        <v>111</v>
      </c>
      <c r="R39" s="705" t="s">
        <v>14</v>
      </c>
      <c r="S39" s="706">
        <f t="shared" si="12"/>
        <v>100</v>
      </c>
      <c r="T39" s="705" t="s">
        <v>14</v>
      </c>
      <c r="U39" s="706">
        <f t="shared" si="13"/>
        <v>100</v>
      </c>
      <c r="V39" s="705" t="s">
        <v>14</v>
      </c>
      <c r="W39" s="706">
        <f t="shared" si="14"/>
        <v>100</v>
      </c>
      <c r="X39" s="1355"/>
      <c r="Y39" s="372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9"/>
      <c r="Q40" s="1352">
        <f t="shared" si="11"/>
        <v>111</v>
      </c>
      <c r="R40" s="705" t="s">
        <v>14</v>
      </c>
      <c r="S40" s="706">
        <f t="shared" si="12"/>
        <v>100</v>
      </c>
      <c r="T40" s="705" t="s">
        <v>14</v>
      </c>
      <c r="U40" s="706">
        <f t="shared" si="13"/>
        <v>100</v>
      </c>
      <c r="V40" s="705" t="s">
        <v>14</v>
      </c>
      <c r="W40" s="706">
        <f t="shared" si="14"/>
        <v>100</v>
      </c>
      <c r="X40" s="1355"/>
      <c r="Y40" s="375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0" t="str">
        <f>A41</f>
        <v>成交单价（元/平方米）</v>
      </c>
      <c r="Q41" s="3710"/>
      <c r="R41" s="3755">
        <f>E41</f>
        <v>0</v>
      </c>
      <c r="S41" s="3755"/>
      <c r="T41" s="3755">
        <f>G41</f>
        <v>0</v>
      </c>
      <c r="U41" s="3755"/>
      <c r="V41" s="3755">
        <f>I41</f>
        <v>0</v>
      </c>
      <c r="W41" s="375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0" t="str">
        <f>A42</f>
        <v>比较价值（元/平方米）</v>
      </c>
      <c r="Q42" s="3710"/>
      <c r="R42" s="3755" t="e">
        <f>IF(F1="售价",ROUND(PRODUCT(R41,AA7:AA40),0),ROUND(PRODUCT(R41,AA7:AA40),1))</f>
        <v>#DIV/0!</v>
      </c>
      <c r="S42" s="3755"/>
      <c r="T42" s="3755" t="e">
        <f>IF(F1="售价",ROUND(PRODUCT(T41,AB7:AB40),0),ROUND(PRODUCT(T41,AB7:AB40),1))</f>
        <v>#DIV/0!</v>
      </c>
      <c r="U42" s="3755"/>
      <c r="V42" s="3755" t="e">
        <f>IF(F1="售价",ROUND(PRODUCT(V41,AC7:AC40),0),ROUND(PRODUCT(V41,AC7:AC40),1))</f>
        <v>#DIV/0!</v>
      </c>
      <c r="W42" s="375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0" t="str">
        <f>A43</f>
        <v>估价对象XX用房的比较价值（楼面单价，元/平方米）</v>
      </c>
      <c r="Q43" s="3731"/>
      <c r="R43" s="3754" t="e">
        <f>IF(F1="售价",ROUND(IF(D42="简单平均",AVERAGE(R42:V42),R42*F42+T42*H42+V42*J42),0),ROUND(IF(D42="简单平均",AVERAGE(R42:V42),R42*F42+T42*H42+V42*J42),1))</f>
        <v>#DIV/0!</v>
      </c>
      <c r="S43" s="3754"/>
      <c r="T43" s="3754"/>
      <c r="U43" s="3754"/>
      <c r="V43" s="3754"/>
      <c r="W43" s="375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29" ht="15">
      <c r="A5" s="358"/>
      <c r="B5" s="359"/>
      <c r="C5" s="3704" t="s">
        <v>1673</v>
      </c>
      <c r="D5" s="3705"/>
      <c r="E5" s="3702" t="s">
        <v>1674</v>
      </c>
      <c r="F5" s="3703"/>
      <c r="G5" s="3704" t="s">
        <v>1675</v>
      </c>
      <c r="H5" s="3705"/>
      <c r="I5" s="3704" t="s">
        <v>1676</v>
      </c>
      <c r="J5" s="3705"/>
      <c r="K5" s="559"/>
      <c r="L5" s="2715"/>
      <c r="M5" s="2716"/>
      <c r="N5" s="2716"/>
      <c r="O5" s="2716"/>
      <c r="P5" s="3717"/>
      <c r="Q5" s="3718"/>
      <c r="R5" s="3700"/>
      <c r="S5" s="3701"/>
      <c r="T5" s="3700"/>
      <c r="U5" s="3701"/>
      <c r="V5" s="3723"/>
      <c r="W5" s="3723"/>
      <c r="X5" s="1355"/>
      <c r="Y5" s="3700"/>
      <c r="Z5" s="3701"/>
      <c r="AA5" s="3694"/>
      <c r="AB5" s="3694"/>
      <c r="AC5" s="3694"/>
    </row>
    <row r="6" spans="1:29" ht="15.75" thickBot="1">
      <c r="A6" s="360"/>
      <c r="B6" s="361"/>
      <c r="C6" s="3706" t="s">
        <v>1677</v>
      </c>
      <c r="D6" s="3707"/>
      <c r="E6" s="3708" t="s">
        <v>1677</v>
      </c>
      <c r="F6" s="3709"/>
      <c r="G6" s="3706" t="s">
        <v>1677</v>
      </c>
      <c r="H6" s="3707"/>
      <c r="I6" s="3706" t="s">
        <v>1677</v>
      </c>
      <c r="J6" s="3707"/>
      <c r="K6" s="559" t="s">
        <v>1678</v>
      </c>
      <c r="L6" s="2715"/>
      <c r="M6" s="2716"/>
      <c r="N6" s="2716"/>
      <c r="O6" s="2716"/>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45239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6" t="s">
        <v>1680</v>
      </c>
      <c r="Q7" s="3724"/>
      <c r="R7" s="701" t="s">
        <v>14</v>
      </c>
      <c r="S7" s="702">
        <f t="shared" ref="S7:S14" si="0">F7</f>
        <v>0</v>
      </c>
      <c r="T7" s="701" t="s">
        <v>14</v>
      </c>
      <c r="U7" s="702">
        <f t="shared" ref="U7:U14" si="1">H7</f>
        <v>0</v>
      </c>
      <c r="V7" s="701" t="s">
        <v>14</v>
      </c>
      <c r="W7" s="702">
        <f t="shared" ref="W7:W14"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6" t="s">
        <v>1683</v>
      </c>
      <c r="Q8" s="3697"/>
      <c r="R8" s="701" t="s">
        <v>14</v>
      </c>
      <c r="S8" s="702">
        <f t="shared" si="0"/>
        <v>100</v>
      </c>
      <c r="T8" s="701" t="s">
        <v>14</v>
      </c>
      <c r="U8" s="702">
        <f t="shared" si="1"/>
        <v>100</v>
      </c>
      <c r="V8" s="701" t="s">
        <v>14</v>
      </c>
      <c r="W8" s="702">
        <f t="shared" si="2"/>
        <v>100</v>
      </c>
      <c r="X8" s="703"/>
      <c r="Y8" s="3696" t="s">
        <v>1683</v>
      </c>
      <c r="Z8" s="369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0" t="s">
        <v>1686</v>
      </c>
      <c r="Q9" s="1343" t="str">
        <f t="shared" ref="Q9:Q14" si="6">B9</f>
        <v>用途</v>
      </c>
      <c r="R9" s="701" t="s">
        <v>14</v>
      </c>
      <c r="S9" s="702">
        <f t="shared" si="0"/>
        <v>100</v>
      </c>
      <c r="T9" s="701" t="s">
        <v>14</v>
      </c>
      <c r="U9" s="702">
        <f t="shared" si="1"/>
        <v>100</v>
      </c>
      <c r="V9" s="701" t="s">
        <v>14</v>
      </c>
      <c r="W9" s="702">
        <f t="shared" si="2"/>
        <v>100</v>
      </c>
      <c r="X9" s="703"/>
      <c r="Y9" s="36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0"/>
      <c r="Q11" s="1343">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5" t="s">
        <v>1691</v>
      </c>
      <c r="Q14" s="1352" t="str">
        <f t="shared" si="6"/>
        <v>交通便捷度</v>
      </c>
      <c r="R14" s="705" t="s">
        <v>14</v>
      </c>
      <c r="S14" s="706">
        <f t="shared" si="0"/>
        <v>100</v>
      </c>
      <c r="T14" s="705" t="s">
        <v>14</v>
      </c>
      <c r="U14" s="706">
        <f t="shared" si="1"/>
        <v>100</v>
      </c>
      <c r="V14" s="705" t="s">
        <v>14</v>
      </c>
      <c r="W14" s="706">
        <f t="shared" si="2"/>
        <v>100</v>
      </c>
      <c r="X14" s="1355"/>
      <c r="Y14" s="372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6"/>
      <c r="Q15" s="1352"/>
      <c r="R15" s="705"/>
      <c r="S15" s="706"/>
      <c r="T15" s="705"/>
      <c r="U15" s="706"/>
      <c r="V15" s="705"/>
      <c r="W15" s="706"/>
      <c r="X15" s="1355"/>
      <c r="Y15" s="372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6"/>
      <c r="Q17" s="1352"/>
      <c r="R17" s="705"/>
      <c r="S17" s="706"/>
      <c r="T17" s="705"/>
      <c r="U17" s="706"/>
      <c r="V17" s="705"/>
      <c r="W17" s="706"/>
      <c r="X17" s="1355"/>
      <c r="Y17" s="372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6"/>
      <c r="Q19" s="1352"/>
      <c r="R19" s="705"/>
      <c r="S19" s="706"/>
      <c r="T19" s="705"/>
      <c r="U19" s="706"/>
      <c r="V19" s="705"/>
      <c r="W19" s="706"/>
      <c r="X19" s="1355"/>
      <c r="Y19" s="372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6"/>
      <c r="Q21" s="1352"/>
      <c r="R21" s="705"/>
      <c r="S21" s="706"/>
      <c r="T21" s="705"/>
      <c r="U21" s="706"/>
      <c r="V21" s="705"/>
      <c r="W21" s="706"/>
      <c r="X21" s="1355"/>
      <c r="Y21" s="372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6"/>
      <c r="Q24" s="1352">
        <f t="shared" ref="Q24:Q36"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8"/>
      <c r="Q27" s="707" t="str">
        <f t="shared" si="11"/>
        <v>项目停车位配比</v>
      </c>
      <c r="R27" s="708" t="s">
        <v>14</v>
      </c>
      <c r="S27" s="709">
        <f t="shared" si="12"/>
        <v>100</v>
      </c>
      <c r="T27" s="708" t="s">
        <v>14</v>
      </c>
      <c r="U27" s="709">
        <f t="shared" si="13"/>
        <v>100</v>
      </c>
      <c r="V27" s="708" t="s">
        <v>14</v>
      </c>
      <c r="W27" s="709">
        <f t="shared" si="14"/>
        <v>100</v>
      </c>
      <c r="X27" s="710"/>
      <c r="Y27" s="372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8"/>
      <c r="Q28" s="1352" t="str">
        <f t="shared" si="11"/>
        <v>公共部分装修</v>
      </c>
      <c r="R28" s="705" t="s">
        <v>14</v>
      </c>
      <c r="S28" s="706">
        <f t="shared" si="12"/>
        <v>100</v>
      </c>
      <c r="T28" s="705" t="s">
        <v>14</v>
      </c>
      <c r="U28" s="706">
        <f t="shared" si="13"/>
        <v>100</v>
      </c>
      <c r="V28" s="705" t="s">
        <v>14</v>
      </c>
      <c r="W28" s="706">
        <f t="shared" si="14"/>
        <v>100</v>
      </c>
      <c r="X28" s="1355"/>
      <c r="Y28" s="372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8"/>
      <c r="Q29" s="1352" t="str">
        <f t="shared" si="11"/>
        <v>成新率</v>
      </c>
      <c r="R29" s="705" t="s">
        <v>14</v>
      </c>
      <c r="S29" s="706" t="e">
        <f t="shared" si="12"/>
        <v>#N/A</v>
      </c>
      <c r="T29" s="705" t="s">
        <v>14</v>
      </c>
      <c r="U29" s="706" t="e">
        <f t="shared" si="13"/>
        <v>#N/A</v>
      </c>
      <c r="V29" s="705" t="s">
        <v>14</v>
      </c>
      <c r="W29" s="706" t="e">
        <f t="shared" si="14"/>
        <v>#N/A</v>
      </c>
      <c r="X29" s="1355"/>
      <c r="Y29" s="372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8"/>
      <c r="Q30" s="1352" t="str">
        <f t="shared" si="11"/>
        <v>物业等级</v>
      </c>
      <c r="R30" s="705" t="s">
        <v>14</v>
      </c>
      <c r="S30" s="706">
        <f t="shared" si="12"/>
        <v>100</v>
      </c>
      <c r="T30" s="705" t="s">
        <v>14</v>
      </c>
      <c r="U30" s="706">
        <f t="shared" si="13"/>
        <v>100</v>
      </c>
      <c r="V30" s="705" t="s">
        <v>14</v>
      </c>
      <c r="W30" s="706">
        <f t="shared" si="14"/>
        <v>100</v>
      </c>
      <c r="X30" s="1355"/>
      <c r="Y30" s="372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8"/>
      <c r="Q31" s="1343" t="str">
        <f t="shared" si="11"/>
        <v>停车位面积</v>
      </c>
      <c r="R31" s="701" t="s">
        <v>14</v>
      </c>
      <c r="S31" s="702" t="e">
        <f t="shared" si="12"/>
        <v>#N/A</v>
      </c>
      <c r="T31" s="701" t="s">
        <v>14</v>
      </c>
      <c r="U31" s="702" t="e">
        <f t="shared" si="13"/>
        <v>#N/A</v>
      </c>
      <c r="V31" s="701" t="s">
        <v>14</v>
      </c>
      <c r="W31" s="702" t="e">
        <f t="shared" si="14"/>
        <v>#N/A</v>
      </c>
      <c r="X31" s="703"/>
      <c r="Y31" s="372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8" t="s">
        <v>1696</v>
      </c>
      <c r="Q32" s="1352" t="str">
        <f t="shared" si="11"/>
        <v>车位类型</v>
      </c>
      <c r="R32" s="705" t="s">
        <v>14</v>
      </c>
      <c r="S32" s="706">
        <f t="shared" si="12"/>
        <v>100</v>
      </c>
      <c r="T32" s="705" t="s">
        <v>14</v>
      </c>
      <c r="U32" s="706">
        <f t="shared" si="13"/>
        <v>100</v>
      </c>
      <c r="V32" s="705" t="s">
        <v>14</v>
      </c>
      <c r="W32" s="706">
        <f t="shared" si="14"/>
        <v>100</v>
      </c>
      <c r="X32" s="1355"/>
      <c r="Y32" s="372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8"/>
      <c r="Q33" s="1352" t="str">
        <f t="shared" si="11"/>
        <v>是否直接入户</v>
      </c>
      <c r="R33" s="705" t="s">
        <v>14</v>
      </c>
      <c r="S33" s="706">
        <f t="shared" si="12"/>
        <v>100</v>
      </c>
      <c r="T33" s="705" t="s">
        <v>14</v>
      </c>
      <c r="U33" s="706">
        <f t="shared" si="13"/>
        <v>100</v>
      </c>
      <c r="V33" s="705" t="s">
        <v>14</v>
      </c>
      <c r="W33" s="706">
        <f t="shared" si="14"/>
        <v>100</v>
      </c>
      <c r="X33" s="1355"/>
      <c r="Y33" s="372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8"/>
      <c r="Q34" s="1352">
        <f t="shared" si="11"/>
        <v>111</v>
      </c>
      <c r="R34" s="705" t="s">
        <v>14</v>
      </c>
      <c r="S34" s="706">
        <f t="shared" si="12"/>
        <v>100</v>
      </c>
      <c r="T34" s="705" t="s">
        <v>14</v>
      </c>
      <c r="U34" s="706">
        <f t="shared" si="13"/>
        <v>100</v>
      </c>
      <c r="V34" s="705" t="s">
        <v>14</v>
      </c>
      <c r="W34" s="706">
        <f t="shared" si="14"/>
        <v>100</v>
      </c>
      <c r="X34" s="1355"/>
      <c r="Y34" s="372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8"/>
      <c r="Q35" s="707">
        <f t="shared" si="11"/>
        <v>111</v>
      </c>
      <c r="R35" s="708" t="s">
        <v>14</v>
      </c>
      <c r="S35" s="709">
        <f t="shared" si="12"/>
        <v>100</v>
      </c>
      <c r="T35" s="708" t="s">
        <v>14</v>
      </c>
      <c r="U35" s="709">
        <f t="shared" si="13"/>
        <v>100</v>
      </c>
      <c r="V35" s="708" t="s">
        <v>14</v>
      </c>
      <c r="W35" s="709">
        <f t="shared" si="14"/>
        <v>100</v>
      </c>
      <c r="X35" s="710"/>
      <c r="Y35" s="372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8"/>
      <c r="Q36" s="1352">
        <f t="shared" si="11"/>
        <v>111</v>
      </c>
      <c r="R36" s="705" t="s">
        <v>14</v>
      </c>
      <c r="S36" s="706">
        <f t="shared" si="12"/>
        <v>100</v>
      </c>
      <c r="T36" s="705" t="s">
        <v>14</v>
      </c>
      <c r="U36" s="706">
        <f t="shared" si="13"/>
        <v>100</v>
      </c>
      <c r="V36" s="705" t="s">
        <v>14</v>
      </c>
      <c r="W36" s="706">
        <f t="shared" si="14"/>
        <v>100</v>
      </c>
      <c r="X36" s="1355"/>
      <c r="Y36" s="3728"/>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710" t="str">
        <f>A37</f>
        <v>成交单价</v>
      </c>
      <c r="Q37" s="3710"/>
      <c r="R37" s="3755">
        <f>E37</f>
        <v>0</v>
      </c>
      <c r="S37" s="3755"/>
      <c r="T37" s="3755">
        <f>G37</f>
        <v>0</v>
      </c>
      <c r="U37" s="3755"/>
      <c r="V37" s="3755">
        <f>I37</f>
        <v>0</v>
      </c>
      <c r="W37" s="375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0" t="str">
        <f>A38</f>
        <v>比较价值（元/平方米）</v>
      </c>
      <c r="Q38" s="3710"/>
      <c r="R38" s="3755" t="e">
        <f>IF(F1="售价",ROUND(PRODUCT(R37,AA7:AA36),0),ROUND(PRODUCT(R37,AA7:AA36),1))</f>
        <v>#DIV/0!</v>
      </c>
      <c r="S38" s="3755"/>
      <c r="T38" s="3755" t="e">
        <f>IF(F1="售价",ROUND(PRODUCT(T37,AB7:AB36),0),ROUND(PRODUCT(T37,AB7:AB36),1))</f>
        <v>#DIV/0!</v>
      </c>
      <c r="U38" s="3755"/>
      <c r="V38" s="3755" t="e">
        <f>IF(F1="售价",ROUND(PRODUCT(V37,AC7:AC36),0),ROUND(PRODUCT(V37,AC7:AC36),1))</f>
        <v>#DIV/0!</v>
      </c>
      <c r="W38" s="375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0" t="str">
        <f>A39</f>
        <v>估价对象XX用房的比较价值（楼面单价，元/平方米）</v>
      </c>
      <c r="Q39" s="3731"/>
      <c r="R39" s="3777" t="e">
        <f>IF(F1="售价",ROUND(IF(D38="简单平均",AVERAGE(R38:W38),R38*F38+T38*H38+V38*J38),0),ROUND(IF(D38="简单平均",AVERAGE(R38:V38),R38*F38+T38*H38+V38*J38),1))</f>
        <v>#DIV/0!</v>
      </c>
      <c r="S39" s="3777"/>
      <c r="T39" s="3777"/>
      <c r="U39" s="3777"/>
      <c r="V39" s="3777"/>
      <c r="W39" s="377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29" ht="15">
      <c r="A5" s="358"/>
      <c r="B5" s="359"/>
      <c r="C5" s="3704" t="s">
        <v>1673</v>
      </c>
      <c r="D5" s="3705"/>
      <c r="E5" s="3702" t="s">
        <v>1674</v>
      </c>
      <c r="F5" s="3703"/>
      <c r="G5" s="3704" t="s">
        <v>1675</v>
      </c>
      <c r="H5" s="3705"/>
      <c r="I5" s="3704" t="s">
        <v>1676</v>
      </c>
      <c r="J5" s="3705"/>
      <c r="K5" s="559"/>
      <c r="L5" s="2715"/>
      <c r="M5" s="2716"/>
      <c r="N5" s="2716"/>
      <c r="O5" s="2716"/>
      <c r="P5" s="3717"/>
      <c r="Q5" s="3718"/>
      <c r="R5" s="3700"/>
      <c r="S5" s="3701"/>
      <c r="T5" s="3700"/>
      <c r="U5" s="3701"/>
      <c r="V5" s="3723"/>
      <c r="W5" s="3723"/>
      <c r="X5" s="1355"/>
      <c r="Y5" s="3700"/>
      <c r="Z5" s="3701"/>
      <c r="AA5" s="3694"/>
      <c r="AB5" s="3694"/>
      <c r="AC5" s="3694"/>
    </row>
    <row r="6" spans="1:29" ht="15.75" thickBot="1">
      <c r="A6" s="360"/>
      <c r="B6" s="361"/>
      <c r="C6" s="3706" t="s">
        <v>1677</v>
      </c>
      <c r="D6" s="3707"/>
      <c r="E6" s="3708" t="s">
        <v>1677</v>
      </c>
      <c r="F6" s="3709"/>
      <c r="G6" s="3706" t="s">
        <v>1677</v>
      </c>
      <c r="H6" s="3707"/>
      <c r="I6" s="3706" t="s">
        <v>1677</v>
      </c>
      <c r="J6" s="3707"/>
      <c r="K6" s="559" t="s">
        <v>1678</v>
      </c>
      <c r="L6" s="2715"/>
      <c r="M6" s="2716"/>
      <c r="N6" s="2716"/>
      <c r="O6" s="2716"/>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45239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6" t="s">
        <v>1680</v>
      </c>
      <c r="Q7" s="3724"/>
      <c r="R7" s="701" t="s">
        <v>14</v>
      </c>
      <c r="S7" s="702">
        <f t="shared" ref="S7:S14" si="0">F7</f>
        <v>0</v>
      </c>
      <c r="T7" s="701" t="s">
        <v>14</v>
      </c>
      <c r="U7" s="702">
        <f t="shared" ref="U7:U14" si="1">H7</f>
        <v>0</v>
      </c>
      <c r="V7" s="701" t="s">
        <v>14</v>
      </c>
      <c r="W7" s="702">
        <f t="shared" ref="W7:W14"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6" t="s">
        <v>1683</v>
      </c>
      <c r="Q8" s="3697"/>
      <c r="R8" s="701" t="s">
        <v>14</v>
      </c>
      <c r="S8" s="702">
        <f t="shared" si="0"/>
        <v>100</v>
      </c>
      <c r="T8" s="701" t="s">
        <v>14</v>
      </c>
      <c r="U8" s="702">
        <f t="shared" si="1"/>
        <v>100</v>
      </c>
      <c r="V8" s="701" t="s">
        <v>14</v>
      </c>
      <c r="W8" s="702">
        <f t="shared" si="2"/>
        <v>100</v>
      </c>
      <c r="X8" s="703"/>
      <c r="Y8" s="3696" t="s">
        <v>1683</v>
      </c>
      <c r="Z8" s="369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0" t="s">
        <v>1686</v>
      </c>
      <c r="Q9" s="1343" t="str">
        <f t="shared" ref="Q9:Q14" si="6">B9</f>
        <v>用途</v>
      </c>
      <c r="R9" s="701" t="s">
        <v>14</v>
      </c>
      <c r="S9" s="702">
        <f t="shared" si="0"/>
        <v>100</v>
      </c>
      <c r="T9" s="701" t="s">
        <v>14</v>
      </c>
      <c r="U9" s="702">
        <f t="shared" si="1"/>
        <v>100</v>
      </c>
      <c r="V9" s="701" t="s">
        <v>14</v>
      </c>
      <c r="W9" s="702">
        <f t="shared" si="2"/>
        <v>100</v>
      </c>
      <c r="X9" s="703"/>
      <c r="Y9" s="36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0"/>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0"/>
      <c r="Q11" s="1343">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0"/>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5" t="s">
        <v>1691</v>
      </c>
      <c r="Q14" s="1352" t="str">
        <f t="shared" si="6"/>
        <v>交通便捷度</v>
      </c>
      <c r="R14" s="705" t="s">
        <v>14</v>
      </c>
      <c r="S14" s="706">
        <f t="shared" si="0"/>
        <v>100</v>
      </c>
      <c r="T14" s="705" t="s">
        <v>14</v>
      </c>
      <c r="U14" s="706">
        <f t="shared" si="1"/>
        <v>100</v>
      </c>
      <c r="V14" s="705" t="s">
        <v>14</v>
      </c>
      <c r="W14" s="706">
        <f t="shared" si="2"/>
        <v>100</v>
      </c>
      <c r="X14" s="1355"/>
      <c r="Y14" s="372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6"/>
      <c r="Q15" s="1352"/>
      <c r="R15" s="705"/>
      <c r="S15" s="706"/>
      <c r="T15" s="705"/>
      <c r="U15" s="706"/>
      <c r="V15" s="705"/>
      <c r="W15" s="706"/>
      <c r="X15" s="1355"/>
      <c r="Y15" s="372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6"/>
      <c r="Q17" s="1352"/>
      <c r="R17" s="705"/>
      <c r="S17" s="706"/>
      <c r="T17" s="705"/>
      <c r="U17" s="706"/>
      <c r="V17" s="705"/>
      <c r="W17" s="706"/>
      <c r="X17" s="1355"/>
      <c r="Y17" s="372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6"/>
      <c r="Q19" s="1352"/>
      <c r="R19" s="705"/>
      <c r="S19" s="706"/>
      <c r="T19" s="705"/>
      <c r="U19" s="706"/>
      <c r="V19" s="705"/>
      <c r="W19" s="706"/>
      <c r="X19" s="1355"/>
      <c r="Y19" s="372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6"/>
      <c r="Q21" s="1352"/>
      <c r="R21" s="705"/>
      <c r="S21" s="706"/>
      <c r="T21" s="705"/>
      <c r="U21" s="706"/>
      <c r="V21" s="705"/>
      <c r="W21" s="706"/>
      <c r="X21" s="1355"/>
      <c r="Y21" s="372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6"/>
      <c r="Q24" s="1352">
        <f t="shared" ref="Q24:Q34"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8"/>
      <c r="Q27" s="707" t="str">
        <f t="shared" si="11"/>
        <v>成新率</v>
      </c>
      <c r="R27" s="708" t="s">
        <v>14</v>
      </c>
      <c r="S27" s="709" t="e">
        <f t="shared" si="12"/>
        <v>#N/A</v>
      </c>
      <c r="T27" s="708" t="s">
        <v>14</v>
      </c>
      <c r="U27" s="709" t="e">
        <f t="shared" si="13"/>
        <v>#N/A</v>
      </c>
      <c r="V27" s="708" t="s">
        <v>14</v>
      </c>
      <c r="W27" s="709" t="e">
        <f t="shared" si="14"/>
        <v>#N/A</v>
      </c>
      <c r="X27" s="710"/>
      <c r="Y27" s="372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8"/>
      <c r="Q28" s="1352" t="str">
        <f t="shared" si="11"/>
        <v>物业等级</v>
      </c>
      <c r="R28" s="705" t="s">
        <v>14</v>
      </c>
      <c r="S28" s="706">
        <f t="shared" si="12"/>
        <v>100</v>
      </c>
      <c r="T28" s="705" t="s">
        <v>14</v>
      </c>
      <c r="U28" s="706">
        <f t="shared" si="13"/>
        <v>100</v>
      </c>
      <c r="V28" s="705" t="s">
        <v>14</v>
      </c>
      <c r="W28" s="706">
        <f t="shared" si="14"/>
        <v>100</v>
      </c>
      <c r="X28" s="1355"/>
      <c r="Y28" s="372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8"/>
      <c r="Q29" s="1352" t="str">
        <f t="shared" si="11"/>
        <v>有无电梯</v>
      </c>
      <c r="R29" s="705" t="s">
        <v>14</v>
      </c>
      <c r="S29" s="706">
        <f t="shared" si="12"/>
        <v>100</v>
      </c>
      <c r="T29" s="705" t="s">
        <v>14</v>
      </c>
      <c r="U29" s="706">
        <f t="shared" si="13"/>
        <v>100</v>
      </c>
      <c r="V29" s="705" t="s">
        <v>14</v>
      </c>
      <c r="W29" s="706">
        <f t="shared" si="14"/>
        <v>100</v>
      </c>
      <c r="X29" s="1355"/>
      <c r="Y29" s="372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8"/>
      <c r="Q30" s="1352" t="str">
        <f t="shared" si="11"/>
        <v>建筑面积</v>
      </c>
      <c r="R30" s="705" t="s">
        <v>14</v>
      </c>
      <c r="S30" s="706" t="e">
        <f t="shared" si="12"/>
        <v>#N/A</v>
      </c>
      <c r="T30" s="705" t="s">
        <v>14</v>
      </c>
      <c r="U30" s="706" t="e">
        <f t="shared" si="13"/>
        <v>#N/A</v>
      </c>
      <c r="V30" s="705" t="s">
        <v>14</v>
      </c>
      <c r="W30" s="706" t="e">
        <f t="shared" si="14"/>
        <v>#N/A</v>
      </c>
      <c r="X30" s="1355"/>
      <c r="Y30" s="372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8"/>
      <c r="Q31" s="1343" t="str">
        <f t="shared" si="11"/>
        <v>是否封闭</v>
      </c>
      <c r="R31" s="701" t="s">
        <v>14</v>
      </c>
      <c r="S31" s="702">
        <f t="shared" si="12"/>
        <v>100</v>
      </c>
      <c r="T31" s="701" t="s">
        <v>14</v>
      </c>
      <c r="U31" s="702">
        <f t="shared" si="13"/>
        <v>100</v>
      </c>
      <c r="V31" s="701" t="s">
        <v>14</v>
      </c>
      <c r="W31" s="702">
        <f t="shared" si="14"/>
        <v>100</v>
      </c>
      <c r="X31" s="703"/>
      <c r="Y31" s="372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8" t="s">
        <v>1696</v>
      </c>
      <c r="Q32" s="1352">
        <f t="shared" si="11"/>
        <v>111</v>
      </c>
      <c r="R32" s="705" t="s">
        <v>14</v>
      </c>
      <c r="S32" s="706">
        <f t="shared" si="12"/>
        <v>100</v>
      </c>
      <c r="T32" s="705" t="s">
        <v>14</v>
      </c>
      <c r="U32" s="706">
        <f t="shared" si="13"/>
        <v>100</v>
      </c>
      <c r="V32" s="705" t="s">
        <v>14</v>
      </c>
      <c r="W32" s="706">
        <f t="shared" si="14"/>
        <v>100</v>
      </c>
      <c r="X32" s="1355"/>
      <c r="Y32" s="372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8"/>
      <c r="Q33" s="1352">
        <f t="shared" si="11"/>
        <v>111</v>
      </c>
      <c r="R33" s="705" t="s">
        <v>14</v>
      </c>
      <c r="S33" s="706">
        <f t="shared" si="12"/>
        <v>100</v>
      </c>
      <c r="T33" s="705" t="s">
        <v>14</v>
      </c>
      <c r="U33" s="706">
        <f t="shared" si="13"/>
        <v>100</v>
      </c>
      <c r="V33" s="705" t="s">
        <v>14</v>
      </c>
      <c r="W33" s="706">
        <f t="shared" si="14"/>
        <v>100</v>
      </c>
      <c r="X33" s="1355"/>
      <c r="Y33" s="372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8"/>
      <c r="Q34" s="1352">
        <f t="shared" si="11"/>
        <v>111</v>
      </c>
      <c r="R34" s="705" t="s">
        <v>14</v>
      </c>
      <c r="S34" s="706">
        <f t="shared" si="12"/>
        <v>100</v>
      </c>
      <c r="T34" s="705" t="s">
        <v>14</v>
      </c>
      <c r="U34" s="706">
        <f t="shared" si="13"/>
        <v>100</v>
      </c>
      <c r="V34" s="705" t="s">
        <v>14</v>
      </c>
      <c r="W34" s="706">
        <f t="shared" si="14"/>
        <v>100</v>
      </c>
      <c r="X34" s="1355"/>
      <c r="Y34" s="372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0" t="str">
        <f>A35</f>
        <v>成交单价（元/平方米）</v>
      </c>
      <c r="Q35" s="3710"/>
      <c r="R35" s="3755">
        <f>E35</f>
        <v>0</v>
      </c>
      <c r="S35" s="3755"/>
      <c r="T35" s="3755">
        <f>G35</f>
        <v>0</v>
      </c>
      <c r="U35" s="3755"/>
      <c r="V35" s="3755">
        <f>I35</f>
        <v>0</v>
      </c>
      <c r="W35" s="375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0" t="str">
        <f>A36</f>
        <v>比较价值（元/平方米）</v>
      </c>
      <c r="Q36" s="3710"/>
      <c r="R36" s="3755" t="e">
        <f>IF(F1="售价",ROUND(PRODUCT(R35,AA7:AA34),0),ROUND(PRODUCT(R35,AA7:AA34),1))</f>
        <v>#DIV/0!</v>
      </c>
      <c r="S36" s="3755"/>
      <c r="T36" s="3755" t="e">
        <f>IF(F1="售价",ROUND(PRODUCT(T35,AB7:AB34),0),ROUND(PRODUCT(T35,AB7:AB34),1))</f>
        <v>#DIV/0!</v>
      </c>
      <c r="U36" s="3755"/>
      <c r="V36" s="3755" t="e">
        <f>IF(F1="售价",ROUND(PRODUCT(V35,AC7:AC34),0),ROUND(PRODUCT(V35,AC7:AC34),1))</f>
        <v>#DIV/0!</v>
      </c>
      <c r="W36" s="375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0" t="str">
        <f>A37</f>
        <v>估价对象XX用房的比较价值（楼面单价，元/平方米）</v>
      </c>
      <c r="Q37" s="3731"/>
      <c r="R37" s="3777" t="e">
        <f>IF(F1="售价",ROUND(IF(D36="简单平均",AVERAGE(R36:W36),R36*F36+T36*H36+V36*J36),0),ROUND(IF(D36="简单平均",AVERAGE(R36:V36),R36*F36+T36*H36+V36*J36),1))</f>
        <v>#DIV/0!</v>
      </c>
      <c r="S37" s="3777"/>
      <c r="T37" s="3777"/>
      <c r="U37" s="3777"/>
      <c r="V37" s="3777"/>
      <c r="W37" s="377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29" ht="15">
      <c r="A5" s="358"/>
      <c r="B5" s="359"/>
      <c r="C5" s="3704" t="s">
        <v>1673</v>
      </c>
      <c r="D5" s="3705"/>
      <c r="E5" s="3702" t="s">
        <v>1674</v>
      </c>
      <c r="F5" s="3703"/>
      <c r="G5" s="3704" t="s">
        <v>1675</v>
      </c>
      <c r="H5" s="3705"/>
      <c r="I5" s="3704" t="s">
        <v>1676</v>
      </c>
      <c r="J5" s="3705"/>
      <c r="K5" s="559"/>
      <c r="L5" s="2715"/>
      <c r="M5" s="2716"/>
      <c r="N5" s="2716"/>
      <c r="O5" s="2716"/>
      <c r="P5" s="3717"/>
      <c r="Q5" s="3718"/>
      <c r="R5" s="3700"/>
      <c r="S5" s="3701"/>
      <c r="T5" s="3700"/>
      <c r="U5" s="3701"/>
      <c r="V5" s="3723"/>
      <c r="W5" s="3723"/>
      <c r="X5" s="1355"/>
      <c r="Y5" s="3700"/>
      <c r="Z5" s="3701"/>
      <c r="AA5" s="3694"/>
      <c r="AB5" s="3694"/>
      <c r="AC5" s="3694"/>
    </row>
    <row r="6" spans="1:29" ht="15.75" thickBot="1">
      <c r="A6" s="360"/>
      <c r="B6" s="361"/>
      <c r="C6" s="3778" t="s">
        <v>1919</v>
      </c>
      <c r="D6" s="3779"/>
      <c r="E6" s="3780" t="s">
        <v>1919</v>
      </c>
      <c r="F6" s="3781"/>
      <c r="G6" s="3778" t="s">
        <v>1919</v>
      </c>
      <c r="H6" s="3779"/>
      <c r="I6" s="3778" t="s">
        <v>1919</v>
      </c>
      <c r="J6" s="3779"/>
      <c r="K6" s="559" t="s">
        <v>1678</v>
      </c>
      <c r="L6" s="2715"/>
      <c r="M6" s="2716"/>
      <c r="N6" s="2716"/>
      <c r="O6" s="2716"/>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45239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6" t="s">
        <v>1680</v>
      </c>
      <c r="Q7" s="3724"/>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6" t="s">
        <v>1683</v>
      </c>
      <c r="Q8" s="3697"/>
      <c r="R8" s="701" t="s">
        <v>14</v>
      </c>
      <c r="S8" s="702">
        <f t="shared" si="0"/>
        <v>0</v>
      </c>
      <c r="T8" s="701" t="s">
        <v>14</v>
      </c>
      <c r="U8" s="702">
        <f t="shared" si="1"/>
        <v>0</v>
      </c>
      <c r="V8" s="701" t="s">
        <v>14</v>
      </c>
      <c r="W8" s="702">
        <f t="shared" si="2"/>
        <v>0</v>
      </c>
      <c r="X8" s="703"/>
      <c r="Y8" s="3696" t="s">
        <v>1683</v>
      </c>
      <c r="Z8" s="369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0"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9"/>
      <c r="M10" s="2720"/>
      <c r="N10" s="2720"/>
      <c r="O10" s="2773"/>
      <c r="P10" s="3710"/>
      <c r="Q10" s="1343" t="str">
        <f t="shared" si="6"/>
        <v>土地使用年限（年）</v>
      </c>
      <c r="R10" s="701" t="s">
        <v>14</v>
      </c>
      <c r="S10" s="702">
        <f t="shared" si="0"/>
        <v>119</v>
      </c>
      <c r="T10" s="701" t="s">
        <v>14</v>
      </c>
      <c r="U10" s="702">
        <f t="shared" si="1"/>
        <v>119</v>
      </c>
      <c r="V10" s="701" t="s">
        <v>14</v>
      </c>
      <c r="W10" s="702">
        <f t="shared" si="2"/>
        <v>119</v>
      </c>
      <c r="X10" s="703"/>
      <c r="Y10" s="3640"/>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0"/>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0"/>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0"/>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5" t="s">
        <v>1691</v>
      </c>
      <c r="Q15" s="1352" t="str">
        <f t="shared" si="6"/>
        <v>产业集聚程度</v>
      </c>
      <c r="R15" s="705" t="s">
        <v>14</v>
      </c>
      <c r="S15" s="706">
        <f t="shared" si="0"/>
        <v>100</v>
      </c>
      <c r="T15" s="705" t="s">
        <v>14</v>
      </c>
      <c r="U15" s="706">
        <f t="shared" si="1"/>
        <v>100</v>
      </c>
      <c r="V15" s="705" t="s">
        <v>14</v>
      </c>
      <c r="W15" s="706">
        <f t="shared" si="2"/>
        <v>100</v>
      </c>
      <c r="X15" s="1355"/>
      <c r="Y15" s="372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6"/>
      <c r="Q16" s="1352"/>
      <c r="R16" s="705"/>
      <c r="S16" s="706"/>
      <c r="T16" s="705"/>
      <c r="U16" s="706"/>
      <c r="V16" s="705"/>
      <c r="W16" s="706"/>
      <c r="X16" s="1355"/>
      <c r="Y16" s="372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6"/>
      <c r="Q18" s="1352"/>
      <c r="R18" s="705"/>
      <c r="S18" s="706"/>
      <c r="T18" s="705"/>
      <c r="U18" s="706"/>
      <c r="V18" s="705"/>
      <c r="W18" s="706"/>
      <c r="X18" s="1355"/>
      <c r="Y18" s="372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6"/>
      <c r="Q19" s="1352" t="str">
        <f t="shared" ref="Q19:Q33" si="8">B19</f>
        <v>区域土地利用方向</v>
      </c>
      <c r="R19" s="705" t="s">
        <v>14</v>
      </c>
      <c r="S19" s="706">
        <f>F19</f>
        <v>100</v>
      </c>
      <c r="T19" s="705" t="s">
        <v>14</v>
      </c>
      <c r="U19" s="706">
        <f>H19</f>
        <v>100</v>
      </c>
      <c r="V19" s="705" t="s">
        <v>14</v>
      </c>
      <c r="W19" s="706">
        <f>J19</f>
        <v>100</v>
      </c>
      <c r="X19" s="1355"/>
      <c r="Y19" s="372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6"/>
      <c r="Q20" s="1352"/>
      <c r="R20" s="705"/>
      <c r="S20" s="706"/>
      <c r="T20" s="705"/>
      <c r="U20" s="706"/>
      <c r="V20" s="705"/>
      <c r="W20" s="706"/>
      <c r="X20" s="1355"/>
      <c r="Y20" s="372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6"/>
      <c r="Q21" s="1352" t="str">
        <f t="shared" si="8"/>
        <v>环境状况</v>
      </c>
      <c r="R21" s="705" t="s">
        <v>14</v>
      </c>
      <c r="S21" s="706">
        <f>F21</f>
        <v>100</v>
      </c>
      <c r="T21" s="705" t="s">
        <v>14</v>
      </c>
      <c r="U21" s="706">
        <f>H21</f>
        <v>100</v>
      </c>
      <c r="V21" s="705" t="s">
        <v>14</v>
      </c>
      <c r="W21" s="706">
        <f>J21</f>
        <v>100</v>
      </c>
      <c r="X21" s="1355"/>
      <c r="Y21" s="372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6"/>
      <c r="Q22" s="1352"/>
      <c r="R22" s="705"/>
      <c r="S22" s="706"/>
      <c r="T22" s="705"/>
      <c r="U22" s="706"/>
      <c r="V22" s="705"/>
      <c r="W22" s="706"/>
      <c r="X22" s="1355"/>
      <c r="Y22" s="372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6"/>
      <c r="Q23" s="1343" t="str">
        <f t="shared" si="8"/>
        <v>公共配套设施</v>
      </c>
      <c r="R23" s="701" t="s">
        <v>14</v>
      </c>
      <c r="S23" s="702">
        <f>F23</f>
        <v>100</v>
      </c>
      <c r="T23" s="701" t="s">
        <v>14</v>
      </c>
      <c r="U23" s="702">
        <f>H23</f>
        <v>100</v>
      </c>
      <c r="V23" s="701" t="s">
        <v>14</v>
      </c>
      <c r="W23" s="702">
        <f>J23</f>
        <v>100</v>
      </c>
      <c r="X23" s="703"/>
      <c r="Y23" s="372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6"/>
      <c r="Q24" s="1343"/>
      <c r="R24" s="701"/>
      <c r="S24" s="702"/>
      <c r="T24" s="701"/>
      <c r="U24" s="702"/>
      <c r="V24" s="701"/>
      <c r="W24" s="702"/>
      <c r="X24" s="703"/>
      <c r="Y24" s="372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6"/>
      <c r="Q25" s="1343" t="str">
        <f t="shared" ref="Q25" si="9">B25</f>
        <v>基础设施水平</v>
      </c>
      <c r="R25" s="701" t="s">
        <v>14</v>
      </c>
      <c r="S25" s="702">
        <f>F25</f>
        <v>100</v>
      </c>
      <c r="T25" s="701" t="s">
        <v>14</v>
      </c>
      <c r="U25" s="702">
        <f>H25</f>
        <v>100</v>
      </c>
      <c r="V25" s="701" t="s">
        <v>14</v>
      </c>
      <c r="W25" s="702">
        <f>J25</f>
        <v>100</v>
      </c>
      <c r="X25" s="703"/>
      <c r="Y25" s="372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6"/>
      <c r="Q26" s="1343"/>
      <c r="R26" s="701"/>
      <c r="S26" s="702"/>
      <c r="T26" s="701"/>
      <c r="U26" s="702"/>
      <c r="V26" s="701"/>
      <c r="W26" s="702"/>
      <c r="X26" s="703"/>
      <c r="Y26" s="372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6"/>
      <c r="Q28" s="1352" t="str">
        <f t="shared" si="8"/>
        <v>毗邻道路的类型与等级</v>
      </c>
      <c r="R28" s="705" t="s">
        <v>14</v>
      </c>
      <c r="S28" s="706">
        <f t="shared" si="10"/>
        <v>100</v>
      </c>
      <c r="T28" s="705" t="s">
        <v>14</v>
      </c>
      <c r="U28" s="706">
        <f t="shared" si="11"/>
        <v>100</v>
      </c>
      <c r="V28" s="705" t="s">
        <v>14</v>
      </c>
      <c r="W28" s="706">
        <f t="shared" si="12"/>
        <v>100</v>
      </c>
      <c r="X28" s="1355"/>
      <c r="Y28" s="372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6"/>
      <c r="Q29" s="1352"/>
      <c r="R29" s="705"/>
      <c r="S29" s="706"/>
      <c r="T29" s="705"/>
      <c r="U29" s="706"/>
      <c r="V29" s="705"/>
      <c r="W29" s="706"/>
      <c r="X29" s="1355"/>
      <c r="Y29" s="372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6"/>
      <c r="Q30" s="1352" t="str">
        <f t="shared" si="8"/>
        <v>土地级别</v>
      </c>
      <c r="R30" s="705" t="s">
        <v>14</v>
      </c>
      <c r="S30" s="706">
        <f t="shared" si="10"/>
        <v>100</v>
      </c>
      <c r="T30" s="705" t="s">
        <v>14</v>
      </c>
      <c r="U30" s="706">
        <f t="shared" si="11"/>
        <v>100</v>
      </c>
      <c r="V30" s="705" t="s">
        <v>14</v>
      </c>
      <c r="W30" s="706">
        <f t="shared" si="12"/>
        <v>100</v>
      </c>
      <c r="X30" s="1355"/>
      <c r="Y30" s="372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6"/>
      <c r="Q31" s="1352">
        <f t="shared" si="8"/>
        <v>111</v>
      </c>
      <c r="R31" s="705" t="s">
        <v>14</v>
      </c>
      <c r="S31" s="706">
        <f t="shared" si="10"/>
        <v>100</v>
      </c>
      <c r="T31" s="705" t="s">
        <v>14</v>
      </c>
      <c r="U31" s="706">
        <f t="shared" si="11"/>
        <v>100</v>
      </c>
      <c r="V31" s="705" t="s">
        <v>14</v>
      </c>
      <c r="W31" s="706">
        <f t="shared" si="12"/>
        <v>100</v>
      </c>
      <c r="X31" s="1355"/>
      <c r="Y31" s="372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7" t="s">
        <v>1696</v>
      </c>
      <c r="Q32" s="1352">
        <f t="shared" si="8"/>
        <v>111</v>
      </c>
      <c r="R32" s="705" t="s">
        <v>14</v>
      </c>
      <c r="S32" s="706">
        <f t="shared" si="10"/>
        <v>100</v>
      </c>
      <c r="T32" s="705" t="s">
        <v>14</v>
      </c>
      <c r="U32" s="706">
        <f t="shared" si="11"/>
        <v>100</v>
      </c>
      <c r="V32" s="705" t="s">
        <v>14</v>
      </c>
      <c r="W32" s="706">
        <f t="shared" si="12"/>
        <v>100</v>
      </c>
      <c r="X32" s="1355"/>
      <c r="Y32" s="372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8"/>
      <c r="Q33" s="1352">
        <f t="shared" si="8"/>
        <v>111</v>
      </c>
      <c r="R33" s="708" t="s">
        <v>14</v>
      </c>
      <c r="S33" s="709">
        <f t="shared" si="10"/>
        <v>100</v>
      </c>
      <c r="T33" s="708" t="s">
        <v>14</v>
      </c>
      <c r="U33" s="709">
        <f t="shared" si="11"/>
        <v>100</v>
      </c>
      <c r="V33" s="708" t="s">
        <v>14</v>
      </c>
      <c r="W33" s="709">
        <f t="shared" si="12"/>
        <v>100</v>
      </c>
      <c r="X33" s="710"/>
      <c r="Y33" s="372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8"/>
      <c r="Q34" s="1352" t="str">
        <f>B34</f>
        <v>宗地面积</v>
      </c>
      <c r="R34" s="705" t="s">
        <v>14</v>
      </c>
      <c r="S34" s="706" t="e">
        <f t="shared" si="10"/>
        <v>#N/A</v>
      </c>
      <c r="T34" s="705" t="s">
        <v>14</v>
      </c>
      <c r="U34" s="706" t="e">
        <f t="shared" si="11"/>
        <v>#N/A</v>
      </c>
      <c r="V34" s="705" t="s">
        <v>14</v>
      </c>
      <c r="W34" s="706" t="e">
        <f t="shared" si="12"/>
        <v>#N/A</v>
      </c>
      <c r="X34" s="1355"/>
      <c r="Y34" s="372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8"/>
      <c r="Q35" s="1352" t="str">
        <f t="shared" ref="Q35:Q40" si="14">B35</f>
        <v>宗地形状</v>
      </c>
      <c r="R35" s="705" t="s">
        <v>14</v>
      </c>
      <c r="S35" s="706">
        <f t="shared" si="10"/>
        <v>100</v>
      </c>
      <c r="T35" s="705" t="s">
        <v>14</v>
      </c>
      <c r="U35" s="706">
        <f t="shared" si="11"/>
        <v>100</v>
      </c>
      <c r="V35" s="705" t="s">
        <v>14</v>
      </c>
      <c r="W35" s="706">
        <f t="shared" si="12"/>
        <v>100</v>
      </c>
      <c r="X35" s="1355"/>
      <c r="Y35" s="372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8"/>
      <c r="Q36" s="1352" t="str">
        <f t="shared" si="14"/>
        <v>宗地开发程度</v>
      </c>
      <c r="R36" s="701" t="s">
        <v>14</v>
      </c>
      <c r="S36" s="702">
        <f t="shared" si="10"/>
        <v>100</v>
      </c>
      <c r="T36" s="701" t="s">
        <v>14</v>
      </c>
      <c r="U36" s="702">
        <f t="shared" si="11"/>
        <v>100</v>
      </c>
      <c r="V36" s="701" t="s">
        <v>14</v>
      </c>
      <c r="W36" s="702">
        <f t="shared" si="12"/>
        <v>100</v>
      </c>
      <c r="X36" s="703"/>
      <c r="Y36" s="372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8" t="s">
        <v>1696</v>
      </c>
      <c r="Q37" s="1352" t="str">
        <f t="shared" si="14"/>
        <v>工程地质条件</v>
      </c>
      <c r="R37" s="705" t="s">
        <v>14</v>
      </c>
      <c r="S37" s="706">
        <f t="shared" si="10"/>
        <v>100</v>
      </c>
      <c r="T37" s="705" t="s">
        <v>14</v>
      </c>
      <c r="U37" s="706">
        <f t="shared" si="11"/>
        <v>100</v>
      </c>
      <c r="V37" s="705" t="s">
        <v>14</v>
      </c>
      <c r="W37" s="706">
        <f t="shared" si="12"/>
        <v>100</v>
      </c>
      <c r="X37" s="1355"/>
      <c r="Y37" s="372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8"/>
      <c r="Q38" s="1352">
        <f t="shared" si="14"/>
        <v>111</v>
      </c>
      <c r="R38" s="705" t="s">
        <v>14</v>
      </c>
      <c r="S38" s="706">
        <f t="shared" si="10"/>
        <v>100</v>
      </c>
      <c r="T38" s="705" t="s">
        <v>14</v>
      </c>
      <c r="U38" s="706">
        <f t="shared" si="11"/>
        <v>100</v>
      </c>
      <c r="V38" s="705" t="s">
        <v>14</v>
      </c>
      <c r="W38" s="706">
        <f t="shared" si="12"/>
        <v>100</v>
      </c>
      <c r="X38" s="1355"/>
      <c r="Y38" s="372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8"/>
      <c r="Q39" s="1352">
        <f t="shared" si="14"/>
        <v>111</v>
      </c>
      <c r="R39" s="705" t="s">
        <v>14</v>
      </c>
      <c r="S39" s="706">
        <f t="shared" si="10"/>
        <v>100</v>
      </c>
      <c r="T39" s="705" t="s">
        <v>14</v>
      </c>
      <c r="U39" s="706">
        <f t="shared" si="11"/>
        <v>100</v>
      </c>
      <c r="V39" s="705" t="s">
        <v>14</v>
      </c>
      <c r="W39" s="706">
        <f t="shared" si="12"/>
        <v>100</v>
      </c>
      <c r="X39" s="1355"/>
      <c r="Y39" s="372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8"/>
      <c r="Q40" s="1352">
        <f t="shared" si="14"/>
        <v>111</v>
      </c>
      <c r="R40" s="708" t="s">
        <v>14</v>
      </c>
      <c r="S40" s="709">
        <f t="shared" si="10"/>
        <v>100</v>
      </c>
      <c r="T40" s="708" t="s">
        <v>14</v>
      </c>
      <c r="U40" s="709">
        <f t="shared" si="11"/>
        <v>100</v>
      </c>
      <c r="V40" s="708" t="s">
        <v>14</v>
      </c>
      <c r="W40" s="709">
        <f t="shared" si="12"/>
        <v>100</v>
      </c>
      <c r="X40" s="710"/>
      <c r="Y40" s="372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0" t="str">
        <f>A41</f>
        <v>成交单价</v>
      </c>
      <c r="Q41" s="3710"/>
      <c r="R41" s="3723">
        <f>E41</f>
        <v>0</v>
      </c>
      <c r="S41" s="3723"/>
      <c r="T41" s="3723">
        <f>G41</f>
        <v>0</v>
      </c>
      <c r="U41" s="3723"/>
      <c r="V41" s="3723">
        <f>I41</f>
        <v>0</v>
      </c>
      <c r="W41" s="372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0" t="str">
        <f>A42</f>
        <v>比较价值（元/平方米）</v>
      </c>
      <c r="Q42" s="3710"/>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0" t="str">
        <f>A43</f>
        <v>估价对象XX用房的比较价值（楼面单价，元/平方米）</v>
      </c>
      <c r="Q43" s="3731"/>
      <c r="R43" s="3732" t="e">
        <f>ROUND(IF(D42="简单平均",AVERAGE(R42:W42),R42*F42+T42*H42+V42*J42),0)</f>
        <v>#DIV/0!</v>
      </c>
      <c r="S43" s="3732"/>
      <c r="T43" s="3732"/>
      <c r="U43" s="3732"/>
      <c r="V43" s="3732"/>
      <c r="W43" s="373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1" t="s">
        <v>1887</v>
      </c>
      <c r="H50" s="373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65713.740000000005</v>
      </c>
      <c r="F51" s="639" t="e">
        <f t="shared" ref="F51:F60" si="15">ROUND(B51*E51/10000,0)</f>
        <v>#DIV/0!</v>
      </c>
      <c r="G51" s="3734"/>
      <c r="H51" s="371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16784.940000000002</v>
      </c>
      <c r="F56" s="639" t="e">
        <f t="shared" si="15"/>
        <v>#DIV/0!</v>
      </c>
      <c r="G56" s="1987" t="s">
        <v>1896</v>
      </c>
      <c r="H56" s="887" t="str">
        <f>项目基本情况!C37</f>
        <v>二级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二级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0.2</v>
      </c>
      <c r="D58" s="945">
        <v>0.25</v>
      </c>
      <c r="E58" s="217">
        <f>'数据-汇总表'!E13</f>
        <v>5437.93</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二级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16321.07</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v>
      </c>
      <c r="B3" s="3487"/>
      <c r="C3" s="3487"/>
      <c r="D3" s="3487"/>
      <c r="E3" s="3487"/>
    </row>
    <row r="4" spans="1:5" ht="19.5" thickBot="1">
      <c r="A4" s="1493"/>
      <c r="B4" s="3485" t="s">
        <v>917</v>
      </c>
      <c r="C4" s="3485"/>
      <c r="D4" s="3485"/>
      <c r="E4" s="1493"/>
    </row>
    <row r="5" spans="1:5" ht="16.5" thickTop="1">
      <c r="A5" s="1491"/>
      <c r="B5" s="3483" t="s">
        <v>909</v>
      </c>
      <c r="C5" s="1494" t="s">
        <v>910</v>
      </c>
      <c r="D5" s="850">
        <f ca="1">结果表!H101</f>
        <v>461821</v>
      </c>
      <c r="E5" s="1491"/>
    </row>
    <row r="6" spans="1:5" ht="15.75">
      <c r="A6" s="1491"/>
      <c r="B6" s="3483"/>
      <c r="C6" s="1494" t="s">
        <v>911</v>
      </c>
      <c r="D6" s="850" t="str">
        <f ca="1">NUMBERSTRING(INT(D5*10000),2)&amp;"元整"</f>
        <v>肆拾陆亿壹仟捌佰贰拾壹万元整</v>
      </c>
      <c r="E6" s="1491"/>
    </row>
    <row r="7" spans="1:5" ht="15.75">
      <c r="A7" s="1491"/>
      <c r="B7" s="3488"/>
      <c r="C7" s="1495" t="s">
        <v>912</v>
      </c>
      <c r="D7" s="851">
        <f ca="1">结果表!H102</f>
        <v>52517</v>
      </c>
      <c r="E7" s="1491"/>
    </row>
    <row r="8" spans="1:5" ht="15.75">
      <c r="A8" s="1491"/>
      <c r="B8" s="3489" t="str">
        <f>结果表!E103</f>
        <v>2.估价师知悉的法定优先受偿款</v>
      </c>
      <c r="C8" s="1496" t="s">
        <v>913</v>
      </c>
      <c r="D8" s="851">
        <f>结果表!H103</f>
        <v>0</v>
      </c>
      <c r="E8" s="1491"/>
    </row>
    <row r="9" spans="1:5" ht="15.75">
      <c r="A9" s="1491"/>
      <c r="B9" s="349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2" t="str">
        <f>结果表!E107</f>
        <v>3.房地产抵押价值</v>
      </c>
      <c r="C13" s="1499" t="s">
        <v>910</v>
      </c>
      <c r="D13" s="853">
        <f ca="1">结果表!H107</f>
        <v>461821</v>
      </c>
      <c r="E13" s="1491"/>
    </row>
    <row r="14" spans="1:5" ht="15.75">
      <c r="A14" s="1491"/>
      <c r="B14" s="3483"/>
      <c r="C14" s="1494" t="s">
        <v>911</v>
      </c>
      <c r="D14" s="850" t="str">
        <f ca="1">NUMBERSTRING(INT(D13*10000),2)&amp;"元整"</f>
        <v>肆拾陆亿壹仟捌佰贰拾壹万元整</v>
      </c>
      <c r="E14" s="1491"/>
    </row>
    <row r="15" spans="1:5" ht="15">
      <c r="A15" s="1491"/>
      <c r="B15" s="3488"/>
      <c r="C15" s="1495" t="s">
        <v>921</v>
      </c>
      <c r="D15" s="859">
        <f ca="1">结果表!H108</f>
        <v>52517</v>
      </c>
      <c r="E15" s="1491"/>
    </row>
    <row r="16" spans="1:5" ht="15">
      <c r="A16" s="1491"/>
      <c r="B16" s="3489" t="str">
        <f>结果表!E109</f>
        <v>——</v>
      </c>
      <c r="C16" s="1499" t="s">
        <v>922</v>
      </c>
      <c r="D16" s="1500" t="str">
        <f>结果表!H109</f>
        <v>——</v>
      </c>
      <c r="E16" s="1491"/>
    </row>
    <row r="17" spans="1:5" ht="15.75">
      <c r="A17" s="1491"/>
      <c r="B17" s="3490"/>
      <c r="C17" s="1494" t="s">
        <v>923</v>
      </c>
      <c r="D17" s="850" t="e">
        <f>NUMBERSTRING(INT(D16*10000),2)&amp;"元整"</f>
        <v>#VALUE!</v>
      </c>
      <c r="E17" s="1491"/>
    </row>
    <row r="18" spans="1:5" ht="15">
      <c r="A18" s="1491"/>
      <c r="B18" s="3491"/>
      <c r="C18" s="1495" t="s">
        <v>912</v>
      </c>
      <c r="D18" s="859" t="str">
        <f>结果表!H110</f>
        <v>——</v>
      </c>
      <c r="E18" s="1491"/>
    </row>
    <row r="19" spans="1:5" ht="15.75">
      <c r="A19" s="1491"/>
      <c r="B19" s="3482" t="str">
        <f>结果表!E111</f>
        <v>——</v>
      </c>
      <c r="C19" s="1499" t="s">
        <v>910</v>
      </c>
      <c r="D19" s="851" t="str">
        <f>结果表!H111</f>
        <v>——</v>
      </c>
      <c r="E19" s="1491"/>
    </row>
    <row r="20" spans="1:5" ht="15.75">
      <c r="A20" s="1491"/>
      <c r="B20" s="3483"/>
      <c r="C20" s="1494" t="s">
        <v>923</v>
      </c>
      <c r="D20" s="850" t="e">
        <f>NUMBERSTRING(INT(D19*10000),2)&amp;"元整"</f>
        <v>#VALUE!</v>
      </c>
      <c r="E20" s="1491"/>
    </row>
    <row r="21" spans="1:5" ht="15.75" thickBot="1">
      <c r="A21" s="1491"/>
      <c r="B21" s="348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5" t="s">
        <v>2084</v>
      </c>
      <c r="D1" s="3786"/>
      <c r="E1" s="3786"/>
      <c r="F1" s="3786"/>
      <c r="G1" s="3786"/>
      <c r="H1" s="3786"/>
      <c r="I1" s="3786"/>
      <c r="J1" s="3786"/>
      <c r="K1" s="3786"/>
      <c r="L1" s="3786"/>
      <c r="M1" s="3786"/>
      <c r="N1" s="3786"/>
      <c r="O1" s="3786"/>
      <c r="P1" s="3786"/>
      <c r="Q1" s="3786"/>
      <c r="R1" s="3786"/>
      <c r="S1" s="378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2" t="s">
        <v>27</v>
      </c>
      <c r="D22" s="3783"/>
      <c r="E22" s="3783"/>
      <c r="F22" s="3783"/>
      <c r="G22" s="3783"/>
      <c r="H22" s="3783"/>
      <c r="I22" s="3783"/>
      <c r="J22" s="3783"/>
      <c r="K22" s="3783"/>
      <c r="L22" s="3783"/>
      <c r="M22" s="3783"/>
      <c r="N22" s="3783"/>
      <c r="O22" s="3783"/>
      <c r="P22" s="3783"/>
      <c r="Q22" s="378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174351</v>
      </c>
      <c r="C2" s="2145" t="s">
        <v>2074</v>
      </c>
      <c r="D2" s="2145" t="s">
        <v>2075</v>
      </c>
      <c r="E2" s="2612">
        <f ca="1">SUMIF(E6:E13,"&lt;&gt;#ref!",E6:E13)</f>
        <v>79701.920000000013</v>
      </c>
      <c r="F2" s="2793"/>
      <c r="G2" s="2793"/>
      <c r="H2" s="2793"/>
      <c r="I2" s="2793"/>
      <c r="J2" s="2793"/>
      <c r="K2" s="2793"/>
      <c r="L2" s="2793"/>
      <c r="M2" s="2793"/>
      <c r="N2" s="2793"/>
      <c r="O2" s="2793"/>
      <c r="P2" s="2793"/>
    </row>
    <row r="3" spans="1:16" ht="15.75">
      <c r="A3" s="2145" t="s">
        <v>2076</v>
      </c>
      <c r="B3" s="2602">
        <f ca="1">ROUND(B2*10000/E2,0)</f>
        <v>21875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174351</v>
      </c>
      <c r="C6" s="2145" t="s">
        <v>2074</v>
      </c>
      <c r="D6" s="2793"/>
      <c r="E6" s="2612">
        <f ca="1">SUMIF(INDIRECT("'"&amp;A6&amp;"'"&amp;"!C:C"),"建筑面积",INDIRECT("'"&amp;A6&amp;"'"&amp;"!D:D"))</f>
        <v>79701.920000000013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95" t="s">
        <v>2611</v>
      </c>
      <c r="B20" s="3788" t="s">
        <v>2632</v>
      </c>
      <c r="C20" s="3103" t="s">
        <v>2443</v>
      </c>
      <c r="D20" s="3104"/>
      <c r="E20" s="3105">
        <v>1</v>
      </c>
      <c r="F20" s="3106" t="s">
        <v>2444</v>
      </c>
      <c r="G20" s="3106"/>
    </row>
    <row r="21" spans="1:13" ht="19.5" customHeight="1">
      <c r="A21" s="3796"/>
      <c r="B21" s="3789"/>
      <c r="C21" s="3107" t="s">
        <v>2445</v>
      </c>
      <c r="D21" s="3108"/>
      <c r="E21" s="3109">
        <v>1</v>
      </c>
      <c r="F21" s="3106" t="s">
        <v>2446</v>
      </c>
      <c r="G21" s="3106"/>
    </row>
    <row r="22" spans="1:13" ht="19.5" customHeight="1">
      <c r="A22" s="3796"/>
      <c r="B22" s="3789"/>
      <c r="C22" s="3107" t="s">
        <v>2447</v>
      </c>
      <c r="D22" s="3108"/>
      <c r="E22" s="3109">
        <v>0.9</v>
      </c>
      <c r="F22" s="3106" t="s">
        <v>2448</v>
      </c>
      <c r="G22" s="3106"/>
    </row>
    <row r="23" spans="1:13" ht="19.5" customHeight="1">
      <c r="A23" s="3796"/>
      <c r="B23" s="3789"/>
      <c r="C23" s="3107" t="s">
        <v>2449</v>
      </c>
      <c r="D23" s="3108"/>
      <c r="E23" s="3109">
        <v>0.9</v>
      </c>
      <c r="F23" s="3106" t="s">
        <v>2450</v>
      </c>
      <c r="G23" s="3106"/>
    </row>
    <row r="24" spans="1:13" ht="19.5" customHeight="1">
      <c r="A24" s="3796"/>
      <c r="B24" s="3789"/>
      <c r="C24" s="3107" t="s">
        <v>2451</v>
      </c>
      <c r="D24" s="3108"/>
      <c r="E24" s="3109">
        <v>0.8</v>
      </c>
      <c r="F24" s="3106" t="s">
        <v>2452</v>
      </c>
      <c r="G24" s="3106"/>
    </row>
    <row r="25" spans="1:13" ht="19.5" customHeight="1" thickBot="1">
      <c r="A25" s="3797"/>
      <c r="B25" s="3790"/>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91" t="s">
        <v>2635</v>
      </c>
      <c r="B27" s="3788" t="s">
        <v>2616</v>
      </c>
      <c r="C27" s="3103" t="s">
        <v>2456</v>
      </c>
      <c r="D27" s="3104"/>
      <c r="E27" s="3105">
        <v>1</v>
      </c>
      <c r="F27" s="3106" t="s">
        <v>2457</v>
      </c>
      <c r="G27" s="3106"/>
    </row>
    <row r="28" spans="1:13" ht="19.5" customHeight="1">
      <c r="A28" s="3792"/>
      <c r="B28" s="3789"/>
      <c r="C28" s="3107" t="s">
        <v>2458</v>
      </c>
      <c r="D28" s="3108"/>
      <c r="E28" s="3109">
        <v>1</v>
      </c>
      <c r="F28" s="3106" t="s">
        <v>2459</v>
      </c>
      <c r="G28" s="3106"/>
    </row>
    <row r="29" spans="1:13" ht="19.5" customHeight="1">
      <c r="A29" s="3792"/>
      <c r="B29" s="3789"/>
      <c r="C29" s="3107" t="s">
        <v>2460</v>
      </c>
      <c r="D29" s="3108"/>
      <c r="E29" s="3109">
        <v>0.8</v>
      </c>
      <c r="F29" s="3106" t="s">
        <v>2461</v>
      </c>
      <c r="G29" s="3106"/>
    </row>
    <row r="30" spans="1:13" ht="19.5" customHeight="1">
      <c r="A30" s="3792"/>
      <c r="B30" s="3789"/>
      <c r="C30" s="3107" t="s">
        <v>2462</v>
      </c>
      <c r="D30" s="3108"/>
      <c r="E30" s="3109">
        <v>0.8</v>
      </c>
      <c r="F30" s="3106" t="s">
        <v>2463</v>
      </c>
      <c r="G30" s="3106"/>
    </row>
    <row r="31" spans="1:13" ht="19.5" customHeight="1">
      <c r="A31" s="3792"/>
      <c r="B31" s="3789"/>
      <c r="C31" s="3107" t="s">
        <v>2464</v>
      </c>
      <c r="D31" s="3108"/>
      <c r="E31" s="3109">
        <v>0.8</v>
      </c>
      <c r="F31" s="3106" t="s">
        <v>2465</v>
      </c>
      <c r="G31" s="3106"/>
    </row>
    <row r="32" spans="1:13" ht="19.5" customHeight="1">
      <c r="A32" s="3792"/>
      <c r="B32" s="3789"/>
      <c r="C32" s="3107" t="s">
        <v>2466</v>
      </c>
      <c r="D32" s="3108"/>
      <c r="E32" s="3109">
        <v>0.7</v>
      </c>
      <c r="F32" s="3106" t="s">
        <v>2467</v>
      </c>
      <c r="G32" s="3106"/>
    </row>
    <row r="33" spans="1:7" ht="19.5" customHeight="1">
      <c r="A33" s="3792"/>
      <c r="B33" s="3789"/>
      <c r="C33" s="3107" t="s">
        <v>2468</v>
      </c>
      <c r="D33" s="3108"/>
      <c r="E33" s="3109">
        <v>0.8</v>
      </c>
      <c r="F33" s="3106" t="s">
        <v>2469</v>
      </c>
      <c r="G33" s="3106"/>
    </row>
    <row r="34" spans="1:7" ht="19.5" customHeight="1">
      <c r="A34" s="3792"/>
      <c r="B34" s="3789"/>
      <c r="C34" s="3107" t="s">
        <v>2470</v>
      </c>
      <c r="D34" s="3108"/>
      <c r="E34" s="3109">
        <v>0.6</v>
      </c>
      <c r="F34" s="3106" t="s">
        <v>2471</v>
      </c>
      <c r="G34" s="3106"/>
    </row>
    <row r="35" spans="1:7" ht="19.5" customHeight="1">
      <c r="A35" s="3792"/>
      <c r="B35" s="3789"/>
      <c r="C35" s="3107" t="s">
        <v>2472</v>
      </c>
      <c r="D35" s="3108"/>
      <c r="E35" s="3109">
        <v>0.2</v>
      </c>
      <c r="F35" s="3106" t="s">
        <v>2473</v>
      </c>
      <c r="G35" s="3106"/>
    </row>
    <row r="36" spans="1:7" ht="19.5" customHeight="1">
      <c r="A36" s="3792"/>
      <c r="B36" s="3789"/>
      <c r="C36" s="3107" t="s">
        <v>2474</v>
      </c>
      <c r="D36" s="3108"/>
      <c r="E36" s="3109">
        <v>0.2</v>
      </c>
      <c r="F36" s="3106" t="s">
        <v>2475</v>
      </c>
      <c r="G36" s="3106"/>
    </row>
    <row r="37" spans="1:7" ht="19.5" customHeight="1">
      <c r="A37" s="3792"/>
      <c r="B37" s="3794" t="s">
        <v>2636</v>
      </c>
      <c r="C37" s="3107" t="s">
        <v>2476</v>
      </c>
      <c r="D37" s="3108"/>
      <c r="E37" s="3109">
        <v>0.6</v>
      </c>
      <c r="F37" s="3106" t="s">
        <v>2477</v>
      </c>
      <c r="G37" s="3106"/>
    </row>
    <row r="38" spans="1:7" ht="19.5" customHeight="1">
      <c r="A38" s="3792"/>
      <c r="B38" s="3789"/>
      <c r="C38" s="3107" t="s">
        <v>2478</v>
      </c>
      <c r="D38" s="3108"/>
      <c r="E38" s="3109">
        <v>0.6</v>
      </c>
      <c r="F38" s="3106" t="s">
        <v>2479</v>
      </c>
      <c r="G38" s="3106"/>
    </row>
    <row r="39" spans="1:7" ht="19.5" customHeight="1" thickBot="1">
      <c r="A39" s="3793"/>
      <c r="B39" s="3790"/>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95" t="s">
        <v>2614</v>
      </c>
      <c r="B41" s="3788" t="s">
        <v>2638</v>
      </c>
      <c r="C41" s="3103" t="s">
        <v>2483</v>
      </c>
      <c r="D41" s="3104"/>
      <c r="E41" s="3105">
        <v>1</v>
      </c>
      <c r="F41" s="3106" t="s">
        <v>2484</v>
      </c>
      <c r="G41" s="3106"/>
    </row>
    <row r="42" spans="1:7" ht="19.5" customHeight="1">
      <c r="A42" s="3796"/>
      <c r="B42" s="3789"/>
      <c r="C42" s="3107" t="s">
        <v>2485</v>
      </c>
      <c r="D42" s="3108"/>
      <c r="E42" s="3109">
        <v>1</v>
      </c>
      <c r="F42" s="3106" t="s">
        <v>2486</v>
      </c>
      <c r="G42" s="3106"/>
    </row>
    <row r="43" spans="1:7" ht="19.5" customHeight="1">
      <c r="A43" s="3796"/>
      <c r="B43" s="3798"/>
      <c r="C43" s="3107" t="s">
        <v>2487</v>
      </c>
      <c r="D43" s="3108"/>
      <c r="E43" s="3109">
        <v>1.5</v>
      </c>
      <c r="F43" s="3106" t="s">
        <v>2488</v>
      </c>
      <c r="G43" s="3106"/>
    </row>
    <row r="44" spans="1:7" ht="19.5" customHeight="1">
      <c r="A44" s="3796"/>
      <c r="B44" s="3118" t="s">
        <v>2639</v>
      </c>
      <c r="C44" s="3107" t="s">
        <v>2640</v>
      </c>
      <c r="D44" s="3108"/>
      <c r="E44" s="3109">
        <v>2</v>
      </c>
      <c r="F44" s="3106" t="s">
        <v>2489</v>
      </c>
      <c r="G44" s="3106"/>
    </row>
    <row r="45" spans="1:7" ht="19.5" customHeight="1">
      <c r="A45" s="3796"/>
      <c r="B45" s="3794" t="s">
        <v>2641</v>
      </c>
      <c r="C45" s="3107" t="s">
        <v>2490</v>
      </c>
      <c r="D45" s="3108"/>
      <c r="E45" s="3109">
        <v>1</v>
      </c>
      <c r="F45" s="3106" t="s">
        <v>2491</v>
      </c>
      <c r="G45" s="3106"/>
    </row>
    <row r="46" spans="1:7" ht="19.5" customHeight="1">
      <c r="A46" s="3796"/>
      <c r="B46" s="3789"/>
      <c r="C46" s="3107" t="s">
        <v>2492</v>
      </c>
      <c r="D46" s="3108"/>
      <c r="E46" s="3109">
        <v>1</v>
      </c>
      <c r="F46" s="3106" t="s">
        <v>2493</v>
      </c>
      <c r="G46" s="3106"/>
    </row>
    <row r="47" spans="1:7" ht="19.5" customHeight="1">
      <c r="A47" s="3796"/>
      <c r="B47" s="3789"/>
      <c r="C47" s="3107" t="s">
        <v>2494</v>
      </c>
      <c r="D47" s="3108"/>
      <c r="E47" s="3109">
        <v>1</v>
      </c>
      <c r="F47" s="3106" t="s">
        <v>2495</v>
      </c>
      <c r="G47" s="3106"/>
    </row>
    <row r="48" spans="1:7" ht="19.5" customHeight="1">
      <c r="A48" s="3796"/>
      <c r="B48" s="3789"/>
      <c r="C48" s="3107" t="s">
        <v>2496</v>
      </c>
      <c r="D48" s="3108"/>
      <c r="E48" s="3109">
        <v>1</v>
      </c>
      <c r="F48" s="3106" t="s">
        <v>2497</v>
      </c>
      <c r="G48" s="3106"/>
    </row>
    <row r="49" spans="1:7" ht="19.5" customHeight="1">
      <c r="A49" s="3796"/>
      <c r="B49" s="3789"/>
      <c r="C49" s="3107" t="s">
        <v>2498</v>
      </c>
      <c r="D49" s="3108"/>
      <c r="E49" s="3109">
        <v>1</v>
      </c>
      <c r="F49" s="3106" t="s">
        <v>2499</v>
      </c>
      <c r="G49" s="3106"/>
    </row>
    <row r="50" spans="1:7" ht="19.5" customHeight="1">
      <c r="A50" s="3796"/>
      <c r="B50" s="3789"/>
      <c r="C50" s="3107" t="s">
        <v>2500</v>
      </c>
      <c r="D50" s="3108"/>
      <c r="E50" s="3109">
        <v>1</v>
      </c>
      <c r="F50" s="3106" t="s">
        <v>2501</v>
      </c>
      <c r="G50" s="3106"/>
    </row>
    <row r="51" spans="1:7" ht="19.5" customHeight="1" thickBot="1">
      <c r="A51" s="3797"/>
      <c r="B51" s="3790"/>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94" t="s">
        <v>2655</v>
      </c>
      <c r="C73" s="3092" t="s">
        <v>2656</v>
      </c>
      <c r="D73" s="3092" t="s">
        <v>2657</v>
      </c>
      <c r="E73" s="3118">
        <v>0.2</v>
      </c>
      <c r="F73" s="3118">
        <v>25</v>
      </c>
    </row>
    <row r="74" spans="1:7" ht="24">
      <c r="A74" s="3118">
        <v>2</v>
      </c>
      <c r="B74" s="3789"/>
      <c r="C74" s="3092" t="s">
        <v>2658</v>
      </c>
      <c r="D74" s="3092" t="s">
        <v>2659</v>
      </c>
      <c r="E74" s="3118">
        <v>0.2</v>
      </c>
      <c r="F74" s="3118">
        <v>25</v>
      </c>
    </row>
    <row r="75" spans="1:7" ht="24">
      <c r="A75" s="3118">
        <v>3</v>
      </c>
      <c r="B75" s="3789"/>
      <c r="C75" s="3092" t="s">
        <v>2660</v>
      </c>
      <c r="D75" s="3092" t="s">
        <v>2661</v>
      </c>
      <c r="E75" s="3118">
        <v>0.2</v>
      </c>
      <c r="F75" s="3118">
        <v>25</v>
      </c>
    </row>
    <row r="76" spans="1:7" ht="13.5">
      <c r="A76" s="3118">
        <v>4</v>
      </c>
      <c r="B76" s="3789"/>
      <c r="C76" s="3092" t="s">
        <v>2662</v>
      </c>
      <c r="D76" s="3092" t="s">
        <v>2663</v>
      </c>
      <c r="E76" s="3118">
        <v>0.15</v>
      </c>
      <c r="F76" s="3118">
        <v>20</v>
      </c>
    </row>
    <row r="77" spans="1:7" ht="24">
      <c r="A77" s="3118">
        <v>5</v>
      </c>
      <c r="B77" s="3789"/>
      <c r="C77" s="3092" t="s">
        <v>2664</v>
      </c>
      <c r="D77" s="3092" t="s">
        <v>2665</v>
      </c>
      <c r="E77" s="3118">
        <v>0.15</v>
      </c>
      <c r="F77" s="3118">
        <v>20</v>
      </c>
    </row>
    <row r="78" spans="1:7" ht="24">
      <c r="A78" s="3118">
        <v>6</v>
      </c>
      <c r="B78" s="3789"/>
      <c r="C78" s="3092" t="s">
        <v>2666</v>
      </c>
      <c r="D78" s="3092" t="s">
        <v>2667</v>
      </c>
      <c r="E78" s="3118">
        <v>0.15</v>
      </c>
      <c r="F78" s="3118">
        <v>20</v>
      </c>
    </row>
    <row r="79" spans="1:7" ht="24">
      <c r="A79" s="3118">
        <v>7</v>
      </c>
      <c r="B79" s="3789"/>
      <c r="C79" s="3092" t="s">
        <v>2668</v>
      </c>
      <c r="D79" s="3092" t="s">
        <v>2669</v>
      </c>
      <c r="E79" s="3118">
        <v>0.15</v>
      </c>
      <c r="F79" s="3118">
        <v>20</v>
      </c>
    </row>
    <row r="80" spans="1:7" ht="24">
      <c r="A80" s="3118">
        <v>8</v>
      </c>
      <c r="B80" s="3789"/>
      <c r="C80" s="3092" t="s">
        <v>2670</v>
      </c>
      <c r="D80" s="3092" t="s">
        <v>2671</v>
      </c>
      <c r="E80" s="3118">
        <v>0.1</v>
      </c>
      <c r="F80" s="3118">
        <v>15</v>
      </c>
    </row>
    <row r="81" spans="1:6" ht="24">
      <c r="A81" s="3118">
        <v>9</v>
      </c>
      <c r="B81" s="3789"/>
      <c r="C81" s="3092" t="s">
        <v>2672</v>
      </c>
      <c r="D81" s="3092" t="s">
        <v>2673</v>
      </c>
      <c r="E81" s="3118">
        <v>0.1</v>
      </c>
      <c r="F81" s="3118">
        <v>15</v>
      </c>
    </row>
    <row r="82" spans="1:6" ht="24">
      <c r="A82" s="3118">
        <v>10</v>
      </c>
      <c r="B82" s="3789"/>
      <c r="C82" s="3092" t="s">
        <v>2674</v>
      </c>
      <c r="D82" s="3092" t="s">
        <v>2675</v>
      </c>
      <c r="E82" s="3118">
        <v>0.1</v>
      </c>
      <c r="F82" s="3118">
        <v>15</v>
      </c>
    </row>
    <row r="83" spans="1:6" ht="24">
      <c r="A83" s="3118">
        <v>11</v>
      </c>
      <c r="B83" s="3789"/>
      <c r="C83" s="3092" t="s">
        <v>2676</v>
      </c>
      <c r="D83" s="3092" t="s">
        <v>2677</v>
      </c>
      <c r="E83" s="3118">
        <v>0.1</v>
      </c>
      <c r="F83" s="3118">
        <v>15</v>
      </c>
    </row>
    <row r="84" spans="1:6" ht="24">
      <c r="A84" s="3118">
        <v>12</v>
      </c>
      <c r="B84" s="3789"/>
      <c r="C84" s="3092" t="s">
        <v>2678</v>
      </c>
      <c r="D84" s="3092" t="s">
        <v>2679</v>
      </c>
      <c r="E84" s="3118">
        <v>0.1</v>
      </c>
      <c r="F84" s="3118">
        <v>15</v>
      </c>
    </row>
    <row r="85" spans="1:6" ht="13.5">
      <c r="A85" s="3118">
        <v>13</v>
      </c>
      <c r="B85" s="3789"/>
      <c r="C85" s="3092" t="s">
        <v>2680</v>
      </c>
      <c r="D85" s="3092" t="s">
        <v>2681</v>
      </c>
      <c r="E85" s="3118">
        <v>0.1</v>
      </c>
      <c r="F85" s="3118">
        <v>15</v>
      </c>
    </row>
    <row r="86" spans="1:6" ht="13.5">
      <c r="A86" s="3118">
        <v>14</v>
      </c>
      <c r="B86" s="3789"/>
      <c r="C86" s="3092" t="s">
        <v>2682</v>
      </c>
      <c r="D86" s="3092" t="s">
        <v>2683</v>
      </c>
      <c r="E86" s="3118">
        <v>0.1</v>
      </c>
      <c r="F86" s="3118">
        <v>15</v>
      </c>
    </row>
    <row r="87" spans="1:6" ht="13.5">
      <c r="A87" s="3118">
        <v>15</v>
      </c>
      <c r="B87" s="3789"/>
      <c r="C87" s="3092" t="s">
        <v>2684</v>
      </c>
      <c r="D87" s="3092" t="s">
        <v>2685</v>
      </c>
      <c r="E87" s="3118">
        <v>0.1</v>
      </c>
      <c r="F87" s="3118">
        <v>15</v>
      </c>
    </row>
    <row r="88" spans="1:6" ht="24">
      <c r="A88" s="3118">
        <v>16</v>
      </c>
      <c r="B88" s="3789"/>
      <c r="C88" s="3092" t="s">
        <v>2686</v>
      </c>
      <c r="D88" s="3092" t="s">
        <v>2687</v>
      </c>
      <c r="E88" s="3118">
        <v>0.1</v>
      </c>
      <c r="F88" s="3118">
        <v>15</v>
      </c>
    </row>
    <row r="89" spans="1:6" ht="24">
      <c r="A89" s="3118">
        <v>17</v>
      </c>
      <c r="B89" s="3798"/>
      <c r="C89" s="3092" t="s">
        <v>2688</v>
      </c>
      <c r="D89" s="3092" t="s">
        <v>2689</v>
      </c>
      <c r="E89" s="3118">
        <v>0.1</v>
      </c>
      <c r="F89" s="3118">
        <v>15</v>
      </c>
    </row>
    <row r="90" spans="1:6" ht="13.5">
      <c r="A90" s="3118">
        <v>18</v>
      </c>
      <c r="B90" s="3794" t="s">
        <v>2690</v>
      </c>
      <c r="C90" s="3092" t="s">
        <v>2691</v>
      </c>
      <c r="D90" s="3092" t="s">
        <v>2692</v>
      </c>
      <c r="E90" s="3118">
        <v>0.2</v>
      </c>
      <c r="F90" s="3118">
        <v>25</v>
      </c>
    </row>
    <row r="91" spans="1:6" ht="24">
      <c r="A91" s="3118">
        <v>19</v>
      </c>
      <c r="B91" s="3789"/>
      <c r="C91" s="3092" t="s">
        <v>2693</v>
      </c>
      <c r="D91" s="3092" t="s">
        <v>2694</v>
      </c>
      <c r="E91" s="3118">
        <v>0.2</v>
      </c>
      <c r="F91" s="3118">
        <v>25</v>
      </c>
    </row>
    <row r="92" spans="1:6" ht="13.5">
      <c r="A92" s="3118">
        <v>20</v>
      </c>
      <c r="B92" s="3789"/>
      <c r="C92" s="3092" t="s">
        <v>2695</v>
      </c>
      <c r="D92" s="3092" t="s">
        <v>2696</v>
      </c>
      <c r="E92" s="3118">
        <v>0.15</v>
      </c>
      <c r="F92" s="3118">
        <v>20</v>
      </c>
    </row>
    <row r="93" spans="1:6" ht="13.5">
      <c r="A93" s="3118">
        <v>21</v>
      </c>
      <c r="B93" s="3789"/>
      <c r="C93" s="3092" t="s">
        <v>2697</v>
      </c>
      <c r="D93" s="3092" t="s">
        <v>2698</v>
      </c>
      <c r="E93" s="3118">
        <v>0.15</v>
      </c>
      <c r="F93" s="3118">
        <v>20</v>
      </c>
    </row>
    <row r="94" spans="1:6" ht="13.5">
      <c r="A94" s="3118">
        <v>22</v>
      </c>
      <c r="B94" s="3789"/>
      <c r="C94" s="3092" t="s">
        <v>2699</v>
      </c>
      <c r="D94" s="3092" t="s">
        <v>2700</v>
      </c>
      <c r="E94" s="3118">
        <v>0.15</v>
      </c>
      <c r="F94" s="3118">
        <v>20</v>
      </c>
    </row>
    <row r="95" spans="1:6" ht="36">
      <c r="A95" s="3118">
        <v>23</v>
      </c>
      <c r="B95" s="3789"/>
      <c r="C95" s="3092" t="s">
        <v>2701</v>
      </c>
      <c r="D95" s="3092" t="s">
        <v>2702</v>
      </c>
      <c r="E95" s="3118">
        <v>0.15</v>
      </c>
      <c r="F95" s="3118">
        <v>20</v>
      </c>
    </row>
    <row r="96" spans="1:6" ht="13.5">
      <c r="A96" s="3118">
        <v>24</v>
      </c>
      <c r="B96" s="3789"/>
      <c r="C96" s="3092" t="s">
        <v>2703</v>
      </c>
      <c r="D96" s="3092" t="s">
        <v>2704</v>
      </c>
      <c r="E96" s="3118">
        <v>0.1</v>
      </c>
      <c r="F96" s="3118">
        <v>15</v>
      </c>
    </row>
    <row r="97" spans="1:6" ht="13.5">
      <c r="A97" s="3118">
        <v>25</v>
      </c>
      <c r="B97" s="3789"/>
      <c r="C97" s="3092" t="s">
        <v>2705</v>
      </c>
      <c r="D97" s="3092" t="s">
        <v>2706</v>
      </c>
      <c r="E97" s="3118">
        <v>0.1</v>
      </c>
      <c r="F97" s="3118">
        <v>15</v>
      </c>
    </row>
    <row r="98" spans="1:6" ht="24">
      <c r="A98" s="3118">
        <v>26</v>
      </c>
      <c r="B98" s="3789"/>
      <c r="C98" s="3092" t="s">
        <v>2707</v>
      </c>
      <c r="D98" s="3092" t="s">
        <v>2708</v>
      </c>
      <c r="E98" s="3118">
        <v>0.1</v>
      </c>
      <c r="F98" s="3118">
        <v>15</v>
      </c>
    </row>
    <row r="99" spans="1:6" ht="24">
      <c r="A99" s="3118">
        <v>27</v>
      </c>
      <c r="B99" s="3789"/>
      <c r="C99" s="3092" t="s">
        <v>2709</v>
      </c>
      <c r="D99" s="3092" t="s">
        <v>2710</v>
      </c>
      <c r="E99" s="3118">
        <v>0.1</v>
      </c>
      <c r="F99" s="3118">
        <v>15</v>
      </c>
    </row>
    <row r="100" spans="1:6" ht="13.5">
      <c r="A100" s="3118">
        <v>28</v>
      </c>
      <c r="B100" s="3789"/>
      <c r="C100" s="3092" t="s">
        <v>2711</v>
      </c>
      <c r="D100" s="3092" t="s">
        <v>2712</v>
      </c>
      <c r="E100" s="3118">
        <v>0.1</v>
      </c>
      <c r="F100" s="3118">
        <v>15</v>
      </c>
    </row>
    <row r="101" spans="1:6" ht="13.5">
      <c r="A101" s="3118">
        <v>29</v>
      </c>
      <c r="B101" s="3789"/>
      <c r="C101" s="3092" t="s">
        <v>2713</v>
      </c>
      <c r="D101" s="3092" t="s">
        <v>2714</v>
      </c>
      <c r="E101" s="3118">
        <v>0.1</v>
      </c>
      <c r="F101" s="3118">
        <v>15</v>
      </c>
    </row>
    <row r="102" spans="1:6" ht="13.5">
      <c r="A102" s="3118">
        <v>30</v>
      </c>
      <c r="B102" s="3789"/>
      <c r="C102" s="3092" t="s">
        <v>2715</v>
      </c>
      <c r="D102" s="3092" t="s">
        <v>2716</v>
      </c>
      <c r="E102" s="3118">
        <v>0.1</v>
      </c>
      <c r="F102" s="3118">
        <v>15</v>
      </c>
    </row>
    <row r="103" spans="1:6" ht="24">
      <c r="A103" s="3118">
        <v>31</v>
      </c>
      <c r="B103" s="3789"/>
      <c r="C103" s="3092" t="s">
        <v>2717</v>
      </c>
      <c r="D103" s="3092" t="s">
        <v>2718</v>
      </c>
      <c r="E103" s="3118">
        <v>0.1</v>
      </c>
      <c r="F103" s="3118">
        <v>15</v>
      </c>
    </row>
    <row r="104" spans="1:6" ht="24">
      <c r="A104" s="3118">
        <v>32</v>
      </c>
      <c r="B104" s="3789"/>
      <c r="C104" s="3092" t="s">
        <v>2719</v>
      </c>
      <c r="D104" s="3092" t="s">
        <v>2720</v>
      </c>
      <c r="E104" s="3118">
        <v>0.1</v>
      </c>
      <c r="F104" s="3118">
        <v>15</v>
      </c>
    </row>
    <row r="105" spans="1:6" ht="24">
      <c r="A105" s="3118">
        <v>33</v>
      </c>
      <c r="B105" s="3789"/>
      <c r="C105" s="3092" t="s">
        <v>2721</v>
      </c>
      <c r="D105" s="3092" t="s">
        <v>2722</v>
      </c>
      <c r="E105" s="3118">
        <v>0.1</v>
      </c>
      <c r="F105" s="3118">
        <v>15</v>
      </c>
    </row>
    <row r="106" spans="1:6" ht="24">
      <c r="A106" s="3118">
        <v>34</v>
      </c>
      <c r="B106" s="3798"/>
      <c r="C106" s="3092" t="s">
        <v>2723</v>
      </c>
      <c r="D106" s="3092" t="s">
        <v>2724</v>
      </c>
      <c r="E106" s="3118">
        <v>0.1</v>
      </c>
      <c r="F106" s="3118">
        <v>15</v>
      </c>
    </row>
    <row r="107" spans="1:6" ht="24">
      <c r="A107" s="3118">
        <v>35</v>
      </c>
      <c r="B107" s="3794" t="s">
        <v>2725</v>
      </c>
      <c r="C107" s="3118" t="s">
        <v>2726</v>
      </c>
      <c r="D107" s="3092" t="s">
        <v>2727</v>
      </c>
      <c r="E107" s="3118">
        <v>0.15</v>
      </c>
      <c r="F107" s="3118">
        <v>20</v>
      </c>
    </row>
    <row r="108" spans="1:6" ht="13.5">
      <c r="A108" s="3118">
        <v>36</v>
      </c>
      <c r="B108" s="3789"/>
      <c r="C108" s="3118" t="s">
        <v>2728</v>
      </c>
      <c r="D108" s="3092" t="s">
        <v>2729</v>
      </c>
      <c r="E108" s="3118">
        <v>0.15</v>
      </c>
      <c r="F108" s="3118">
        <v>20</v>
      </c>
    </row>
    <row r="109" spans="1:6" ht="13.5">
      <c r="A109" s="3118">
        <v>37</v>
      </c>
      <c r="B109" s="3789"/>
      <c r="C109" s="3118" t="s">
        <v>2730</v>
      </c>
      <c r="D109" s="3092" t="s">
        <v>2731</v>
      </c>
      <c r="E109" s="3118">
        <v>0.15</v>
      </c>
      <c r="F109" s="3118">
        <v>20</v>
      </c>
    </row>
    <row r="110" spans="1:6" ht="13.5">
      <c r="A110" s="3118">
        <v>38</v>
      </c>
      <c r="B110" s="3789"/>
      <c r="C110" s="3118" t="s">
        <v>2732</v>
      </c>
      <c r="D110" s="3092" t="s">
        <v>2733</v>
      </c>
      <c r="E110" s="3118">
        <v>0.1</v>
      </c>
      <c r="F110" s="3118">
        <v>15</v>
      </c>
    </row>
    <row r="111" spans="1:6" ht="24">
      <c r="A111" s="3118">
        <v>39</v>
      </c>
      <c r="B111" s="3789"/>
      <c r="C111" s="3118" t="s">
        <v>2734</v>
      </c>
      <c r="D111" s="3092" t="s">
        <v>2735</v>
      </c>
      <c r="E111" s="3118">
        <v>0.1</v>
      </c>
      <c r="F111" s="3118">
        <v>15</v>
      </c>
    </row>
    <row r="112" spans="1:6" ht="24">
      <c r="A112" s="3118">
        <v>40</v>
      </c>
      <c r="B112" s="3798"/>
      <c r="C112" s="3118" t="s">
        <v>2736</v>
      </c>
      <c r="D112" s="3092" t="s">
        <v>2737</v>
      </c>
      <c r="E112" s="3118">
        <v>0.1</v>
      </c>
      <c r="F112" s="3118">
        <v>15</v>
      </c>
    </row>
    <row r="113" spans="1:6" ht="13.5">
      <c r="A113" s="3118">
        <v>41</v>
      </c>
      <c r="B113" s="3799" t="s">
        <v>2738</v>
      </c>
      <c r="C113" s="3118" t="s">
        <v>2739</v>
      </c>
      <c r="D113" s="3092" t="s">
        <v>2740</v>
      </c>
      <c r="E113" s="3118">
        <v>0.1</v>
      </c>
      <c r="F113" s="3118">
        <v>15</v>
      </c>
    </row>
    <row r="114" spans="1:6" ht="13.5">
      <c r="A114" s="3118">
        <v>42</v>
      </c>
      <c r="B114" s="3799"/>
      <c r="C114" s="3118" t="s">
        <v>2741</v>
      </c>
      <c r="D114" s="3092" t="s">
        <v>2742</v>
      </c>
      <c r="E114" s="3118">
        <v>0.1</v>
      </c>
      <c r="F114" s="3118">
        <v>15</v>
      </c>
    </row>
    <row r="115" spans="1:6" ht="24">
      <c r="A115" s="3118">
        <v>43</v>
      </c>
      <c r="B115" s="3799"/>
      <c r="C115" s="3118" t="s">
        <v>2743</v>
      </c>
      <c r="D115" s="3092" t="s">
        <v>2744</v>
      </c>
      <c r="E115" s="3118">
        <v>0.1</v>
      </c>
      <c r="F115" s="3118">
        <v>15</v>
      </c>
    </row>
    <row r="116" spans="1:6" ht="13.5">
      <c r="A116" s="3118">
        <v>44</v>
      </c>
      <c r="B116" s="3794" t="s">
        <v>2745</v>
      </c>
      <c r="C116" s="3118" t="s">
        <v>2746</v>
      </c>
      <c r="D116" s="3092" t="s">
        <v>2747</v>
      </c>
      <c r="E116" s="3118">
        <v>0.1</v>
      </c>
      <c r="F116" s="3118">
        <v>15</v>
      </c>
    </row>
    <row r="117" spans="1:6" ht="24">
      <c r="A117" s="3118">
        <v>45</v>
      </c>
      <c r="B117" s="3798"/>
      <c r="C117" s="3092" t="s">
        <v>2748</v>
      </c>
      <c r="D117" s="3092" t="s">
        <v>2749</v>
      </c>
      <c r="E117" s="3118">
        <v>0.1</v>
      </c>
      <c r="F117" s="3118">
        <v>15</v>
      </c>
    </row>
    <row r="118" spans="1:6" ht="24">
      <c r="A118" s="3118">
        <v>46</v>
      </c>
      <c r="B118" s="3794" t="s">
        <v>2750</v>
      </c>
      <c r="C118" s="3118" t="s">
        <v>2751</v>
      </c>
      <c r="D118" s="3092" t="s">
        <v>2752</v>
      </c>
      <c r="E118" s="3118">
        <v>0.1</v>
      </c>
      <c r="F118" s="3118">
        <v>15</v>
      </c>
    </row>
    <row r="119" spans="1:6" ht="24">
      <c r="A119" s="3118">
        <v>47</v>
      </c>
      <c r="B119" s="3798"/>
      <c r="C119" s="3118" t="s">
        <v>2753</v>
      </c>
      <c r="D119" s="3092" t="s">
        <v>2754</v>
      </c>
      <c r="E119" s="3118">
        <v>0.1</v>
      </c>
      <c r="F119" s="3118">
        <v>15</v>
      </c>
    </row>
    <row r="120" spans="1:6" ht="13.5">
      <c r="A120" s="3118">
        <v>48</v>
      </c>
      <c r="B120" s="3794" t="s">
        <v>2755</v>
      </c>
      <c r="C120" s="3118" t="s">
        <v>2756</v>
      </c>
      <c r="D120" s="3092" t="s">
        <v>2757</v>
      </c>
      <c r="E120" s="3118">
        <v>0.1</v>
      </c>
      <c r="F120" s="3118">
        <v>15</v>
      </c>
    </row>
    <row r="121" spans="1:6" ht="13.5">
      <c r="A121" s="3118">
        <v>49</v>
      </c>
      <c r="B121" s="3798"/>
      <c r="C121" s="3118" t="s">
        <v>2758</v>
      </c>
      <c r="D121" s="3092" t="s">
        <v>2759</v>
      </c>
      <c r="E121" s="3118">
        <v>0.1</v>
      </c>
      <c r="F121" s="3118">
        <v>15</v>
      </c>
    </row>
    <row r="122" spans="1:6" ht="24">
      <c r="A122" s="3118">
        <v>50</v>
      </c>
      <c r="B122" s="3799" t="s">
        <v>2760</v>
      </c>
      <c r="C122" s="3118" t="s">
        <v>2761</v>
      </c>
      <c r="D122" s="3092" t="s">
        <v>2762</v>
      </c>
      <c r="E122" s="3118">
        <v>0.1</v>
      </c>
      <c r="F122" s="3118">
        <v>15</v>
      </c>
    </row>
    <row r="123" spans="1:6" ht="24">
      <c r="A123" s="3118">
        <v>51</v>
      </c>
      <c r="B123" s="3799"/>
      <c r="C123" s="3118" t="s">
        <v>2763</v>
      </c>
      <c r="D123" s="3092" t="s">
        <v>2764</v>
      </c>
      <c r="E123" s="3118">
        <v>0.1</v>
      </c>
      <c r="F123" s="3118">
        <v>15</v>
      </c>
    </row>
    <row r="124" spans="1:6" ht="24">
      <c r="A124" s="3118">
        <v>52</v>
      </c>
      <c r="B124" s="3799" t="s">
        <v>2765</v>
      </c>
      <c r="C124" s="3118" t="s">
        <v>2766</v>
      </c>
      <c r="D124" s="3092" t="s">
        <v>2767</v>
      </c>
      <c r="E124" s="3118">
        <v>0.1</v>
      </c>
      <c r="F124" s="3118">
        <v>15</v>
      </c>
    </row>
    <row r="125" spans="1:6" ht="24">
      <c r="A125" s="3118">
        <v>53</v>
      </c>
      <c r="B125" s="3799"/>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99" t="s">
        <v>2773</v>
      </c>
      <c r="C127" s="3118" t="s">
        <v>2774</v>
      </c>
      <c r="D127" s="3092" t="s">
        <v>2775</v>
      </c>
      <c r="E127" s="3118">
        <v>0.1</v>
      </c>
      <c r="F127" s="3118">
        <v>15</v>
      </c>
    </row>
    <row r="128" spans="1:6" ht="13.5">
      <c r="A128" s="3118">
        <v>56</v>
      </c>
      <c r="B128" s="3799"/>
      <c r="C128" s="3118" t="s">
        <v>2776</v>
      </c>
      <c r="D128" s="3092" t="s">
        <v>2777</v>
      </c>
      <c r="E128" s="3118">
        <v>0.1</v>
      </c>
      <c r="F128" s="3118">
        <v>15</v>
      </c>
    </row>
    <row r="129" spans="1:6" ht="24">
      <c r="A129" s="3118">
        <v>57</v>
      </c>
      <c r="B129" s="3799"/>
      <c r="C129" s="3118" t="s">
        <v>2778</v>
      </c>
      <c r="D129" s="3092" t="s">
        <v>2779</v>
      </c>
      <c r="E129" s="3118">
        <v>0.1</v>
      </c>
      <c r="F129" s="3118">
        <v>15</v>
      </c>
    </row>
    <row r="130" spans="1:6" ht="24">
      <c r="A130" s="3118">
        <v>58</v>
      </c>
      <c r="B130" s="3799" t="s">
        <v>2780</v>
      </c>
      <c r="C130" s="3118" t="s">
        <v>2781</v>
      </c>
      <c r="D130" s="3092" t="s">
        <v>2782</v>
      </c>
      <c r="E130" s="3118">
        <v>0.1</v>
      </c>
      <c r="F130" s="3118">
        <v>15</v>
      </c>
    </row>
    <row r="131" spans="1:6" ht="13.5">
      <c r="A131" s="3118">
        <v>59</v>
      </c>
      <c r="B131" s="3799"/>
      <c r="C131" s="3118" t="s">
        <v>2783</v>
      </c>
      <c r="D131" s="3092" t="s">
        <v>2784</v>
      </c>
      <c r="E131" s="3118">
        <v>0.1</v>
      </c>
      <c r="F131" s="3118">
        <v>15</v>
      </c>
    </row>
    <row r="132" spans="1:6" ht="13.5">
      <c r="A132" s="3118">
        <v>60</v>
      </c>
      <c r="B132" s="3794" t="s">
        <v>2785</v>
      </c>
      <c r="C132" s="3118" t="s">
        <v>2786</v>
      </c>
      <c r="D132" s="3092" t="s">
        <v>2787</v>
      </c>
      <c r="E132" s="3118">
        <v>0.1</v>
      </c>
      <c r="F132" s="3118">
        <v>15</v>
      </c>
    </row>
    <row r="133" spans="1:6" ht="13.5">
      <c r="A133" s="3118">
        <v>61</v>
      </c>
      <c r="B133" s="379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99" t="s">
        <v>2793</v>
      </c>
      <c r="C135" s="3118" t="s">
        <v>2794</v>
      </c>
      <c r="D135" s="3092" t="s">
        <v>2795</v>
      </c>
      <c r="E135" s="3118">
        <v>0.1</v>
      </c>
      <c r="F135" s="3118">
        <v>15</v>
      </c>
    </row>
    <row r="136" spans="1:6" ht="13.5">
      <c r="A136" s="3118">
        <v>64</v>
      </c>
      <c r="B136" s="3799"/>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0.98380000000000001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0.93179999999999996</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88982</v>
      </c>
      <c r="C2" s="2" t="s">
        <v>106</v>
      </c>
      <c r="D2" s="199"/>
      <c r="E2" s="199"/>
      <c r="F2" s="199"/>
      <c r="G2" s="199"/>
    </row>
    <row r="3" spans="1:7" s="200" customFormat="1" ht="18" customHeight="1" thickBot="1">
      <c r="A3" s="203" t="s">
        <v>58</v>
      </c>
      <c r="B3" s="204">
        <f ca="1">ROUND(B2*10000/'数据-汇总表'!E3,0)</f>
        <v>10119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1759</v>
      </c>
      <c r="D10" s="845">
        <f>'数据-汇总表'!E6</f>
        <v>87936.610000000015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1759</v>
      </c>
      <c r="D19" s="849">
        <f>'数据-汇总表'!E3</f>
        <v>87936.610000000015</v>
      </c>
      <c r="E19" s="211">
        <f>'数据-取费表'!B31</f>
        <v>200</v>
      </c>
      <c r="F19" s="231"/>
      <c r="G19" s="1" t="s">
        <v>436</v>
      </c>
    </row>
    <row r="20" spans="1:7" s="214" customFormat="1" ht="13.5" customHeight="1">
      <c r="A20" s="777" t="s">
        <v>419</v>
      </c>
      <c r="B20" s="210" t="s">
        <v>77</v>
      </c>
      <c r="C20" s="232">
        <f>ROUND((C5+C19)*F20,0)</f>
        <v>447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1585</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123</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3422</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3422</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30145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56895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52762</v>
      </c>
      <c r="D34" s="217"/>
      <c r="E34" s="220"/>
      <c r="F34" s="257">
        <f>IF('数据-取费表'!B24=0,1,'数据-取费表'!N16)</f>
        <v>1</v>
      </c>
      <c r="G34" s="219" t="s">
        <v>89</v>
      </c>
    </row>
    <row r="35" spans="1:7" ht="13.5" customHeight="1">
      <c r="A35" s="780" t="s">
        <v>351</v>
      </c>
      <c r="B35" s="215" t="s">
        <v>33</v>
      </c>
      <c r="C35" s="220">
        <f>ROUND(C34*F35,0)</f>
        <v>1583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1759</v>
      </c>
      <c r="D37" s="217">
        <f>'数据-汇总表'!E3</f>
        <v>87936.610000000015</v>
      </c>
      <c r="E37" s="249">
        <f>'数据-取费表'!B35</f>
        <v>200</v>
      </c>
      <c r="F37" s="259"/>
      <c r="G37" s="261" t="s">
        <v>92</v>
      </c>
    </row>
    <row r="38" spans="1:7" ht="13.5" customHeight="1">
      <c r="A38" s="780" t="s">
        <v>354</v>
      </c>
      <c r="B38" s="215" t="s">
        <v>36</v>
      </c>
      <c r="C38" s="220">
        <f>ROUND(C34*F38,0)</f>
        <v>791</v>
      </c>
      <c r="D38" s="220"/>
      <c r="E38" s="220"/>
      <c r="F38" s="259">
        <f>'数据-取费表'!B36</f>
        <v>1.4999999999999999E-2</v>
      </c>
      <c r="G38" s="219" t="s">
        <v>90</v>
      </c>
    </row>
    <row r="39" spans="1:7" s="214" customFormat="1" ht="13.5" customHeight="1">
      <c r="A39" s="777" t="s">
        <v>338</v>
      </c>
      <c r="B39" s="210" t="s">
        <v>77</v>
      </c>
      <c r="C39" s="232">
        <f>ROUND(C33*F20,0)</f>
        <v>1138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2002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1963</v>
      </c>
      <c r="D42" s="238"/>
      <c r="E42" s="238"/>
      <c r="F42" s="239"/>
      <c r="G42" s="3664" t="s">
        <v>94</v>
      </c>
    </row>
    <row r="43" spans="1:7" ht="13.5" customHeight="1">
      <c r="A43" s="780" t="s">
        <v>347</v>
      </c>
      <c r="B43" s="215" t="s">
        <v>426</v>
      </c>
      <c r="C43" s="238">
        <f ca="1">ROUND(IF('数据-取费表'!B22&lt;=1,C39*F22*'数据-取费表'!B21/2,C39*(POWER((1+F22),'数据-取费表'!B21/2)-1)),0)</f>
        <v>39</v>
      </c>
      <c r="D43" s="238"/>
      <c r="E43" s="238"/>
      <c r="F43" s="239"/>
      <c r="G43" s="3665"/>
    </row>
    <row r="44" spans="1:7" ht="13.5" customHeight="1">
      <c r="A44" s="780" t="s">
        <v>348</v>
      </c>
      <c r="B44" s="215" t="s">
        <v>428</v>
      </c>
      <c r="C44" s="238">
        <f ca="1">ROUND(IF('数据-取费表'!B22&lt;=1,C40*F22*'数据-取费表'!B21/2,C40*(POWER((1+F22),'数据-取费表'!B21/2)-1)),4)</f>
        <v>6.9999999999999999E-4</v>
      </c>
      <c r="D44" s="238"/>
      <c r="E44" s="238"/>
      <c r="F44" s="239"/>
      <c r="G44" s="3666"/>
    </row>
    <row r="45" spans="1:7" s="214" customFormat="1" ht="13.5" customHeight="1">
      <c r="A45" s="777" t="s">
        <v>341</v>
      </c>
      <c r="B45" s="244" t="s">
        <v>85</v>
      </c>
      <c r="C45" s="245">
        <f>C46</f>
        <v>8705</v>
      </c>
      <c r="D45" s="235">
        <f>C47</f>
        <v>3.0000000000000001E-3</v>
      </c>
      <c r="E45" s="236" t="s">
        <v>102</v>
      </c>
      <c r="F45" s="246"/>
      <c r="G45" s="247" t="s">
        <v>434</v>
      </c>
    </row>
    <row r="46" spans="1:7" s="214" customFormat="1" ht="13.5" customHeight="1">
      <c r="A46" s="780" t="s">
        <v>349</v>
      </c>
      <c r="B46" s="248" t="s">
        <v>427</v>
      </c>
      <c r="C46" s="249">
        <f>ROUND((C33+C39)*F27,0)</f>
        <v>8705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74477</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58837</v>
      </c>
      <c r="D51" s="232"/>
      <c r="E51" s="232"/>
      <c r="F51" s="264"/>
      <c r="G51" s="234" t="s">
        <v>37</v>
      </c>
    </row>
    <row r="52" spans="1:7" s="208" customFormat="1" ht="16.5" thickBot="1">
      <c r="A52" s="265" t="s">
        <v>38</v>
      </c>
      <c r="B52" s="266"/>
      <c r="C52" s="267">
        <f ca="1">C31+C51</f>
        <v>88982</v>
      </c>
      <c r="D52" s="266"/>
      <c r="E52" s="266"/>
      <c r="F52" s="266"/>
      <c r="G52" s="268"/>
    </row>
    <row r="55" spans="1:7" ht="15">
      <c r="B55" s="270" t="s">
        <v>39</v>
      </c>
      <c r="C55" s="271"/>
    </row>
    <row r="56" spans="1:7">
      <c r="B56" s="273" t="s">
        <v>40</v>
      </c>
      <c r="C56" s="274">
        <f ca="1">ROUND(C51/C52,3)</f>
        <v>0.66100000000000003</v>
      </c>
    </row>
    <row r="57" spans="1:7">
      <c r="B57" s="273" t="s">
        <v>41</v>
      </c>
      <c r="C57" s="275">
        <f ca="1">1-C56</f>
        <v>0.33899999999999997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2" t="s">
        <v>2843</v>
      </c>
      <c r="B1" s="3802"/>
      <c r="C1" s="3802"/>
      <c r="D1" s="3802"/>
      <c r="E1" s="3802"/>
      <c r="F1" s="3802"/>
      <c r="G1" s="3803"/>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800"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801"/>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4" t="s">
        <v>3185</v>
      </c>
      <c r="B1" s="3804"/>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5" t="s">
        <v>3236</v>
      </c>
      <c r="B1" s="3805"/>
      <c r="C1" s="3805"/>
      <c r="D1" s="3805"/>
      <c r="E1" s="3805"/>
      <c r="F1" s="3806"/>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45239</v>
      </c>
      <c r="B1" s="3210" t="s">
        <v>3376</v>
      </c>
      <c r="C1" s="3211"/>
      <c r="D1" s="3211"/>
      <c r="E1" s="3211"/>
      <c r="F1" s="3211"/>
      <c r="G1" s="3211"/>
      <c r="H1" s="3211"/>
      <c r="I1" s="3211"/>
      <c r="J1" s="3165"/>
      <c r="K1" s="3211" t="s">
        <v>454</v>
      </c>
      <c r="L1" s="3211"/>
      <c r="M1" s="3211"/>
      <c r="N1" s="3211"/>
      <c r="O1" s="3211"/>
      <c r="P1" s="3211"/>
      <c r="Q1" s="3165"/>
      <c r="R1" s="3807" t="s">
        <v>456</v>
      </c>
      <c r="S1" s="3808"/>
      <c r="T1" s="3808"/>
      <c r="U1" s="3808"/>
      <c r="V1" s="3808"/>
      <c r="W1" s="3808"/>
      <c r="X1" s="3165"/>
      <c r="Y1" s="3807" t="s">
        <v>457</v>
      </c>
      <c r="Z1" s="3808"/>
      <c r="AA1" s="3808"/>
      <c r="AB1" s="3808"/>
      <c r="AC1" s="3808"/>
      <c r="AD1" s="3808"/>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807" t="s">
        <v>2831</v>
      </c>
      <c r="S23" s="3808"/>
      <c r="T23" s="3808"/>
      <c r="U23" s="3808"/>
      <c r="V23" s="3808"/>
      <c r="W23" s="3808"/>
      <c r="X23" s="3165"/>
      <c r="Y23" s="3807" t="s">
        <v>2832</v>
      </c>
      <c r="Z23" s="3808"/>
      <c r="AA23" s="3808"/>
      <c r="AB23" s="3808"/>
      <c r="AC23" s="3808"/>
      <c r="AD23" s="3808"/>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4" t="s">
        <v>452</v>
      </c>
      <c r="C1" s="3814"/>
      <c r="D1" s="3814"/>
      <c r="E1" s="3814"/>
      <c r="F1" s="3814"/>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2" t="str">
        <f>IF(项目基本情况!B9="房地产市场价值","估价结果一览表","结果表-2")</f>
        <v>结果表-2</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房地产价值</v>
      </c>
      <c r="I2" s="3493"/>
    </row>
    <row r="3" spans="1:9" ht="15">
      <c r="A3" s="3494"/>
      <c r="B3" s="3494"/>
      <c r="C3" s="3494"/>
      <c r="D3" s="854" t="s">
        <v>925</v>
      </c>
      <c r="E3" s="854" t="s">
        <v>931</v>
      </c>
      <c r="F3" s="854" t="s">
        <v>925</v>
      </c>
      <c r="G3" s="854" t="s">
        <v>926</v>
      </c>
      <c r="H3" s="854" t="s">
        <v>925</v>
      </c>
      <c r="I3" s="854" t="s">
        <v>926</v>
      </c>
    </row>
    <row r="4" spans="1:9" ht="15">
      <c r="A4" s="1505" t="str">
        <f>项目基本情况!S2</f>
        <v>北京市房地产</v>
      </c>
      <c r="B4" s="854">
        <f>项目基本情况!C17</f>
        <v>87936.610000000015</v>
      </c>
      <c r="C4" s="854">
        <f>项目基本情况!C18</f>
        <v>16321.07</v>
      </c>
      <c r="D4" s="854" t="e">
        <f ca="1">结果表!D118</f>
        <v>#REF!</v>
      </c>
      <c r="E4" s="854" t="e">
        <f ca="1">结果表!E118</f>
        <v>#REF!</v>
      </c>
      <c r="F4" s="854" t="e">
        <f ca="1">结果表!F118</f>
        <v>#REF!</v>
      </c>
      <c r="G4" s="854" t="e">
        <f ca="1">结果表!G118</f>
        <v>#REF!</v>
      </c>
      <c r="H4" s="854">
        <f ca="1">结果表!H118</f>
        <v>461821</v>
      </c>
      <c r="I4" s="854">
        <f ca="1">结果表!I118</f>
        <v>52517</v>
      </c>
    </row>
    <row r="5" spans="1:9" ht="30" customHeight="1">
      <c r="A5" s="3494" t="s">
        <v>927</v>
      </c>
      <c r="B5" s="3494"/>
      <c r="C5" s="3494"/>
      <c r="D5" s="3494" t="e">
        <f ca="1">结果表!D119</f>
        <v>#REF!</v>
      </c>
      <c r="E5" s="3494"/>
      <c r="F5" s="3494" t="e">
        <f ca="1">结果表!F119</f>
        <v>#REF!</v>
      </c>
      <c r="G5" s="3494"/>
      <c r="H5" s="3494" t="str">
        <f ca="1">结果表!H119</f>
        <v>肆拾陆亿壹仟捌佰贰拾壹万元整</v>
      </c>
      <c r="I5" s="3494"/>
    </row>
    <row r="6" spans="1:9" ht="15.75">
      <c r="A6" s="3495" t="str">
        <f>结果表!A120</f>
        <v>估价师知悉的法定优先受偿款</v>
      </c>
      <c r="B6" s="3495"/>
      <c r="C6" s="3495"/>
      <c r="D6" s="3495">
        <f>结果表!D120</f>
        <v>0</v>
      </c>
      <c r="E6" s="3495"/>
      <c r="F6" s="3495"/>
      <c r="G6" s="3495"/>
      <c r="H6" s="3495"/>
      <c r="I6" s="3495"/>
    </row>
    <row r="7" spans="1:9" ht="15">
      <c r="A7" s="3494" t="s">
        <v>927</v>
      </c>
      <c r="B7" s="3494"/>
      <c r="C7" s="3494"/>
      <c r="D7" s="3496" t="str">
        <f>结果表!D121</f>
        <v>零元整</v>
      </c>
      <c r="E7" s="3497"/>
      <c r="F7" s="3497"/>
      <c r="G7" s="3497"/>
      <c r="H7" s="3497"/>
      <c r="I7" s="3498"/>
    </row>
    <row r="8" spans="1:9" ht="15.75">
      <c r="A8" s="3495" t="str">
        <f>结果表!A122</f>
        <v>房地产抵押价值</v>
      </c>
      <c r="B8" s="3495"/>
      <c r="C8" s="3495"/>
      <c r="D8" s="3495">
        <f ca="1">结果表!D122</f>
        <v>461821</v>
      </c>
      <c r="E8" s="3495"/>
      <c r="F8" s="3495"/>
      <c r="G8" s="3495"/>
      <c r="H8" s="3495"/>
      <c r="I8" s="3495"/>
    </row>
    <row r="9" spans="1:9" ht="15">
      <c r="A9" s="3494" t="s">
        <v>927</v>
      </c>
      <c r="B9" s="3494"/>
      <c r="C9" s="3494"/>
      <c r="D9" s="3494" t="str">
        <f ca="1">结果表!D123</f>
        <v>肆拾陆亿壹仟捌佰贰拾壹万元整</v>
      </c>
      <c r="E9" s="3494"/>
      <c r="F9" s="3494"/>
      <c r="G9" s="3494"/>
      <c r="H9" s="3494"/>
      <c r="I9" s="3494"/>
    </row>
    <row r="10" spans="1:9" ht="15.75">
      <c r="A10" s="3495" t="str">
        <f>结果表!A124</f>
        <v/>
      </c>
      <c r="B10" s="3495"/>
      <c r="C10" s="3495"/>
      <c r="D10" s="3495" t="str">
        <f>结果表!D124</f>
        <v>——</v>
      </c>
      <c r="E10" s="3495"/>
      <c r="F10" s="3495"/>
      <c r="G10" s="3495"/>
      <c r="H10" s="3495"/>
      <c r="I10" s="3495"/>
    </row>
    <row r="11" spans="1:9" ht="15">
      <c r="A11" s="3494" t="s">
        <v>927</v>
      </c>
      <c r="B11" s="3494"/>
      <c r="C11" s="3494"/>
      <c r="D11" s="3494" t="e">
        <f>结果表!D125</f>
        <v>#VALUE!</v>
      </c>
      <c r="E11" s="3494"/>
      <c r="F11" s="3494"/>
      <c r="G11" s="3494"/>
      <c r="H11" s="3494"/>
      <c r="I11" s="3494"/>
    </row>
    <row r="12" spans="1:9" ht="15.75">
      <c r="A12" s="3495" t="str">
        <f>结果表!A126</f>
        <v/>
      </c>
      <c r="B12" s="3495"/>
      <c r="C12" s="3495"/>
      <c r="D12" s="3495" t="str">
        <f>结果表!D126</f>
        <v>——</v>
      </c>
      <c r="E12" s="3495"/>
      <c r="F12" s="3495"/>
      <c r="G12" s="3495"/>
      <c r="H12" s="3495"/>
      <c r="I12" s="3495"/>
    </row>
    <row r="13" spans="1:9" ht="15.75" thickBot="1">
      <c r="A13" s="3499" t="s">
        <v>927</v>
      </c>
      <c r="B13" s="3499"/>
      <c r="C13" s="3499"/>
      <c r="D13" s="3499" t="e">
        <f>结果表!D127</f>
        <v>#VALUE!</v>
      </c>
      <c r="E13" s="3499"/>
      <c r="F13" s="3499"/>
      <c r="G13" s="3499"/>
      <c r="H13" s="3499"/>
      <c r="I13" s="3499"/>
    </row>
    <row r="14" spans="1:9" ht="15" thickTop="1">
      <c r="A14" s="3500" t="s">
        <v>932</v>
      </c>
      <c r="B14" s="3500"/>
      <c r="C14" s="3500"/>
      <c r="D14" s="3500"/>
      <c r="E14" s="3500"/>
      <c r="F14" s="3500"/>
      <c r="G14" s="3500"/>
      <c r="H14" s="3500"/>
      <c r="I14" s="350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45239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1" t="s">
        <v>949</v>
      </c>
      <c r="B1" s="3501"/>
      <c r="C1" s="3501"/>
      <c r="D1" s="3501"/>
    </row>
    <row r="2" spans="1:4" ht="18">
      <c r="A2" s="3502" t="s">
        <v>933</v>
      </c>
      <c r="B2" s="3502"/>
      <c r="C2" s="3502"/>
      <c r="D2" s="350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2" t="s">
        <v>939</v>
      </c>
      <c r="B6" s="3502"/>
      <c r="C6" s="3502"/>
      <c r="D6" s="350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3"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4" t="str">
        <f>IF(项目基本情况!B8="抵押","4.本次评估估价师所知悉的法定优先受偿款情况说明如下：","——")</f>
        <v>4.本次评估估价师所知悉的法定优先受偿款情况说明如下：</v>
      </c>
      <c r="B14" s="3505"/>
      <c r="C14" s="3505"/>
      <c r="D14" s="3505"/>
    </row>
    <row r="15" spans="1:4" ht="42" customHeight="1">
      <c r="A15" s="35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4"/>
      <c r="C15" s="3504"/>
      <c r="D15" s="3504"/>
    </row>
    <row r="16" spans="1:4" ht="30" customHeight="1">
      <c r="A16" s="3507" t="s">
        <v>943</v>
      </c>
      <c r="B16" s="3507"/>
      <c r="C16" s="3507"/>
      <c r="D16" s="3507"/>
    </row>
    <row r="17" spans="1:4" ht="144" customHeight="1">
      <c r="A17" s="3507" t="s">
        <v>944</v>
      </c>
      <c r="B17" s="3507"/>
      <c r="C17" s="3507"/>
      <c r="D17" s="3507"/>
    </row>
    <row r="18" spans="1:4" ht="15.75" customHeight="1">
      <c r="A18" s="3504" t="str">
        <f>IF(项目基本情况!B8="抵押",结果表!K120,"——")</f>
        <v>故，本次评估不存在估价师知悉的法定优先受偿款</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4"/>
      <c r="C20" s="3504"/>
      <c r="D20" s="3504"/>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8"/>
      <c r="C21" s="3508"/>
      <c r="D21" s="3508"/>
    </row>
    <row r="22" spans="1:4" ht="18.75" customHeight="1">
      <c r="A22" s="3509" t="s">
        <v>945</v>
      </c>
      <c r="B22" s="3509"/>
      <c r="C22" s="3509"/>
      <c r="D22" s="350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6">
        <v>42551</v>
      </c>
      <c r="D31" s="35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5" t="s">
        <v>956</v>
      </c>
      <c r="B15" s="3510" t="s">
        <v>109</v>
      </c>
      <c r="C15" s="3511"/>
    </row>
    <row r="16" spans="1:7" ht="13.5">
      <c r="A16" s="3516"/>
      <c r="B16" s="3510" t="s">
        <v>42</v>
      </c>
      <c r="C16" s="3511"/>
    </row>
    <row r="17" spans="1:3" ht="13.5">
      <c r="A17" s="3516"/>
      <c r="B17" s="3513" t="s">
        <v>957</v>
      </c>
      <c r="C17" s="1532" t="s">
        <v>956</v>
      </c>
    </row>
    <row r="18" spans="1:3" ht="13.5">
      <c r="A18" s="3516"/>
      <c r="B18" s="3513"/>
      <c r="C18" s="1532" t="s">
        <v>958</v>
      </c>
    </row>
    <row r="19" spans="1:3" ht="13.5">
      <c r="A19" s="3516"/>
      <c r="B19" s="3513"/>
      <c r="C19" s="1532" t="s">
        <v>959</v>
      </c>
    </row>
    <row r="20" spans="1:3" ht="13.5">
      <c r="A20" s="3517"/>
      <c r="B20" s="3512" t="s">
        <v>960</v>
      </c>
      <c r="C20" s="3511"/>
    </row>
    <row r="21" spans="1:3" ht="13.5">
      <c r="A21" s="1533" t="s">
        <v>961</v>
      </c>
      <c r="B21" s="1534"/>
      <c r="C21" s="1535"/>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32" t="s">
        <v>967</v>
      </c>
    </row>
    <row r="26" spans="1:3" ht="13.5">
      <c r="A26" s="3514"/>
      <c r="B26" s="3513"/>
      <c r="C26" s="1532" t="s">
        <v>968</v>
      </c>
    </row>
    <row r="27" spans="1:3" ht="13.5">
      <c r="A27" s="3514"/>
      <c r="B27" s="3513"/>
      <c r="C27" s="1532" t="s">
        <v>969</v>
      </c>
    </row>
    <row r="28" spans="1:3" ht="13.5">
      <c r="A28" s="3514"/>
      <c r="B28" s="3513"/>
      <c r="C28" s="1532" t="s">
        <v>970</v>
      </c>
    </row>
    <row r="29" spans="1:3" ht="13.5">
      <c r="A29" s="3514"/>
      <c r="B29" s="3513"/>
      <c r="C29" s="1532" t="s">
        <v>971</v>
      </c>
    </row>
    <row r="30" spans="1:3" ht="13.5">
      <c r="A30" s="3514"/>
      <c r="B30" s="3513"/>
      <c r="C30" s="1532" t="s">
        <v>972</v>
      </c>
    </row>
    <row r="31" spans="1:3" ht="13.5">
      <c r="A31" s="3514"/>
      <c r="B31" s="3513"/>
      <c r="C31" s="1532" t="s">
        <v>973</v>
      </c>
    </row>
    <row r="32" spans="1:3" ht="13.5">
      <c r="A32" s="3514"/>
      <c r="B32" s="3513"/>
      <c r="C32" s="1532" t="s">
        <v>974</v>
      </c>
    </row>
    <row r="33" spans="1:3" ht="13.5">
      <c r="A33" s="3514"/>
      <c r="B33" s="351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45259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8" t="s">
        <v>2160</v>
      </c>
      <c r="B17" s="3518"/>
      <c r="C17" s="3518"/>
      <c r="D17" s="3518"/>
      <c r="E17" s="3518"/>
      <c r="F17" s="3518"/>
      <c r="G17" s="3518"/>
      <c r="H17" s="3518"/>
    </row>
    <row r="18" spans="1:8" ht="24" customHeight="1">
      <c r="A18" s="3519" t="s">
        <v>2161</v>
      </c>
      <c r="B18" s="3519"/>
      <c r="C18" s="3519"/>
      <c r="D18" s="2343"/>
      <c r="E18" s="3520" t="s">
        <v>2162</v>
      </c>
      <c r="F18" s="3519"/>
      <c r="G18" s="351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结果表 (2)</vt:lpstr>
      <vt:lpstr>成本法</vt:lpstr>
      <vt:lpstr>成本法 (元)</vt:lpstr>
      <vt:lpstr>假设开发法</vt:lpstr>
      <vt:lpstr>收益法</vt:lpstr>
      <vt:lpstr>收益法(车库)</vt:lpstr>
      <vt:lpstr>收益法（汇总）</vt:lpstr>
      <vt:lpstr>基准地价修正</vt:lpstr>
      <vt:lpstr>土地比较法-住宅、综合</vt:lpstr>
      <vt:lpstr>土地案例</vt:lpstr>
      <vt:lpstr>结果表(车库)</vt:lpstr>
      <vt:lpstr>成本法(车库)</vt:lpstr>
      <vt:lpstr>收益法 (元)</vt:lpstr>
      <vt:lpstr>收益法-酒店模型</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'成本法(车库)'!Print_Area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'结果表(车库)'!Print_Area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2023-11-29T06:11:54Z</dcterms:modified>
</cp:coreProperties>
</file>