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司法-扬州水乡\"/>
    </mc:Choice>
  </mc:AlternateContent>
  <xr:revisionPtr revIDLastSave="0" documentId="8_{8EE1D244-671E-4617-A378-21A030BE8724}" xr6:coauthVersionLast="47" xr6:coauthVersionMax="47" xr10:uidLastSave="{00000000-0000-0000-0000-000000000000}"/>
  <bookViews>
    <workbookView xWindow="-120" yWindow="-120" windowWidth="38640" windowHeight="21240"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13" i="4" l="1"/>
  <c r="M12" i="4"/>
  <c r="B14" i="74"/>
  <c r="H59" i="21"/>
  <c r="G59" i="21"/>
  <c r="D14" i="9"/>
  <c r="C6" i="69"/>
  <c r="D33" i="43"/>
  <c r="E104" i="82" l="1"/>
  <c r="F104" i="82" s="1"/>
  <c r="G104" i="82" s="1"/>
  <c r="D104" i="82"/>
  <c r="I47" i="82"/>
  <c r="V47" i="82" s="1"/>
  <c r="G47" i="82"/>
  <c r="T47" i="82" s="1"/>
  <c r="E47" i="82"/>
  <c r="R47" i="82" s="1"/>
  <c r="I33" i="82"/>
  <c r="G33" i="82"/>
  <c r="E33" i="82"/>
  <c r="I7" i="82"/>
  <c r="G7" i="82"/>
  <c r="H7" i="82" s="1"/>
  <c r="E7" i="82"/>
  <c r="F7" i="82" s="1"/>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C58" i="82"/>
  <c r="D58" i="82" s="1"/>
  <c r="E58" i="82" s="1"/>
  <c r="F58" i="82" s="1"/>
  <c r="G58" i="82" s="1"/>
  <c r="H58" i="82" s="1"/>
  <c r="I58" i="82" s="1"/>
  <c r="J58" i="82" s="1"/>
  <c r="K58" i="82" s="1"/>
  <c r="L58" i="82" s="1"/>
  <c r="M58" i="82" s="1"/>
  <c r="N58" i="82" s="1"/>
  <c r="O58" i="82" s="1"/>
  <c r="I54" i="82"/>
  <c r="J54" i="82" s="1"/>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C33" i="82"/>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J7" i="82"/>
  <c r="C7" i="82"/>
  <c r="D3" i="82"/>
  <c r="S29" i="80"/>
  <c r="S28" i="80"/>
  <c r="S27" i="80"/>
  <c r="S26" i="80"/>
  <c r="E37" i="21"/>
  <c r="I37" i="21" s="1"/>
  <c r="C33" i="21"/>
  <c r="I33" i="21"/>
  <c r="G33" i="21"/>
  <c r="E33" i="21"/>
  <c r="I47" i="21"/>
  <c r="G47" i="21"/>
  <c r="E47" i="21"/>
  <c r="I7" i="21"/>
  <c r="G7" i="21"/>
  <c r="E7" i="21"/>
  <c r="Q16" i="80"/>
  <c r="S8" i="80"/>
  <c r="S9" i="80"/>
  <c r="S10" i="80"/>
  <c r="S11" i="80"/>
  <c r="S12" i="80"/>
  <c r="S13" i="80"/>
  <c r="S14" i="80"/>
  <c r="S15" i="80"/>
  <c r="S7" i="80"/>
  <c r="Y6" i="1"/>
  <c r="L25" i="1"/>
  <c r="F19" i="6"/>
  <c r="L23" i="1"/>
  <c r="D2" i="82"/>
  <c r="G37" i="82" l="1"/>
  <c r="G37" i="21"/>
  <c r="U34" i="82"/>
  <c r="AB26" i="82"/>
  <c r="AC38" i="82"/>
  <c r="AB32" i="82"/>
  <c r="W42" i="82"/>
  <c r="AA42" i="82"/>
  <c r="J33" i="82"/>
  <c r="AC33" i="82" s="1"/>
  <c r="U7" i="82"/>
  <c r="AB7" i="82"/>
  <c r="AA7" i="82"/>
  <c r="S7" i="82"/>
  <c r="W7" i="82"/>
  <c r="AC7"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3"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W33" i="82" l="1"/>
  <c r="AB45" i="82"/>
  <c r="U45" i="82"/>
  <c r="AC45" i="82"/>
  <c r="V48" i="82" s="1"/>
  <c r="I48" i="82" s="1"/>
  <c r="W45" i="82"/>
  <c r="U37" i="82"/>
  <c r="AB37" i="82"/>
  <c r="AA37" i="82"/>
  <c r="S37" i="82"/>
  <c r="AA45" i="82"/>
  <c r="S45" i="82"/>
  <c r="AA33" i="82"/>
  <c r="R48" i="82" s="1"/>
  <c r="S33" i="82"/>
  <c r="AB33" i="82"/>
  <c r="U33" i="82"/>
  <c r="G14" i="73"/>
  <c r="F14" i="73"/>
  <c r="E14" i="73"/>
  <c r="T48" i="82" l="1"/>
  <c r="G48" i="82" s="1"/>
  <c r="G53" i="82"/>
  <c r="H53" i="82" s="1"/>
  <c r="G52" i="82"/>
  <c r="H52" i="82" s="1"/>
  <c r="E48" i="82"/>
  <c r="I53" i="82" s="1"/>
  <c r="J53" i="82" s="1"/>
  <c r="I52" i="82"/>
  <c r="J52" i="82" s="1"/>
  <c r="I12" i="79"/>
  <c r="R49" i="82" l="1"/>
  <c r="C48" i="82" s="1"/>
  <c r="U6" i="1" s="1"/>
  <c r="C49" i="82"/>
  <c r="E52" i="82"/>
  <c r="F52" i="82" s="1"/>
  <c r="E53" i="82"/>
  <c r="F53"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B3" i="82" l="1"/>
  <c r="B2"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W41" i="21"/>
  <c r="AB39" i="21"/>
  <c r="S39"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E9" i="76"/>
  <c r="E12" i="76"/>
  <c r="F6" i="67"/>
  <c r="M8" i="67"/>
  <c r="F7" i="73"/>
  <c r="B8" i="76"/>
  <c r="F3" i="73"/>
  <c r="D6" i="73"/>
  <c r="D35" i="9"/>
  <c r="D34" i="9"/>
  <c r="E7" i="76"/>
  <c r="B13" i="76"/>
  <c r="F7" i="67"/>
  <c r="L48" i="67"/>
  <c r="E8" i="76"/>
  <c r="F5" i="73"/>
  <c r="E13" i="76"/>
  <c r="C76" i="67"/>
  <c r="B7" i="76"/>
  <c r="B11" i="76"/>
  <c r="AO13" i="1"/>
  <c r="F38" i="67"/>
  <c r="F43" i="67"/>
  <c r="F6" i="73"/>
  <c r="F20" i="31"/>
  <c r="B10" i="76"/>
  <c r="F4" i="73"/>
  <c r="J15" i="67"/>
  <c r="M22" i="67"/>
  <c r="L47" i="67"/>
  <c r="B9" i="76"/>
  <c r="E10" i="76"/>
  <c r="F13" i="67"/>
  <c r="E2" i="69"/>
  <c r="E2" i="68"/>
  <c r="F37" i="67"/>
  <c r="E11" i="76"/>
  <c r="AC9" i="21" l="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AP6" i="1" s="1"/>
  <c r="C36" i="69" s="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F71" i="67"/>
  <c r="N59" i="67"/>
  <c r="L59" i="67"/>
  <c r="L58" i="67"/>
  <c r="M59" i="67"/>
  <c r="B13" i="70"/>
  <c r="M7" i="67"/>
  <c r="F50" i="67"/>
  <c r="D9" i="69"/>
  <c r="D9" i="68"/>
  <c r="F37" i="15"/>
  <c r="J15" i="15"/>
  <c r="F8" i="15"/>
  <c r="F9" i="15"/>
  <c r="D4" i="73"/>
  <c r="M24" i="67"/>
  <c r="F36" i="15"/>
  <c r="M6" i="67"/>
  <c r="L48" i="15"/>
  <c r="F36" i="67"/>
  <c r="C76" i="15"/>
  <c r="L47" i="15"/>
  <c r="D7" i="73"/>
  <c r="F40" i="15"/>
  <c r="F16" i="15"/>
  <c r="M22" i="15"/>
  <c r="F13" i="15"/>
  <c r="F9" i="67"/>
  <c r="F26" i="15"/>
  <c r="D3" i="73"/>
  <c r="M29" i="67"/>
  <c r="M6" i="15"/>
  <c r="F40" i="67"/>
  <c r="M8" i="15"/>
  <c r="M23" i="67"/>
  <c r="F38" i="15"/>
  <c r="M23" i="15"/>
  <c r="M26" i="15"/>
  <c r="M26" i="67"/>
  <c r="M9" i="15"/>
  <c r="M29" i="15"/>
  <c r="M24" i="15"/>
  <c r="F8" i="67"/>
  <c r="F7" i="15"/>
  <c r="D5" i="73"/>
  <c r="M28" i="67"/>
  <c r="F43" i="15"/>
  <c r="F26" i="67"/>
  <c r="F16" i="67"/>
  <c r="M28" i="15"/>
  <c r="F6" i="15"/>
  <c r="M9" i="67"/>
  <c r="F42" i="15"/>
  <c r="F42" i="67"/>
  <c r="W42" i="21" l="1"/>
  <c r="S42" i="21"/>
  <c r="Q16" i="1"/>
  <c r="F27" i="69" s="1"/>
  <c r="C47" i="69" s="1"/>
  <c r="D45" i="69" s="1"/>
  <c r="M6" i="1"/>
  <c r="K16" i="1"/>
  <c r="F51" i="15"/>
  <c r="N59" i="15"/>
  <c r="M59" i="15"/>
  <c r="L59" i="15"/>
  <c r="Q74" i="15" s="1"/>
  <c r="F65" i="15"/>
  <c r="F26" i="43"/>
  <c r="D26" i="43" s="1"/>
  <c r="C25" i="43" s="1"/>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C6" i="67"/>
  <c r="F31" i="67"/>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K1" i="73"/>
  <c r="E536" i="3"/>
  <c r="E430" i="3"/>
  <c r="E160" i="3"/>
  <c r="E144" i="3"/>
  <c r="E34" i="3"/>
  <c r="E22" i="3"/>
  <c r="E26" i="3"/>
  <c r="E356" i="3"/>
  <c r="E83" i="3"/>
  <c r="E223" i="3"/>
  <c r="E490" i="3"/>
  <c r="E498" i="3"/>
  <c r="E333" i="3"/>
  <c r="E43" i="3"/>
  <c r="E339" i="3"/>
  <c r="E52" i="3"/>
  <c r="E218" i="3"/>
  <c r="E101" i="3"/>
  <c r="E65" i="3"/>
  <c r="E51" i="3"/>
  <c r="E57" i="3"/>
  <c r="E110" i="3"/>
  <c r="E19" i="3"/>
  <c r="E323" i="3"/>
  <c r="E47" i="3"/>
  <c r="E266" i="3"/>
  <c r="E259" i="3"/>
  <c r="E462" i="3"/>
  <c r="E488" i="3"/>
  <c r="E195" i="3"/>
  <c r="E98" i="3"/>
  <c r="E307" i="3"/>
  <c r="E306" i="3"/>
  <c r="E157" i="3"/>
  <c r="E288" i="3"/>
  <c r="W6" i="3"/>
  <c r="E257" i="3"/>
  <c r="E357" i="3"/>
  <c r="E379" i="3"/>
  <c r="U6" i="3"/>
  <c r="E546" i="3"/>
  <c r="E71" i="3"/>
  <c r="E29" i="3"/>
  <c r="E53" i="3"/>
  <c r="E574" i="3"/>
  <c r="E359" i="3"/>
  <c r="E418" i="3"/>
  <c r="E338" i="3"/>
  <c r="E213" i="3"/>
  <c r="E17" i="3"/>
  <c r="AN6" i="3"/>
  <c r="E353" i="3"/>
  <c r="E262" i="3"/>
  <c r="E120" i="3"/>
  <c r="E344" i="3"/>
  <c r="AE6" i="3"/>
  <c r="E274" i="3"/>
  <c r="E394" i="3"/>
  <c r="E576" i="3"/>
  <c r="AG6" i="3"/>
  <c r="E404" i="3"/>
  <c r="E88" i="3"/>
  <c r="E480" i="3"/>
  <c r="E125" i="3"/>
  <c r="E569" i="3"/>
  <c r="E396" i="3"/>
  <c r="V6" i="3"/>
  <c r="E407" i="3"/>
  <c r="E320" i="3"/>
  <c r="E230" i="3"/>
  <c r="E130" i="3"/>
  <c r="E114" i="3"/>
  <c r="E395" i="3"/>
  <c r="E260" i="3"/>
  <c r="E550" i="3"/>
  <c r="E290" i="3"/>
  <c r="E61" i="3"/>
  <c r="E245" i="3"/>
  <c r="E578" i="3"/>
  <c r="E518" i="3"/>
  <c r="E293"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G1" i="73"/>
  <c r="C16" i="67"/>
  <c r="AE6" i="1"/>
  <c r="F41" i="67" s="1"/>
  <c r="C16" i="15"/>
  <c r="F59" i="15" l="1"/>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AC6" i="3" l="1"/>
  <c r="H6" i="3"/>
  <c r="E6" i="3" s="1"/>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1" i="6" l="1"/>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K65" i="40"/>
  <c r="L63" i="40"/>
  <c r="I53" i="21" l="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0" i="9"/>
  <c r="D2" i="36"/>
  <c r="C19" i="9"/>
  <c r="D2" i="37"/>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6" i="1"/>
  <c r="AO12" i="1"/>
  <c r="C20" i="9"/>
  <c r="AO11" i="1"/>
  <c r="AO10" i="1"/>
  <c r="AO8" i="1"/>
  <c r="G20" i="9" l="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4" i="9" l="1"/>
  <c r="C68" i="9"/>
  <c r="C73" i="9"/>
  <c r="C78" i="9"/>
  <c r="B22" i="72"/>
  <c r="D6" i="53"/>
  <c r="B48" i="72"/>
  <c r="E4" i="52"/>
  <c r="B47" i="72"/>
  <c r="D4" i="52"/>
  <c r="C64" i="9"/>
  <c r="C63" i="9"/>
  <c r="C67" i="9"/>
  <c r="D59" i="9"/>
  <c r="M55" i="9"/>
  <c r="D5" i="53"/>
  <c r="B20" i="72"/>
  <c r="B52" i="72"/>
  <c r="G4" i="52"/>
  <c r="B32" i="72"/>
  <c r="D14" i="53"/>
  <c r="B21" i="72"/>
  <c r="D7" i="53"/>
  <c r="C6" i="74"/>
  <c r="P57" i="9"/>
  <c r="N58" i="9"/>
  <c r="C96" i="9"/>
  <c r="E96" i="9"/>
  <c r="E97" i="9"/>
  <c r="D8" i="52"/>
  <c r="E118" i="9"/>
  <c r="D118" i="9"/>
  <c r="D119" i="9"/>
  <c r="D5" i="52"/>
  <c r="B49" i="72"/>
  <c r="H4" i="52"/>
  <c r="C104" i="9"/>
  <c r="C81" i="9"/>
  <c r="H102" i="9"/>
  <c r="C5" i="74"/>
  <c r="D13" i="53"/>
  <c r="B30" i="72"/>
  <c r="C105" i="9"/>
  <c r="I4" i="52"/>
  <c r="H108" i="9"/>
  <c r="D15" i="53"/>
  <c r="B31" i="72"/>
  <c r="C72" i="9"/>
  <c r="C79" i="9"/>
  <c r="C80" i="9"/>
  <c r="E80" i="9"/>
  <c r="E81" i="9"/>
  <c r="C86" i="9"/>
  <c r="C93" i="9"/>
  <c r="N61" i="9"/>
  <c r="D55" i="9"/>
  <c r="M53" i="9"/>
  <c r="N57" i="9"/>
  <c r="N59" i="9"/>
  <c r="N60" i="9"/>
  <c r="D52" i="9"/>
  <c r="D53" i="9"/>
  <c r="M48" i="9"/>
  <c r="F119" i="9"/>
  <c r="F5" i="52"/>
  <c r="B53" i="72"/>
  <c r="H119" i="9"/>
  <c r="H5" i="52"/>
  <c r="G118" i="9"/>
  <c r="F118" i="9"/>
  <c r="F4" i="52"/>
  <c r="B51" i="72"/>
  <c r="D45" i="9"/>
  <c r="C85" i="9"/>
  <c r="C95" i="9"/>
  <c r="C97" i="9"/>
  <c r="D58" i="9"/>
  <c r="D56" i="9"/>
  <c r="M54"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<sst xmlns="http://schemas.openxmlformats.org/spreadsheetml/2006/main" count="8314" uniqueCount="3477">
  <si>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</si>
  <si>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</si>
  <si>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</si>
  <si>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</si>
  <si>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</si>
  <si>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</si>
  <si>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</si>
  <si>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</si>
  <si>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</si>
  <si>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</si>
  <si>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</si>
  <si>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</si>
  <si>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</si>
  <si>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</si>
  <si>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</si>
  <si>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</si>
  <si>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</si>
  <si>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</si>
  <si>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</si>
  <si>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</si>
  <si>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</si>
  <si>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</si>
  <si>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</si>
  <si>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</si>
  <si>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</si>
  <si>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</si>
  <si>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</si>
  <si>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</si>
  <si>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</si>
  <si>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</si>
  <si>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</si>
  <si>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</si>
  <si>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</si>
  <si>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</si>
  <si>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</si>
  <si>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</si>
  <si>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</si>
  <si>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</si>
  <si>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</si>
  <si>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</si>
  <si>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</si>
  <si>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</si>
  <si>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</si>
  <si>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</si>
  <si>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</si>
  <si>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</si>
  <si>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</si>
  <si>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</si>
  <si>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</si>
  <si>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</si>
  <si>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</si>
  <si>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</si>
  <si>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</si>
  <si>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</si>
  <si>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</si>
  <si>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</si>
  <si>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</si>
  <si>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</si>
  <si>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</si>
  <si>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</si>
  <si>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</si>
  <si>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</si>
  <si>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</si>
  <si>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</si>
  <si>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</si>
  <si>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</si>
  <si>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</si>
  <si>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</si>
  <si>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</si>
  <si>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</si>
  <si>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</si>
  <si>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</si>
  <si>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</si>
  <si>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</si>
  <si>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</si>
  <si>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</si>
  <si>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</si>
  <si>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</si>
  <si>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</si>
  <si>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</si>
  <si>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</si>
  <si>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</si>
  <si>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</si>
  <si>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</si>
  <si>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</si>
  <si>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</si>
  <si>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</si>
  <si>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</si>
  <si>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</si>
  <si>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</si>
  <si>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</si>
  <si>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</si>
  <si>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</si>
  <si>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</si>
  <si>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</si>
  <si>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</si>
  <si>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</si>
  <si>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</si>
  <si>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</si>
  <si>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</si>
  <si>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</si>
  <si>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</si>
  <si>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</si>
  <si>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</si>
  <si>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</si>
  <si>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</si>
  <si>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</si>
  <si>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</si>
  <si>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</si>
  <si>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</si>
  <si>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</si>
  <si>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</si>
  <si>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</si>
  <si>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</si>
  <si>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</si>
  <si>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</si>
  <si>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</si>
  <si>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</si>
  <si>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</si>
  <si>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</si>
  <si>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</si>
  <si>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</si>
  <si>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</si>
  <si>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</si>
  <si>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</si>
  <si>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</si>
  <si>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</si>
  <si>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</si>
  <si>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</si>
  <si>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</si>
  <si>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</si>
  <si>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</si>
  <si>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</si>
  <si>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</si>
  <si>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</si>
  <si>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</si>
  <si>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</si>
  <si>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</si>
  <si>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</si>
  <si>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</si>
  <si>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</si>
  <si>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</si>
  <si>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</si>
  <si>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</si>
  <si>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</si>
  <si>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</si>
  <si>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</si>
  <si>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</si>
  <si>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</si>
  <si>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</si>
  <si>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</si>
  <si>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</si>
  <si>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</si>
  <si>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</si>
  <si>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</si>
  <si>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</si>
  <si>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</si>
  <si>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</si>
  <si>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</si>
  <si>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</si>
  <si>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</si>
  <si>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</si>
  <si>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</si>
  <si>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</si>
  <si>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</si>
  <si>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</si>
  <si>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</si>
  <si>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</si>
  <si>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</si>
  <si>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</si>
  <si>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</si>
  <si>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</si>
  <si>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</si>
  <si>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</si>
  <si>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</si>
  <si>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</si>
  <si>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</si>
  <si>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</si>
  <si>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</si>
  <si>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</si>
  <si>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</si>
  <si>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</si>
  <si>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</si>
  <si>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</si>
  <si>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</si>
  <si>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</si>
  <si>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</si>
  <si>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</si>
  <si>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</si>
  <si>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</si>
  <si>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</si>
  <si>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</si>
  <si>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</si>
  <si>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</si>
  <si>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</si>
  <si>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</si>
  <si>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</si>
  <si>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</si>
  <si>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</si>
  <si>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</si>
  <si>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</si>
  <si>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</si>
  <si>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</si>
  <si>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</si>
  <si>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</si>
  <si>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</si>
  <si>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</si>
  <si>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</si>
  <si>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</si>
  <si>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</si>
  <si>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</si>
  <si>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</si>
  <si>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</si>
  <si>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</si>
  <si>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</si>
  <si>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</si>
  <si>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</si>
  <si>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</si>
  <si>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</si>
  <si>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</si>
  <si>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</si>
  <si>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</si>
  <si>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</si>
  <si>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</si>
  <si>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</si>
  <si>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</si>
  <si>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</si>
  <si>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</si>
  <si>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</si>
  <si>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</si>
  <si>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</si>
  <si>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</si>
  <si>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</si>
  <si>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</si>
  <si>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</si>
  <si>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</si>
  <si>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</si>
  <si>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</si>
  <si>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</si>
  <si>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</si>
  <si>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</si>
  <si>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</si>
  <si>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</si>
  <si>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</si>
  <si>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</si>
  <si>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</si>
  <si>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</si>
  <si>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</si>
  <si>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</si>
  <si>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</si>
  <si>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</si>
  <si>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</si>
  <si>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</si>
  <si>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</si>
  <si>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</si>
  <si>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</si>
  <si>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</si>
  <si>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</si>
  <si>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</si>
  <si>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</si>
  <si>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</si>
  <si>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</si>
  <si>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</si>
  <si>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</si>
  <si>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</si>
  <si>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</si>
  <si>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</si>
  <si>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</si>
  <si>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</si>
  <si>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</si>
  <si>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</si>
  <si>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</si>
  <si>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</si>
  <si>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</si>
  <si>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</si>
  <si>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</si>
  <si>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</si>
  <si>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</si>
  <si>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</si>
  <si>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</si>
  <si>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</si>
  <si>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</si>
  <si>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</si>
  <si>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</si>
  <si>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</si>
  <si>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</si>
  <si>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</si>
  <si>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</si>
  <si>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</si>
  <si>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</si>
  <si>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</si>
  <si>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</si>
  <si>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</si>
  <si>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</si>
  <si>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</si>
  <si>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</si>
  <si>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</si>
  <si>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</si>
  <si>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</si>
  <si>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</si>
  <si>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</si>
  <si>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</si>
  <si>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</si>
  <si>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</si>
  <si>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</si>
  <si>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</si>
  <si>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</si>
  <si>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</si>
  <si>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</si>
  <si>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</si>
  <si>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</si>
  <si>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</si>
  <si>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</si>
  <si>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</si>
  <si>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</si>
  <si>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</si>
  <si>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</si>
  <si>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</si>
  <si>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</si>
  <si>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</si>
  <si>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</si>
  <si>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</si>
  <si>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</si>
  <si>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</si>
  <si>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</si>
  <si>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</si>
  <si>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</si>
  <si>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</si>
  <si>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</si>
  <si>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</si>
  <si>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</si>
  <si>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</si>
  <si>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</si>
  <si>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</si>
  <si>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</si>
  <si>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</si>
  <si>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</si>
  <si>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</si>
  <si>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</si>
  <si>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</si>
  <si>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</si>
  <si>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</si>
  <si>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</si>
  <si>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</si>
  <si>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</si>
  <si>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</si>
  <si>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</si>
  <si>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</si>
  <si>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</si>
  <si>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</si>
  <si>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</si>
  <si>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</si>
  <si>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</si>
  <si>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</si>
  <si>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</si>
  <si>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</si>
  <si>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</si>
  <si>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</si>
  <si>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</si>
  <si>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</si>
  <si>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</si>
  <si>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</si>
  <si>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</si>
  <si>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</si>
  <si>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</si>
  <si>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</si>
  <si>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</si>
  <si>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</si>
  <si>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</si>
  <si>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</si>
  <si>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</si>
  <si>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</si>
  <si>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</si>
  <si>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</si>
  <si>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</si>
  <si>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</si>
  <si>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</si>
  <si>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</si>
  <si>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</si>
  <si>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</si>
  <si>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</si>
  <si>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</si>
  <si>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</si>
  <si>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</si>
  <si>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</si>
  <si>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</si>
  <si>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</si>
  <si>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</si>
  <si>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</si>
  <si>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</si>
  <si>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</si>
  <si>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</si>
  <si>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</si>
  <si>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</si>
  <si>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</si>
  <si>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</si>
  <si>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</si>
  <si>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</si>
  <si>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</si>
  <si>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</si>
  <si>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</si>
  <si>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</si>
  <si>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</si>
  <si>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</si>
  <si>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</si>
  <si>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</si>
  <si>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</si>
  <si>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</si>
  <si>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</si>
  <si>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</si>
  <si>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</si>
  <si>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</si>
  <si>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</si>
  <si>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</si>
  <si>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</si>
  <si>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</si>
  <si>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</si>
  <si>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</si>
  <si>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</si>
  <si>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</si>
  <si>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</si>
  <si>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</si>
  <si>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</si>
  <si>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</si>
  <si>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</si>
  <si>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</si>
  <si>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</si>
  <si>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</si>
  <si>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</si>
  <si>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</si>
  <si>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</si>
  <si>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</si>
  <si>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</si>
  <si>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</si>
  <si>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</si>
  <si>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</si>
  <si>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</si>
  <si>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</si>
  <si>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</si>
  <si>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</si>
  <si>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</si>
  <si>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</si>
  <si>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</si>
  <si>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</si>
  <si>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</si>
  <si>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</si>
  <si>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</si>
  <si>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</si>
  <si>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</si>
  <si>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</si>
  <si>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</si>
  <si>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</si>
  <si>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</si>
  <si>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</si>
  <si>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</si>
  <si>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</si>
  <si>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</si>
  <si>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</si>
  <si>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</si>
  <si>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</si>
  <si>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</si>
  <si>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</si>
  <si>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</si>
  <si>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</si>
  <si>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</si>
  <si>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</si>
  <si>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</si>
  <si>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</si>
  <si>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</si>
  <si>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</si>
  <si>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</si>
  <si>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</si>
  <si>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</si>
  <si>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</si>
  <si>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</si>
  <si>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</si>
  <si>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</si>
  <si>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</si>
  <si>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</si>
  <si>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</si>
  <si>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</si>
  <si>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</si>
  <si>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</si>
  <si>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</si>
  <si>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</si>
  <si>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</si>
  <si>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</si>
  <si>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</si>
  <si>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</si>
  <si>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</si>
  <si>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</si>
  <si>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</si>
  <si>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</si>
  <si>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</si>
  <si>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</si>
  <si>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</si>
  <si>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</si>
  <si>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</si>
  <si>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</si>
  <si>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</si>
  <si>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</si>
  <si>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</si>
  <si>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</si>
  <si>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</si>
  <si>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</si>
  <si>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</si>
  <si>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</si>
  <si>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</si>
  <si>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</si>
  <si>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</si>
  <si>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</si>
  <si>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</si>
  <si>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</si>
  <si>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</si>
  <si>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</si>
  <si>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</si>
  <si>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</si>
  <si>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</si>
  <si>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</si>
  <si>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</si>
  <si>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</si>
  <si>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</si>
  <si>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</si>
  <si>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</si>
  <si>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</si>
  <si>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</si>
  <si>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</si>
  <si>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</si>
  <si>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</si>
  <si>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</si>
  <si>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</si>
  <si>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</si>
  <si>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</si>
  <si>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</si>
  <si>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</si>
  <si>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</si>
  <si>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</si>
  <si>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</si>
  <si>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</si>
  <si>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</si>
  <si>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</si>
  <si>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</si>
  <si>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</si>
  <si>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</si>
  <si>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</si>
  <si>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</si>
  <si>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</si>
  <si>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</si>
  <si>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</si>
  <si>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</si>
  <si>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</si>
  <si>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</si>
  <si>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</si>
  <si>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</si>
  <si>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</si>
  <si>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</si>
  <si>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</si>
  <si>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</si>
  <si>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</si>
  <si>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</si>
  <si>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</si>
  <si>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</si>
  <si>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</si>
  <si>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</si>
  <si>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</si>
  <si>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</si>
  <si>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</si>
  <si>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</si>
  <si>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</si>
  <si>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</si>
  <si>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</si>
  <si>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</si>
  <si>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</si>
  <si>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</si>
  <si>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</si>
  <si>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</si>
  <si>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</si>
  <si>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</si>
  <si>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</si>
  <si>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</si>
  <si>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</si>
  <si>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</si>
  <si>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</si>
  <si>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</si>
  <si>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</si>
  <si>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</si>
  <si>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</si>
  <si>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</si>
  <si>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</si>
  <si>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</si>
  <si>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</si>
  <si>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</si>
  <si>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</si>
  <si>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</si>
  <si>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</si>
  <si>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</si>
  <si>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</si>
  <si>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</si>
  <si>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</si>
  <si>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</si>
  <si>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</si>
  <si>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</si>
  <si>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</si>
  <si>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</si>
  <si>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</si>
  <si>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</si>
  <si>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</si>
  <si>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</si>
  <si>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</si>
  <si>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</si>
  <si>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</si>
  <si>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</si>
  <si>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</si>
  <si>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</si>
  <si>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</si>
  <si>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</si>
  <si>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</si>
  <si>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</si>
  <si>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</si>
  <si>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</si>
  <si>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</si>
  <si>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</si>
  <si>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</si>
  <si>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</si>
  <si>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</si>
  <si>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</si>
  <si>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</si>
  <si>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</si>
  <si>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</si>
  <si>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</si>
  <si>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</si>
  <si>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</si>
  <si>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</si>
  <si>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</si>
  <si>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</si>
  <si>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</si>
  <si>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</si>
  <si>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</si>
  <si>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</si>
  <si>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</si>
  <si>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</si>
  <si>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</si>
  <si>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</si>
  <si>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</si>
  <si>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</si>
  <si>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</si>
  <si>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</si>
  <si>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</si>
  <si>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</si>
  <si>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</si>
  <si>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</si>
  <si>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</si>
  <si>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</si>
  <si>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</si>
  <si>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</si>
  <si>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</si>
  <si>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</si>
  <si>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</si>
  <si>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</si>
  <si>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</si>
  <si>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</si>
  <si>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</si>
  <si>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</si>
  <si>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</si>
  <si>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</si>
  <si>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</si>
  <si>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</si>
  <si>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</si>
  <si>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</si>
  <si>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</si>
  <si>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</si>
  <si>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</si>
  <si>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</si>
  <si>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</si>
  <si>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</si>
  <si>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</si>
  <si>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</si>
  <si>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</si>
  <si>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</si>
  <si>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</si>
  <si>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</si>
  <si>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</si>
  <si>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</si>
  <si>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</si>
  <si>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</si>
  <si>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</si>
  <si>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</si>
  <si>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</si>
  <si>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</si>
  <si>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</si>
  <si>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</si>
  <si>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</si>
  <si>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</si>
  <si>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</si>
  <si>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</si>
  <si>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</si>
  <si>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</si>
  <si>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</si>
  <si>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</si>
  <si>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</si>
  <si>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</si>
  <si>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</si>
  <si>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</si>
  <si>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</si>
  <si>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</si>
  <si>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</si>
  <si>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</si>
  <si>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</si>
  <si>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</si>
  <si>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</si>
  <si>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</si>
  <si>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</si>
  <si>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</si>
  <si>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</si>
  <si>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</si>
  <si>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</si>
  <si>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</si>
  <si>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</si>
  <si>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</si>
  <si>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</si>
  <si>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</si>
  <si>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</si>
  <si>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</si>
  <si>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</si>
  <si>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</si>
  <si>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</si>
  <si>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</si>
  <si>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</si>
  <si>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</si>
  <si>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</si>
  <si>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</si>
  <si>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</si>
  <si>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</si>
  <si>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</si>
  <si>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</si>
  <si>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</si>
  <si>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</si>
  <si>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</si>
  <si>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</si>
  <si>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</si>
  <si>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</si>
  <si>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</si>
  <si>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</si>
  <si>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</si>
  <si>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</si>
  <si>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</si>
  <si>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</si>
  <si>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</si>
  <si>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</si>
  <si>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</si>
  <si>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</si>
  <si>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</si>
  <si>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</si>
  <si>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</si>
  <si>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</si>
  <si>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</si>
  <si>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</si>
  <si>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</si>
  <si>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</si>
  <si>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</si>
  <si>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</si>
  <si>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</si>
  <si>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</si>
  <si>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</si>
  <si>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</si>
  <si>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</si>
  <si>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</si>
  <si>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</si>
  <si>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</si>
  <si>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</si>
  <si>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</si>
  <si>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</si>
  <si>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</si>
  <si>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</si>
  <si>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</si>
  <si>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</si>
  <si>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</si>
  <si>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</si>
  <si>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</si>
  <si>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</si>
  <si>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</si>
  <si>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</si>
  <si>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</si>
  <si>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</si>
  <si>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</si>
  <si>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</si>
  <si>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</si>
  <si>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</si>
  <si>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</si>
  <si>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</si>
  <si>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</si>
  <si>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</si>
  <si>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</si>
  <si>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</si>
  <si>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</si>
  <si>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</si>
  <si>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</si>
  <si>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</si>
  <si>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</si>
  <si>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</si>
  <si>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</si>
  <si>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</si>
  <si>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</si>
  <si>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</si>
  <si>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</si>
  <si>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</si>
  <si>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</si>
  <si>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</si>
  <si>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</si>
  <si>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</si>
  <si>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</si>
  <si>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</si>
  <si>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</si>
  <si>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</si>
  <si>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</si>
  <si>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</si>
  <si>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</si>
  <si>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</si>
  <si>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</si>
  <si>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</si>
  <si>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</si>
  <si>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</si>
  <si>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</si>
  <si>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</si>
  <si>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</si>
  <si>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</si>
  <si>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</si>
  <si>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</si>
  <si>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</si>
  <si>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</si>
  <si>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</si>
  <si>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</si>
  <si>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</si>
  <si>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</si>
  <si>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</si>
  <si>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</si>
  <si>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</si>
  <si>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</si>
  <si>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</si>
  <si>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</si>
  <si>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</si>
  <si>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</si>
  <si>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</si>
  <si>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</si>
  <si>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</si>
  <si>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</si>
  <si>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</si>
  <si>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</si>
  <si>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</si>
  <si>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</si>
  <si>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</si>
  <si>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</si>
  <si>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</si>
  <si>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</si>
  <si>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</si>
  <si>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</si>
  <si>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</si>
  <si>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</si>
  <si>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</si>
  <si>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</si>
  <si>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</si>
  <si>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</si>
  <si>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</si>
  <si>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</si>
  <si>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</si>
  <si>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</si>
  <si>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</si>
  <si>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</si>
  <si>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</si>
  <si>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</si>
  <si>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</si>
  <si>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</si>
  <si>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</si>
  <si>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</si>
  <si>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</si>
  <si>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</si>
  <si>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</si>
  <si>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</si>
  <si>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</si>
  <si>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</si>
  <si>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</si>
  <si>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</si>
  <si>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</si>
  <si>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</si>
  <si>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</si>
  <si>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</si>
  <si>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</si>
  <si>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</si>
  <si>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</si>
  <si>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</si>
  <si>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</si>
  <si>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</si>
  <si>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</si>
  <si>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</si>
  <si>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</si>
  <si>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</si>
  <si>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</si>
  <si>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</si>
  <si>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</si>
  <si>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</si>
  <si>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</si>
  <si>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</si>
  <si>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</si>
  <si>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</si>
  <si>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</si>
  <si>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</si>
  <si>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</si>
  <si>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</si>
  <si>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</si>
  <si>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</si>
  <si>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</si>
  <si>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</si>
  <si>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</si>
  <si>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</si>
  <si>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</si>
  <si>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</si>
  <si>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</si>
  <si>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</si>
  <si>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</si>
  <si>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</si>
  <si>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</si>
  <si>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</si>
  <si>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</si>
  <si>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</si>
  <si>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</si>
  <si>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</si>
  <si>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</si>
  <si>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</si>
  <si>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</si>
  <si>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</si>
  <si>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</si>
  <si>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</si>
  <si>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</si>
  <si>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</si>
  <si>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</si>
  <si>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</si>
  <si>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</si>
  <si>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</si>
  <si>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</si>
  <si>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</si>
  <si>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</si>
  <si>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</si>
  <si>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</si>
  <si>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</si>
  <si>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</si>
  <si>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</si>
  <si>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</si>
  <si>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</si>
  <si>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</si>
  <si>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</si>
  <si>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</si>
  <si>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</si>
  <si>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</si>
  <si>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</si>
  <si>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</si>
  <si>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</si>
  <si>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</si>
  <si>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</si>
  <si>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</si>
  <si>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</si>
  <si>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</si>
  <si>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</si>
  <si>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</si>
  <si>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</si>
  <si>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</si>
  <si>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</si>
  <si>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</si>
  <si>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</si>
  <si>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</si>
  <si>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</si>
  <si>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</si>
  <si>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</si>
  <si>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</si>
  <si>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</si>
  <si>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</si>
  <si>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</si>
  <si>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</si>
  <si>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</si>
  <si>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</si>
  <si>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</si>
  <si>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</si>
  <si>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</si>
  <si>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</si>
  <si>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</si>
  <si>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</si>
  <si>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</si>
  <si>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</si>
  <si>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</si>
  <si>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</si>
  <si>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</si>
  <si>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</si>
  <si>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</si>
  <si>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</si>
  <si>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</si>
  <si>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</si>
  <si>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</si>
  <si>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</si>
  <si>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</si>
  <si>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</si>
  <si>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</si>
  <si>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</si>
  <si>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</si>
  <si>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</si>
  <si>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</si>
  <si>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</si>
  <si>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</si>
  <si>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</si>
  <si>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</si>
  <si>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</si>
  <si>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</si>
  <si>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</si>
  <si>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</si>
  <si>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</si>
  <si>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</si>
  <si>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</si>
  <si>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</si>
  <si>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</si>
  <si>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</si>
  <si>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</si>
  <si>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</si>
  <si>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</si>
  <si>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</si>
  <si>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</si>
  <si>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</si>
  <si>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</si>
  <si>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</si>
  <si>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</si>
  <si>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</si>
  <si>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</si>
  <si>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</si>
  <si>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</si>
  <si>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</si>
  <si>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</si>
  <si>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</si>
  <si>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</si>
  <si>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</si>
  <si>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</si>
  <si>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</si>
  <si>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</si>
  <si>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</si>
  <si>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</si>
  <si>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</si>
  <si>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</si>
  <si>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</si>
  <si>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</si>
  <si>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</si>
  <si>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</si>
  <si>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</si>
  <si>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</si>
  <si>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</si>
  <si>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</si>
  <si>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</si>
  <si>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</si>
  <si>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</si>
  <si>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</si>
  <si>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</si>
  <si>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</si>
  <si>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</si>
  <si>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</si>
  <si>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</si>
  <si>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</si>
  <si>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</si>
  <si>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</si>
  <si>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</si>
  <si>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</si>
  <si>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</si>
  <si>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</si>
  <si>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</si>
  <si>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</si>
  <si>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</si>
  <si>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</si>
  <si>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</si>
  <si>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</si>
  <si>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</si>
  <si>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</si>
  <si>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</si>
  <si>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</si>
  <si>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</si>
  <si>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</si>
  <si>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</si>
  <si>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</si>
  <si>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</si>
  <si>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</si>
  <si>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</si>
  <si>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</si>
  <si>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</si>
  <si>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</si>
  <si>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</si>
  <si>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</si>
  <si>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</si>
  <si>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</si>
  <si>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</si>
  <si>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</si>
  <si>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</si>
  <si>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</si>
  <si>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</si>
  <si>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</si>
  <si>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</si>
  <si>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</si>
  <si>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</si>
  <si>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</si>
  <si>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</si>
  <si>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</si>
  <si>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</si>
  <si>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</si>
  <si>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</si>
  <si>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</si>
  <si>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</si>
  <si>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</si>
  <si>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</si>
  <si>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</si>
  <si>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</si>
  <si>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</si>
  <si>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</si>
  <si>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</si>
  <si>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</si>
  <si>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</si>
  <si>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</si>
  <si>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</si>
  <si>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</si>
  <si>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</si>
  <si>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</si>
  <si>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</si>
  <si>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</si>
  <si>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</si>
  <si>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</si>
  <si>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</si>
  <si>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</si>
  <si>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</si>
  <si>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</si>
  <si>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</si>
  <si>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</si>
  <si>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</si>
  <si>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</si>
  <si>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</si>
  <si>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</si>
  <si>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</si>
  <si>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</si>
  <si>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</si>
  <si>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</si>
  <si>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</si>
  <si>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</si>
  <si>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</si>
  <si>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</si>
  <si>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</si>
  <si>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</si>
  <si>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</si>
  <si>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</si>
  <si>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</si>
  <si>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</si>
  <si>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</si>
  <si>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</si>
  <si>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</si>
  <si>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</si>
  <si>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</si>
  <si>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</si>
  <si>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</si>
  <si>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</si>
  <si>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</si>
  <si>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</si>
  <si>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</si>
  <si>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</si>
  <si>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</si>
  <si>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</si>
  <si>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</si>
  <si>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</si>
  <si>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</si>
  <si>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</si>
  <si>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</si>
  <si>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</si>
  <si>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</si>
  <si>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</si>
  <si>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</si>
  <si>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</si>
  <si>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</si>
  <si>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</si>
  <si>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</si>
  <si>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</si>
  <si>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</si>
  <si>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</si>
  <si>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</si>
  <si>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</si>
  <si>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</si>
  <si>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</si>
  <si>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</si>
  <si>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</si>
  <si>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</si>
  <si>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</si>
  <si>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</si>
  <si>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</si>
  <si>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</si>
  <si>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</si>
  <si>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</si>
  <si>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</si>
  <si>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</si>
  <si>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</si>
  <si>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</si>
  <si>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</si>
  <si>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</si>
  <si>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</si>
  <si>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</si>
  <si>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</si>
  <si>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</si>
  <si>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</si>
  <si>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</si>
  <si>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</si>
  <si>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</si>
  <si>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</si>
  <si>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</si>
  <si>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</si>
  <si>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</si>
  <si>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</si>
  <si>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</si>
  <si>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</si>
  <si>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</si>
  <si>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</si>
  <si>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</si>
  <si>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</si>
  <si>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</si>
  <si>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</si>
  <si>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</si>
  <si>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</si>
  <si>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</si>
  <si>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</si>
  <si>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</si>
  <si>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</si>
  <si>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</si>
  <si>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</si>
  <si>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</si>
  <si>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</si>
  <si>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</si>
  <si>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</si>
  <si>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</si>
  <si>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</si>
  <si>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</si>
  <si>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</si>
  <si>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</si>
  <si>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</si>
  <si>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</si>
  <si>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</si>
  <si>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</si>
  <si>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</si>
  <si>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</si>
  <si>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</si>
  <si>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</si>
  <si>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</si>
  <si>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</si>
  <si>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</si>
  <si>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</si>
  <si>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</si>
  <si>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</si>
  <si>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</si>
  <si>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</si>
  <si>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</si>
  <si>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</si>
  <si>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</si>
  <si>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</si>
  <si>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</si>
  <si>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</si>
  <si>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</si>
  <si>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</si>
  <si>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</si>
  <si>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</si>
  <si>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</si>
  <si>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</si>
  <si>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</si>
  <si>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</si>
  <si>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</si>
  <si>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</si>
  <si>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</si>
  <si>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</si>
  <si>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</si>
  <si>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</si>
  <si>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</si>
  <si>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</si>
  <si>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</si>
  <si>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</si>
  <si>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</si>
  <si>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</si>
  <si>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</si>
  <si>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</si>
  <si>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</si>
  <si>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</si>
  <si>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</si>
  <si>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</si>
  <si>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</si>
  <si>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</si>
  <si>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</si>
  <si>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</si>
  <si>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</si>
  <si>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</si>
  <si>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</si>
  <si>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</si>
  <si>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</si>
  <si>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</si>
  <si>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</si>
  <si>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</si>
  <si>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</si>
  <si>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</si>
  <si>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</si>
  <si>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</si>
  <si>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</si>
  <si>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</si>
  <si>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</si>
  <si>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</si>
  <si>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</si>
  <si>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</si>
  <si>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</si>
  <si>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</si>
  <si>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</si>
  <si>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</si>
  <si>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</si>
  <si>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</si>
  <si>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</si>
  <si>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</si>
  <si>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</si>
  <si>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</si>
  <si>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</si>
  <si>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</si>
  <si>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</si>
  <si>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</si>
  <si>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</si>
  <si>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</si>
  <si>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</si>
  <si>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</si>
  <si>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</si>
  <si>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</si>
  <si>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</si>
  <si>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</si>
  <si>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</si>
  <si>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</si>
  <si>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</si>
  <si>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</si>
  <si>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</si>
  <si>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</si>
  <si>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</si>
  <si>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</si>
  <si>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</si>
  <si>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</si>
  <si>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</si>
  <si>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</si>
  <si>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</si>
  <si>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</si>
  <si>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</si>
  <si>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</si>
  <si>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</si>
  <si>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</si>
  <si>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</si>
  <si>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</si>
  <si>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</si>
  <si>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</si>
  <si>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</si>
  <si>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</si>
  <si>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</si>
  <si>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</si>
  <si>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</si>
  <si>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</si>
  <si>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</si>
  <si>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</si>
  <si>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</si>
  <si>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</si>
  <si>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</si>
  <si>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</si>
  <si>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</si>
  <si>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</si>
  <si>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</si>
  <si>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</si>
  <si>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</si>
  <si>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</si>
  <si>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</si>
  <si>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</si>
  <si>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</si>
  <si>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</si>
  <si>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</si>
  <si>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</si>
  <si>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</si>
  <si>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</si>
  <si>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</si>
  <si>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</si>
  <si>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</si>
  <si>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</si>
  <si>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</si>
  <si>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</si>
  <si>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</si>
  <si>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</si>
  <si>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</si>
  <si>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</si>
  <si>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</si>
  <si>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</si>
  <si>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</si>
  <si>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</si>
  <si>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</si>
  <si>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</si>
  <si>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</si>
  <si>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</si>
  <si>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</si>
  <si>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</si>
  <si>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</si>
  <si>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</si>
  <si>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</si>
  <si>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</si>
  <si>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</si>
  <si>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</si>
  <si>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</si>
  <si>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</si>
  <si>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</si>
  <si>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</si>
  <si>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</si>
  <si>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</si>
  <si>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</si>
  <si>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</si>
  <si>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</si>
  <si>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</si>
  <si>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</si>
  <si>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</si>
  <si>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</si>
  <si>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</si>
  <si>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</si>
  <si>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</si>
  <si>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</si>
  <si>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</si>
  <si>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</si>
  <si>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</si>
  <si>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</si>
  <si>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</si>
  <si>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</si>
  <si>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</si>
  <si>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</si>
  <si>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</si>
  <si>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</si>
  <si>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</si>
  <si>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</si>
  <si>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</si>
  <si>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</si>
  <si>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</si>
  <si>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</si>
  <si>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</si>
  <si>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</si>
  <si>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</si>
  <si>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</si>
  <si>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</si>
  <si>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</si>
  <si>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</si>
  <si>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</si>
  <si>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</si>
  <si>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</si>
  <si>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</si>
  <si>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</si>
  <si>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</si>
  <si>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</si>
  <si>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</si>
  <si>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</si>
  <si>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</si>
  <si>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</si>
  <si>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</si>
  <si>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</si>
  <si>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</si>
  <si>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</si>
  <si>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</si>
  <si>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</si>
  <si>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</si>
  <si>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</si>
  <si>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</si>
  <si>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</si>
  <si>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</si>
  <si>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</si>
  <si>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</si>
  <si>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</si>
  <si>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</si>
  <si>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</si>
  <si>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</si>
  <si>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</si>
  <si>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</si>
  <si>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</si>
  <si>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</si>
  <si>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</si>
  <si>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</si>
  <si>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</si>
  <si>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</si>
  <si>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</si>
  <si>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</si>
  <si>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</si>
  <si>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</si>
  <si>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</si>
  <si>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</si>
  <si>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</si>
  <si>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</si>
  <si>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</si>
  <si>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</si>
  <si>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</si>
  <si>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</si>
  <si>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</si>
  <si>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</si>
  <si>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</si>
  <si>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</si>
  <si>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</si>
  <si>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</si>
  <si>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</si>
  <si>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</si>
  <si>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</si>
  <si>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</si>
  <si>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</si>
  <si>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</si>
  <si>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</si>
  <si>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</si>
  <si>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</si>
  <si>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</si>
  <si>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</si>
  <si>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</si>
  <si>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</si>
  <si>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</si>
  <si>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</si>
  <si>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</si>
  <si>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</si>
  <si>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</si>
  <si>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</si>
  <si>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</si>
  <si>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</si>
  <si>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</si>
  <si>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</si>
  <si>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</si>
  <si>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</si>
  <si>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</si>
  <si>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</si>
  <si>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</si>
  <si>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</si>
  <si>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</si>
  <si>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</si>
  <si>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</si>
  <si>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</si>
  <si>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</si>
  <si>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</si>
  <si>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</si>
  <si>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</si>
  <si>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</si>
  <si>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</si>
  <si>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</si>
  <si>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</si>
  <si>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</si>
  <si>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</si>
  <si>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</si>
  <si>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</si>
  <si>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</si>
  <si>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</si>
  <si>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</si>
  <si>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</si>
  <si>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</si>
  <si>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</si>
  <si>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</si>
  <si>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</si>
  <si>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</si>
  <si>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</si>
  <si>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</si>
  <si>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</si>
  <si>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</si>
  <si>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</si>
  <si>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</si>
  <si>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</si>
  <si>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</si>
  <si>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</si>
  <si>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</si>
  <si>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</si>
  <si>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</si>
  <si>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</si>
  <si>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</si>
  <si>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</si>
  <si>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</si>
  <si>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</si>
  <si>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</si>
  <si>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</si>
  <si>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</si>
  <si>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</si>
  <si>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</si>
  <si>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</si>
  <si>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</si>
  <si>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</si>
  <si>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</si>
  <si>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</si>
  <si>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</si>
  <si>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</si>
  <si>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</si>
  <si>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</si>
  <si>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</si>
  <si>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</si>
  <si>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</si>
  <si>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</si>
  <si>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</si>
  <si>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</si>
  <si>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</si>
  <si>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</si>
  <si>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</si>
  <si>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</si>
  <si>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</si>
  <si>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</si>
  <si>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</si>
  <si>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</si>
  <si>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</si>
  <si>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</si>
  <si>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</si>
  <si>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</si>
  <si>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</si>
  <si>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</si>
  <si>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</si>
  <si>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</si>
  <si>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</si>
  <si>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</si>
  <si>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</si>
  <si>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</si>
  <si>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</si>
  <si>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</si>
  <si>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</si>
  <si>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</si>
  <si>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</si>
  <si>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</si>
  <si>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</si>
  <si>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</si>
  <si>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</si>
  <si>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</si>
  <si>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</si>
  <si>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</si>
  <si>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</si>
  <si>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</si>
  <si>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</si>
  <si>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</si>
  <si>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</si>
  <si>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</si>
  <si>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</si>
  <si>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</si>
  <si>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</si>
  <si>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</si>
  <si>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</si>
  <si>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</si>
  <si>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</si>
  <si>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</si>
  <si>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</si>
  <si>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</si>
  <si>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</si>
  <si>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</si>
  <si>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</si>
  <si>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</si>
  <si>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</si>
  <si>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</si>
  <si>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</si>
  <si>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</si>
  <si>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</si>
  <si>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</si>
  <si>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</si>
  <si>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</si>
  <si>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</si>
  <si>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</si>
  <si>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</si>
  <si>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</si>
  <si>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</si>
  <si>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</si>
  <si>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</si>
  <si>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</si>
  <si>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</si>
  <si>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</si>
  <si>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</si>
  <si>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</si>
  <si>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</si>
  <si>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</si>
  <si>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</si>
  <si>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</si>
  <si>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</si>
  <si>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</si>
  <si>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</si>
  <si>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</si>
  <si>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</si>
  <si>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</si>
  <si>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</si>
  <si>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</si>
  <si>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</si>
  <si>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</si>
  <si>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</si>
  <si>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</si>
  <si>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</si>
  <si>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</si>
  <si>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</si>
  <si>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</si>
  <si>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</si>
  <si>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</si>
  <si>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</si>
  <si>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</si>
  <si>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</si>
  <si>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</si>
  <si>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</si>
  <si>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</si>
  <si>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</si>
  <si>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</si>
  <si>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</si>
  <si>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</si>
  <si>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</si>
  <si>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</si>
  <si>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</si>
  <si>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</si>
  <si>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</si>
  <si>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</si>
  <si>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</si>
  <si>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</si>
  <si>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</si>
  <si>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</si>
  <si>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</si>
  <si>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</si>
  <si>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</si>
  <si>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</si>
  <si>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</si>
  <si>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</si>
  <si>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</si>
  <si>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</si>
  <si>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</si>
  <si>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</si>
  <si>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</si>
  <si>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</si>
  <si>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</si>
  <si>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</si>
  <si>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</si>
  <si>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</si>
  <si>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</si>
  <si>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</si>
  <si>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</si>
  <si>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</si>
  <si>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</si>
  <si>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</si>
  <si>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</si>
  <si>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</si>
  <si>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</si>
  <si>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</si>
  <si>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</si>
  <si>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</si>
  <si>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</si>
  <si>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</si>
  <si>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</si>
  <si>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</si>
  <si>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</si>
  <si>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</si>
  <si>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</si>
  <si>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</si>
  <si>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</si>
  <si>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</si>
  <si>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</si>
  <si>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</si>
  <si>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</si>
  <si>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</si>
  <si>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</si>
  <si>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</si>
  <si>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</si>
  <si>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</si>
  <si>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</si>
  <si>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</si>
  <si>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</si>
  <si>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</si>
  <si>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</si>
  <si>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</si>
  <si>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</si>
  <si>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</si>
  <si>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</si>
  <si>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</si>
  <si>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</si>
  <si>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</si>
  <si>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</si>
  <si>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</si>
  <si>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</si>
  <si>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</si>
  <si>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</si>
  <si>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</si>
  <si>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</si>
  <si>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</si>
  <si>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</si>
  <si>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</si>
  <si>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</si>
  <si>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</si>
  <si>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</si>
  <si>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</si>
  <si>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</si>
  <si>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</si>
  <si>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</si>
  <si>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</si>
  <si>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</si>
  <si>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</si>
  <si>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</si>
  <si>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</si>
  <si>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</si>
  <si>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</si>
  <si>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</si>
  <si>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</si>
  <si>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</si>
  <si>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</si>
  <si>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</si>
  <si>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</si>
  <si>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</si>
  <si>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</si>
  <si>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</si>
  <si>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</si>
  <si>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</si>
  <si>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</si>
  <si>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</si>
  <si>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</si>
  <si>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</si>
  <si>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</si>
  <si>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</si>
  <si>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</si>
  <si>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</si>
  <si>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</si>
  <si>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</si>
  <si>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</si>
  <si>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</si>
  <si>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</si>
  <si>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</si>
  <si>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</si>
  <si>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</si>
  <si>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</si>
  <si>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</si>
  <si>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</si>
  <si>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</si>
  <si>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</si>
  <si>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</si>
  <si>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</si>
  <si>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</si>
  <si>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</si>
  <si>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</si>
  <si>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</si>
  <si>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</si>
  <si>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</si>
  <si>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</si>
  <si>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</si>
  <si>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</si>
  <si>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</si>
  <si>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</si>
  <si>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</si>
  <si>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</si>
  <si>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</si>
  <si>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</si>
  <si>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</si>
  <si>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</si>
  <si>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</si>
  <si>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</si>
  <si>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</si>
  <si>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</si>
  <si>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</si>
  <si>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</si>
  <si>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</si>
  <si>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</si>
  <si>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</si>
  <si>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</si>
  <si>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</si>
  <si>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</si>
  <si>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</si>
  <si>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</si>
  <si>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</si>
  <si>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</si>
  <si>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</si>
  <si>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</si>
  <si>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</si>
  <si>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</si>
  <si>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</si>
  <si>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</si>
  <si>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</si>
  <si>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</si>
  <si>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</si>
  <si>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</si>
  <si>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</si>
  <si>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</si>
  <si>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</si>
  <si>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</si>
  <si>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</si>
  <si>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</si>
  <si>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</si>
  <si>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</si>
  <si>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</si>
  <si>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</si>
  <si>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</si>
  <si>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</si>
  <si>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</si>
  <si>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</si>
  <si>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</si>
  <si>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</si>
  <si>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</si>
  <si>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</si>
  <si>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</si>
  <si>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</si>
  <si>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</si>
  <si>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</si>
  <si>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</si>
  <si>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</si>
  <si>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</si>
  <si>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</si>
  <si>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</si>
  <si>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</si>
  <si>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</si>
  <si>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</si>
  <si>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</si>
  <si>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</si>
  <si>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</si>
  <si>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</si>
  <si>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</si>
  <si>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</si>
  <si>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</si>
  <si>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</si>
  <si>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</si>
  <si>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</si>
  <si>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</si>
  <si>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</si>
  <si>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</si>
  <si>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</si>
  <si>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</si>
  <si>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</si>
  <si>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</si>
  <si>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</si>
  <si>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</si>
  <si>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</si>
  <si>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</si>
  <si>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</si>
  <si>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</si>
  <si>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</si>
  <si>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</si>
  <si>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</si>
  <si>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</si>
  <si>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</si>
  <si>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</si>
  <si>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</si>
  <si>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</si>
  <si>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</si>
  <si>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</si>
  <si>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</si>
  <si>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</si>
  <si>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</si>
  <si>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</si>
  <si>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</si>
  <si>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</si>
  <si>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</si>
  <si>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</si>
  <si>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</si>
  <si>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</si>
  <si>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</si>
  <si>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</si>
  <si>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</si>
  <si>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</si>
  <si>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</si>
  <si>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</si>
  <si>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</si>
  <si>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</si>
  <si>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</si>
  <si>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</si>
  <si>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</si>
  <si>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</si>
  <si>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</si>
  <si>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</si>
  <si>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</si>
  <si>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</si>
  <si>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</si>
  <si>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</si>
  <si>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</si>
  <si>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</si>
  <si>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</si>
  <si>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</si>
  <si>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</si>
  <si>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</si>
  <si>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</si>
  <si>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</si>
  <si>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</si>
  <si>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</si>
  <si>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</si>
  <si>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</si>
  <si>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</si>
  <si>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</si>
  <si>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</si>
  <si>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</si>
  <si>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</si>
  <si>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</si>
  <si>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</si>
  <si>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</si>
  <si>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</si>
  <si>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</si>
  <si>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</si>
  <si>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</si>
  <si>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</si>
  <si>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</si>
  <si>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</si>
  <si>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</si>
  <si>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</si>
  <si>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</si>
  <si>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</si>
  <si>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</si>
  <si>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</si>
  <si>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</si>
  <si>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</si>
  <si>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</si>
  <si>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</si>
  <si>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</si>
  <si>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</si>
  <si>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</si>
  <si>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</si>
  <si>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</si>
  <si>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</si>
  <si>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</si>
  <si>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</si>
  <si>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</si>
  <si>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</si>
  <si>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</si>
  <si>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</si>
  <si>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</si>
  <si>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</si>
  <si>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</si>
  <si>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</si>
  <si>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</si>
  <si>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</si>
  <si>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</si>
  <si>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</si>
  <si>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</si>
  <si>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</si>
  <si>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</si>
  <si>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</si>
  <si>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</si>
  <si>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</si>
  <si>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</si>
  <si>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</si>
  <si>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</si>
  <si>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</si>
  <si>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</si>
  <si>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</si>
  <si>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</si>
  <si>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</si>
  <si>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</si>
  <si>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</si>
  <si>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</si>
  <si>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</si>
  <si>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</si>
  <si>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</si>
  <si>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</si>
  <si>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</si>
  <si>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</si>
  <si>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</si>
  <si>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</si>
  <si>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</si>
  <si>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</si>
  <si>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</si>
  <si>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</si>
  <si>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</si>
  <si>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</si>
  <si>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</si>
  <si>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</si>
  <si>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</si>
  <si>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</si>
  <si>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</si>
  <si>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</si>
  <si>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</si>
  <si>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</si>
  <si>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</si>
  <si>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</si>
  <si>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</si>
  <si>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</si>
  <si>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</si>
  <si>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</si>
  <si>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</si>
  <si>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</si>
  <si>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</si>
  <si>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</si>
  <si>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</si>
  <si>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</si>
  <si>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</si>
  <si>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</si>
  <si>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</si>
  <si>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</si>
  <si>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</si>
  <si>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</si>
  <si>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</si>
  <si>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</si>
  <si>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</si>
  <si>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</si>
  <si>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</si>
  <si>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</si>
  <si>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</si>
  <si>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</si>
  <si>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</si>
  <si>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</si>
  <si>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</si>
  <si>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</si>
  <si>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</si>
  <si>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</si>
  <si>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</si>
  <si>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</si>
  <si>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</si>
  <si>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</si>
  <si>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</si>
  <si>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</si>
  <si>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</si>
  <si>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</si>
  <si>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</si>
  <si>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</si>
  <si>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</si>
  <si>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</si>
  <si>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</si>
  <si>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</si>
  <si>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</si>
  <si>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</si>
  <si>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</si>
  <si>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</si>
  <si>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</si>
  <si>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</si>
  <si>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</si>
  <si>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</si>
  <si>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</si>
  <si>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</si>
  <si>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</si>
  <si>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</si>
  <si>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</si>
  <si>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</si>
  <si>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</si>
  <si>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</si>
  <si>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</si>
  <si>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</si>
  <si>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</si>
  <si>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</si>
  <si>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</si>
  <si>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</si>
  <si>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</si>
  <si>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</si>
  <si>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</si>
  <si>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</si>
  <si>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</si>
  <si>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</si>
  <si>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</si>
  <si>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</si>
  <si>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</si>
  <si>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</si>
  <si>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</si>
  <si>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</si>
  <si>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</si>
  <si>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</si>
  <si>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</si>
  <si>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</si>
  <si>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</si>
  <si>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</si>
  <si>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</si>
  <si>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</si>
  <si>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</si>
  <si>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</si>
  <si>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</si>
  <si>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</si>
  <si>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</si>
  <si>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</si>
  <si>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</si>
  <si>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</si>
  <si>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</si>
  <si>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</si>
  <si>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</si>
  <si>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</si>
  <si>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</si>
  <si>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</si>
  <si>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</si>
  <si>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</si>
  <si>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</si>
  <si>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</si>
  <si>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</si>
  <si>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</si>
  <si>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</si>
  <si>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</si>
  <si>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</si>
  <si>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</si>
  <si>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</si>
  <si>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</si>
  <si>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</si>
  <si>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</si>
  <si>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</si>
  <si>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</si>
  <si>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</si>
  <si>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</si>
  <si>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</si>
  <si>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</si>
  <si>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</si>
  <si>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</si>
  <si>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</si>
  <si>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</si>
  <si>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</si>
  <si>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</si>
  <si>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</si>
  <si>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</si>
  <si>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</si>
  <si>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</si>
  <si>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</si>
  <si>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</si>
  <si>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</si>
  <si>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</si>
  <si>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</si>
  <si>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</si>
  <si>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</si>
  <si>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</si>
  <si>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</si>
  <si>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</si>
  <si>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</si>
  <si>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</si>
  <si>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</si>
  <si>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</si>
  <si>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</si>
  <si>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</si>
  <si>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</si>
  <si>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</si>
  <si>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</si>
  <si>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</si>
  <si>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</si>
  <si>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</si>
  <si>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</si>
  <si>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</si>
  <si>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</si>
  <si>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</si>
  <si>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</si>
  <si>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</si>
  <si>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</si>
  <si>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</si>
  <si>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</si>
  <si>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</si>
  <si>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</si>
  <si>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</si>
  <si>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</si>
  <si>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</si>
  <si>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</si>
  <si>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</si>
  <si>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</si>
  <si>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</si>
  <si>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</si>
  <si>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</si>
  <si>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</si>
  <si>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</si>
  <si>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</si>
  <si>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</si>
  <si>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</si>
  <si>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</si>
  <si>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</si>
  <si>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</si>
  <si>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</si>
  <si>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</si>
  <si>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</si>
  <si>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</si>
  <si>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</si>
  <si>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</si>
  <si>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</si>
  <si>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</si>
  <si>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</si>
  <si>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</si>
  <si>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</si>
  <si>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</si>
  <si>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</si>
  <si>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</si>
  <si>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</si>
  <si>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</si>
  <si>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</si>
  <si>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</si>
  <si>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</si>
  <si>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</si>
  <si>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</si>
  <si>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</si>
  <si>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</si>
  <si>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</si>
  <si>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</si>
  <si>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</si>
  <si>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</si>
  <si>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</si>
  <si>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</si>
  <si>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</si>
  <si>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</si>
  <si>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</si>
  <si>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</si>
  <si>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</si>
  <si>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</si>
  <si>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</si>
  <si>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</si>
  <si>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</si>
  <si>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</si>
  <si>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</si>
  <si>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</si>
  <si>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</si>
  <si>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</si>
  <si>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</si>
  <si>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</si>
  <si>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</si>
  <si>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</si>
  <si>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</si>
  <si>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</si>
  <si>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</si>
  <si>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</si>
  <si>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</si>
  <si>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</si>
  <si>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</si>
  <si>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</si>
  <si>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</si>
  <si>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</si>
  <si>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</si>
  <si>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</si>
  <si>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</si>
  <si>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</si>
  <si>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</si>
  <si>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</si>
  <si>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</si>
  <si>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</si>
  <si>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</si>
  <si>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</si>
  <si>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</si>
  <si>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</si>
  <si>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</si>
  <si>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</si>
  <si>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</si>
  <si>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</si>
  <si>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</si>
  <si>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</si>
  <si>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</si>
  <si>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</si>
  <si>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</si>
  <si>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</si>
  <si>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</si>
  <si>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</si>
  <si>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</si>
  <si>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</si>
  <si>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</si>
  <si>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</si>
  <si>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</si>
  <si>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</si>
  <si>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</si>
  <si>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</si>
  <si>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</si>
  <si>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</si>
  <si>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</si>
  <si>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</si>
  <si>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</si>
  <si>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</si>
  <si>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</si>
  <si>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</si>
  <si>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</si>
  <si>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</si>
  <si>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</si>
  <si>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</si>
  <si>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</si>
  <si>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</si>
  <si>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</si>
  <si>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</si>
  <si>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</si>
  <si>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</si>
  <si>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</si>
  <si>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</si>
  <si>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</si>
  <si>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</si>
  <si>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</si>
  <si>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</si>
  <si>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</si>
  <si>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</si>
  <si>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</si>
  <si>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</si>
  <si>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</si>
  <si>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</si>
  <si>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</si>
  <si>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</si>
  <si>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</si>
  <si>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</si>
  <si>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</si>
  <si>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</si>
  <si>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</si>
  <si>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</si>
  <si>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</si>
  <si>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</si>
  <si>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</si>
  <si>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</si>
  <si>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</si>
  <si>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</si>
  <si>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</si>
  <si>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</si>
  <si>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</si>
  <si>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</si>
  <si>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</si>
  <si>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</si>
  <si>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</si>
  <si>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</si>
  <si>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</si>
  <si>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</si>
  <si>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</si>
  <si>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</si>
  <si>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</si>
  <si>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</si>
  <si>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</si>
  <si>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</si>
  <si>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</si>
  <si>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</si>
  <si>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</si>
  <si>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</si>
  <si>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</si>
  <si>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</si>
  <si>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</si>
  <si>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</si>
  <si>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</si>
  <si>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</si>
  <si>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</si>
  <si>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</si>
  <si>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</si>
  <si>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</si>
  <si>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</si>
  <si>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</si>
  <si>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</si>
  <si>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</si>
  <si>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</si>
  <si>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</si>
  <si>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</si>
  <si>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</si>
  <si>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</si>
  <si>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</si>
  <si>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</si>
  <si>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</si>
  <si>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</si>
  <si>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</si>
  <si>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</si>
  <si>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</si>
  <si>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</si>
  <si>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</si>
  <si>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</si>
  <si>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</si>
  <si>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</si>
  <si>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</si>
  <si>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</si>
  <si>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</si>
  <si>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</si>
  <si>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</si>
  <si>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</si>
  <si>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</si>
  <si>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</si>
  <si>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</si>
  <si>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</si>
  <si>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</si>
  <si>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</si>
  <si>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</si>
  <si>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</si>
  <si>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</si>
  <si>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</si>
  <si>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</si>
  <si>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</si>
  <si>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</si>
  <si>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</si>
  <si>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</si>
  <si>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</si>
  <si>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</si>
  <si>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</si>
  <si>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</si>
  <si>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</si>
  <si>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</si>
  <si>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</si>
  <si>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</si>
  <si>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</si>
  <si>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</si>
  <si>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</si>
  <si>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</si>
  <si>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</si>
  <si>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</si>
  <si>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</si>
  <si>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</si>
  <si>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</si>
  <si>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</si>
  <si>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</si>
  <si>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</si>
  <si>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</si>
  <si>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</si>
  <si>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</si>
  <si>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</si>
  <si>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</si>
  <si>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</si>
  <si>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</si>
  <si>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</si>
  <si>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</si>
  <si>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</si>
  <si>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</si>
  <si>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</si>
  <si>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</si>
  <si>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</si>
  <si>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</si>
  <si>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</si>
  <si>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</si>
  <si>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</si>
  <si>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</si>
  <si>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</si>
  <si>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</si>
  <si>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</si>
  <si>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</si>
  <si>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</si>
  <si>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</si>
  <si>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</si>
  <si>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</si>
  <si>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</si>
  <si>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</si>
  <si>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</si>
  <si>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</si>
  <si>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</si>
  <si>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</si>
  <si>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</si>
  <si>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</si>
  <si>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</si>
  <si>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</si>
  <si>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</si>
  <si>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</si>
  <si>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</si>
  <si>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</si>
  <si>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</si>
  <si>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</si>
  <si>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</si>
  <si>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</si>
  <si>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</si>
  <si>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</si>
  <si>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</si>
  <si>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</si>
  <si>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</si>
  <si>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</si>
  <si>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</si>
  <si>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</si>
  <si>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</si>
  <si>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</si>
  <si>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</si>
  <si>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</si>
  <si>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</si>
  <si>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</si>
  <si>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</si>
  <si>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</si>
  <si>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</si>
  <si>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</si>
  <si>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</si>
  <si>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</si>
  <si>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</si>
  <si>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</si>
  <si>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</si>
  <si>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</si>
  <si>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</si>
  <si>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</si>
  <si>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</si>
  <si>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</si>
  <si>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</si>
  <si>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</si>
  <si>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</si>
  <si>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</si>
  <si>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</si>
  <si>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</si>
  <si>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</si>
  <si>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</si>
  <si>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</si>
  <si>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</si>
  <si>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</si>
  <si>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</si>
  <si>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</si>
  <si>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</si>
  <si>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</si>
  <si>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</si>
  <si>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</si>
  <si>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</si>
  <si>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</si>
  <si>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</si>
  <si>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</si>
  <si>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</si>
  <si>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</si>
  <si>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</si>
  <si>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</si>
  <si>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</si>
  <si>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</si>
  <si>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</si>
  <si>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</si>
  <si>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</si>
  <si>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</si>
  <si>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</si>
  <si>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</si>
  <si>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</si>
  <si>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</si>
  <si>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</si>
  <si>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</si>
  <si>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</si>
  <si>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</si>
  <si>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</si>
  <si>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</si>
  <si>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</si>
  <si>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</si>
  <si>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</si>
  <si>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</si>
  <si>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</si>
  <si>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</si>
  <si>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</si>
  <si>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</si>
  <si>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</si>
  <si>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</si>
  <si>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</si>
  <si>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</si>
  <si>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</si>
  <si>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</si>
  <si>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</si>
  <si>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</si>
  <si>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</si>
  <si>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</si>
  <si>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</si>
  <si>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</si>
  <si>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</si>
  <si>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</si>
  <si>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</si>
  <si>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</si>
  <si>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</si>
  <si>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</si>
  <si>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</si>
  <si>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</si>
  <si>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</si>
  <si>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</si>
  <si>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</si>
  <si>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</si>
  <si>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</si>
  <si>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</si>
  <si>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</si>
  <si>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</si>
  <si>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</si>
  <si>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</si>
  <si>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</si>
  <si>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</si>
  <si>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</si>
  <si>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</si>
  <si>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</si>
  <si>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</si>
  <si>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</si>
  <si>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</si>
  <si>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</si>
  <si>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</si>
  <si>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</si>
  <si>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</si>
  <si>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</si>
  <si>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</si>
  <si>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</si>
  <si>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</si>
  <si>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</si>
  <si>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</si>
  <si>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</si>
  <si>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</si>
  <si>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</si>
  <si>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</si>
  <si>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</si>
  <si>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</si>
  <si>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</si>
  <si>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</si>
  <si>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</si>
  <si>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</si>
  <si>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</si>
  <si>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</si>
  <si>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</si>
  <si>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</si>
  <si>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</si>
  <si>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</si>
  <si>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</si>
  <si>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</si>
  <si>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</si>
  <si>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</si>
  <si>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</si>
  <si>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</si>
  <si>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</si>
  <si>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</si>
  <si>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</si>
  <si>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</si>
  <si>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</si>
  <si>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</si>
  <si>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</si>
  <si>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</si>
  <si>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</si>
  <si>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</si>
  <si>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</si>
  <si>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</si>
  <si>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</si>
  <si>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</si>
  <si>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</si>
  <si>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</si>
  <si>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</si>
  <si>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</si>
  <si>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</si>
  <si>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</si>
  <si>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</si>
  <si>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</si>
  <si>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</si>
  <si>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</si>
  <si>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</si>
  <si>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</si>
  <si>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</si>
  <si>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</si>
  <si>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</si>
  <si>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</si>
  <si>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</si>
  <si>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</si>
  <si>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</si>
  <si>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</si>
  <si>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</si>
  <si>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</si>
  <si>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</si>
  <si>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</si>
  <si>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</si>
  <si>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</si>
  <si>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</si>
  <si>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</si>
  <si>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</si>
  <si>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</si>
  <si>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</si>
  <si>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</si>
  <si>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</si>
  <si>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</si>
  <si>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</si>
  <si>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</si>
  <si>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</si>
  <si>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</si>
  <si>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</si>
  <si>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</si>
  <si>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</si>
  <si>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</si>
  <si>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</si>
  <si>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</si>
  <si>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</si>
  <si>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</si>
  <si>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</si>
  <si>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</si>
  <si>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</si>
  <si>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</si>
  <si>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</si>
  <si>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</si>
  <si>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</si>
  <si>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</si>
  <si>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</si>
  <si>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</si>
  <si>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</si>
  <si>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</si>
  <si>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</si>
  <si>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</si>
  <si>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</si>
  <si>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</si>
  <si>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</si>
  <si>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</si>
  <si>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</si>
  <si>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</si>
  <si>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</si>
  <si>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</si>
  <si>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</si>
  <si>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</si>
  <si>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</si>
  <si>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</si>
  <si>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</si>
  <si>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</si>
  <si>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</si>
  <si>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</si>
  <si>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</si>
  <si>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</si>
  <si>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</si>
  <si>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</si>
  <si>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</si>
  <si>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</si>
  <si>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</si>
  <si>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</si>
  <si>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</si>
  <si>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</si>
  <si>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</si>
  <si>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</si>
  <si>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</si>
  <si>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</si>
  <si>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</si>
  <si>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</si>
  <si>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</si>
  <si>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</si>
  <si>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</si>
  <si>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</si>
  <si>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</si>
  <si>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</si>
  <si>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</si>
  <si>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</si>
  <si>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</si>
  <si>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</si>
  <si>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</si>
  <si>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</si>
  <si>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</si>
  <si>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</si>
  <si>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</si>
  <si>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</si>
  <si>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</si>
  <si>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</si>
  <si>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</si>
  <si>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</si>
  <si>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</si>
  <si>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</si>
  <si>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</si>
  <si>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</si>
  <si>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</si>
  <si>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</si>
  <si>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</si>
  <si>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</si>
  <si>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</si>
  <si>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</si>
  <si>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</si>
  <si>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</si>
  <si>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</si>
  <si>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</si>
  <si>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</si>
  <si>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</si>
  <si>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</si>
  <si>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</si>
  <si>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</si>
  <si>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</si>
  <si>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</si>
  <si>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</si>
  <si>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</si>
  <si>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</si>
  <si>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</si>
  <si>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</si>
  <si>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</si>
  <si>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</si>
  <si>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</si>
  <si>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</si>
  <si>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</si>
  <si>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</si>
  <si>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</si>
  <si>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</si>
  <si>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</si>
  <si>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</si>
  <si>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</si>
  <si>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</si>
  <si>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</si>
  <si>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</si>
  <si>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</si>
  <si>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</si>
  <si>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</si>
  <si>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</si>
  <si>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</si>
  <si>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</si>
  <si>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</si>
  <si>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</si>
  <si>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</si>
  <si>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</si>
  <si>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</si>
  <si>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</si>
  <si>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</si>
  <si>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</si>
  <si>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</si>
  <si>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</si>
  <si>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</si>
  <si>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</si>
  <si>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</si>
  <si>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</si>
  <si>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</si>
  <si>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</si>
  <si>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</si>
  <si>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</si>
  <si>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</si>
  <si>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</si>
  <si>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</si>
  <si>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</si>
  <si>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</si>
  <si>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</si>
  <si>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</si>
  <si>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</si>
  <si>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</si>
  <si>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</si>
  <si>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</si>
  <si>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</si>
  <si>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</si>
  <si>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</si>
  <si>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</si>
  <si>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</si>
  <si>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</si>
  <si>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</si>
  <si>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</si>
  <si>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</si>
  <si>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</si>
  <si>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</si>
  <si>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</si>
  <si>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</si>
  <si>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</si>
  <si>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</si>
  <si>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</si>
  <si>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</si>
  <si>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</si>
  <si>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</si>
  <si>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</si>
  <si>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</si>
  <si>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</si>
  <si>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</si>
  <si>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</si>
  <si>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</si>
  <si>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</si>
  <si>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</si>
  <si>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</si>
  <si>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</si>
  <si>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</si>
  <si>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</si>
  <si>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</si>
  <si>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</si>
  <si>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</si>
  <si>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</si>
  <si>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</si>
  <si>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</si>
  <si>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</si>
  <si>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</si>
  <si>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</si>
  <si>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</si>
  <si>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</si>
  <si>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</si>
  <si>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</si>
  <si>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</si>
  <si>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</si>
  <si>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</si>
  <si>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</si>
  <si>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</si>
  <si>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</si>
  <si>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</si>
  <si>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</si>
  <si>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</si>
  <si>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</si>
  <si>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</si>
  <si>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</si>
  <si>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</si>
  <si>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</si>
  <si>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</si>
  <si>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</si>
  <si>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</si>
  <si>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</si>
  <si>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</si>
  <si>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</si>
  <si>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</si>
  <si>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</si>
  <si>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</si>
  <si>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</si>
  <si>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</si>
  <si>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</si>
  <si>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</si>
  <si>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</si>
  <si>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</si>
  <si>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</si>
  <si>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</si>
  <si>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</si>
  <si>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</si>
  <si>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</si>
  <si>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</si>
  <si>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</si>
  <si>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</si>
  <si>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</si>
  <si>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</si>
  <si>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</si>
  <si>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</si>
  <si>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</si>
  <si>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</si>
  <si>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</si>
  <si>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</si>
  <si>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</si>
  <si>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</si>
  <si>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</si>
  <si>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</si>
  <si>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</si>
  <si>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</si>
  <si>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</si>
  <si>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</si>
  <si>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</si>
  <si>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</si>
  <si>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</si>
  <si>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</si>
  <si>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</si>
  <si>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</si>
  <si>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</si>
  <si>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</si>
  <si>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</si>
  <si>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</si>
  <si>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</si>
  <si>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</si>
  <si>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</si>
  <si>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</si>
  <si>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</si>
  <si>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</si>
  <si>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</si>
  <si>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</si>
  <si>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</si>
  <si>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</si>
  <si>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</si>
  <si>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</si>
  <si>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</si>
  <si>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</si>
  <si>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</si>
  <si>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</si>
  <si>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</si>
  <si>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</si>
  <si>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</si>
  <si>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</si>
  <si>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</si>
  <si>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</si>
  <si>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</si>
  <si>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</si>
  <si>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</si>
  <si>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</si>
  <si>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</si>
  <si>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</si>
  <si>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</si>
  <si>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</si>
  <si>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</si>
  <si>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</si>
  <si>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</si>
  <si>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</si>
  <si>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</si>
  <si>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</si>
  <si>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</si>
  <si>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</si>
  <si>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</si>
  <si>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</si>
  <si>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</si>
  <si>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</si>
  <si>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</si>
  <si>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</si>
  <si>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</si>
  <si>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</si>
  <si>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</si>
  <si>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</si>
  <si>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</si>
  <si>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</si>
  <si>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</si>
  <si>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</si>
  <si>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</si>
  <si>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</si>
  <si>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</si>
  <si>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</si>
  <si>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</si>
  <si>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</si>
  <si>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</si>
  <si>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</si>
  <si>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</si>
  <si>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</si>
  <si>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</si>
  <si>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</si>
  <si>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</si>
  <si>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</si>
  <si>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</si>
  <si>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</si>
  <si>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</si>
  <si>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</si>
  <si>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</si>
  <si>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</si>
  <si>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</si>
  <si>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</si>
  <si>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</si>
  <si>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</si>
  <si>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</si>
  <si>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</si>
  <si>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</si>
  <si>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</si>
  <si>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</si>
  <si>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</si>
  <si>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</si>
  <si>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</si>
  <si>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</si>
  <si>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</si>
  <si>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</si>
  <si>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</si>
  <si>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</si>
  <si>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</si>
  <si>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</si>
  <si>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</si>
  <si>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</si>
  <si>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</si>
  <si>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</si>
  <si>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</si>
  <si>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</si>
  <si>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</si>
  <si>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</si>
  <si>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</si>
  <si>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</si>
  <si>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</si>
  <si>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</si>
  <si>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</si>
  <si>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</si>
  <si>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</si>
  <si>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</si>
  <si>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</si>
  <si>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</si>
  <si>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</si>
  <si>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</si>
  <si>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</si>
  <si>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</si>
  <si>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</si>
  <si>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</si>
  <si>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</si>
  <si>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</si>
  <si>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</si>
  <si>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</si>
  <si>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</si>
  <si>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</si>
  <si>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</si>
  <si>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</si>
  <si>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</si>
  <si>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</si>
  <si>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</si>
  <si>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</si>
  <si>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</si>
  <si>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</si>
  <si>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</si>
  <si>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</si>
  <si>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</si>
  <si>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</si>
  <si>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</si>
  <si>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</si>
  <si>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</si>
  <si>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</si>
  <si>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</si>
  <si>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</si>
  <si>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</si>
  <si>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</si>
  <si>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</si>
  <si>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</si>
  <si>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</si>
  <si>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</si>
  <si>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</si>
  <si>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</si>
  <si>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</si>
  <si>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</si>
  <si>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</si>
  <si>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</si>
  <si>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</si>
  <si>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</si>
  <si>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</si>
  <si>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</si>
  <si>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</si>
  <si>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</si>
  <si>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</si>
  <si>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</si>
  <si>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</si>
  <si>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</si>
  <si>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</si>
  <si>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</si>
  <si>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</si>
  <si>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</si>
  <si>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</si>
  <si>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</si>
  <si>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</si>
  <si>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</si>
  <si>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</si>
  <si>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</si>
  <si>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</si>
  <si>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</si>
  <si>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</si>
  <si>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</si>
  <si>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</si>
  <si>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</si>
  <si>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</si>
  <si>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</si>
  <si>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</si>
  <si>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</si>
  <si>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</si>
  <si>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</si>
  <si>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</si>
  <si>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</si>
  <si>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</si>
  <si>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</si>
  <si>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</si>
  <si>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</si>
  <si>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</si>
  <si>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</si>
  <si>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</si>
  <si>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</si>
  <si>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</si>
  <si>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</si>
  <si>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</si>
  <si>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</si>
  <si>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</si>
  <si>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</si>
  <si>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</si>
  <si>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</si>
  <si>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</si>
  <si>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</si>
  <si>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</si>
  <si>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</si>
  <si>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</si>
  <si>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</si>
  <si>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</si>
  <si>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</si>
  <si>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</si>
  <si>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</si>
  <si>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</si>
  <si>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</si>
  <si>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</si>
  <si>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</si>
  <si>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</si>
  <si>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</si>
  <si>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</si>
  <si>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</si>
  <si>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</si>
  <si>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</si>
  <si>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</si>
  <si>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</si>
  <si>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</si>
  <si>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</si>
  <si>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</si>
  <si>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</si>
  <si>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</si>
  <si>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</si>
  <si>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</si>
  <si>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</si>
  <si>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</si>
  <si>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</si>
  <si>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</si>
  <si>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</si>
  <si>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</si>
  <si>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</si>
  <si>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</si>
  <si>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</si>
  <si>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</si>
  <si>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</si>
  <si>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</si>
  <si>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</si>
  <si>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</si>
  <si>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</si>
  <si>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</si>
  <si>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</si>
  <si>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</si>
  <si>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</si>
  <si>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</si>
  <si>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</si>
  <si>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</si>
  <si>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</si>
  <si>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</si>
  <si>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</si>
  <si>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</si>
  <si>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</si>
  <si>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</si>
  <si>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</si>
  <si>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</si>
  <si>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</si>
  <si>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</si>
  <si>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</si>
  <si>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</si>
  <si>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</si>
  <si>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</si>
  <si>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</si>
  <si>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</si>
  <si>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</si>
  <si>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</si>
  <si>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</si>
  <si>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</si>
  <si>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</si>
  <si>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</si>
  <si>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</si>
  <si>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</si>
  <si>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</si>
  <si>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</si>
  <si>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</si>
  <si>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</si>
  <si>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</si>
  <si>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</si>
  <si>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</si>
  <si>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</si>
  <si>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</si>
  <si>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</si>
  <si>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</si>
  <si>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</si>
  <si>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</si>
  <si>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</si>
  <si>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</si>
  <si>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</si>
  <si>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</si>
  <si>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</si>
  <si>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</si>
  <si>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</si>
  <si>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</si>
  <si>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</si>
  <si>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</si>
  <si>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</si>
  <si>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</si>
  <si>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</si>
  <si>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</si>
  <si>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</si>
  <si>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</si>
  <si>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</si>
  <si>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</si>
  <si>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</si>
  <si>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</si>
  <si>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</si>
  <si>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</si>
  <si>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</si>
  <si>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</si>
  <si>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</si>
  <si>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</si>
  <si>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</si>
  <si>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</si>
  <si>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</si>
  <si>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</si>
  <si>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</si>
  <si>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</si>
  <si>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</si>
  <si>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</si>
  <si>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</si>
  <si>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</si>
  <si>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</si>
  <si>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</si>
  <si>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</si>
  <si>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</si>
  <si>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</si>
  <si>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</si>
  <si>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</si>
  <si>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</si>
  <si>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</si>
  <si>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</si>
  <si>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</si>
  <si>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</si>
  <si>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</si>
  <si>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</si>
  <si>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</si>
  <si>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</si>
  <si>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</si>
  <si>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</si>
  <si>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</si>
  <si>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</si>
  <si>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</si>
  <si>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</si>
  <si>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</si>
  <si>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</si>
  <si>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</si>
  <si>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</si>
  <si>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</si>
  <si>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</si>
  <si>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</si>
  <si>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</si>
  <si>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</si>
  <si>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</si>
  <si>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</si>
  <si>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</si>
  <si>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</si>
  <si>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</si>
  <si>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</si>
  <si>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</si>
  <si>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</si>
  <si>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</si>
  <si>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</si>
  <si>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</si>
  <si>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</si>
  <si>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</si>
  <si>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</si>
  <si>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</si>
  <si>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</si>
  <si>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</si>
  <si>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</si>
  <si>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</si>
  <si>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</si>
  <si>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</si>
  <si>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</si>
  <si>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</si>
  <si>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</si>
  <si>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</si>
  <si>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</si>
  <si>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</si>
  <si>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</si>
  <si>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</si>
  <si>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</si>
  <si>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</si>
  <si>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</si>
  <si>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</si>
  <si>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</si>
  <si>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</si>
  <si>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</si>
  <si>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</si>
  <si>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</si>
  <si>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</si>
  <si>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</si>
  <si>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</si>
  <si>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</si>
  <si>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</si>
  <si>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</si>
  <si>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</si>
  <si>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</si>
  <si>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</si>
  <si>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</si>
  <si>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</si>
  <si>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</si>
  <si>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</si>
  <si>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</si>
  <si>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</si>
  <si>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</si>
  <si>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</si>
  <si>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</si>
  <si>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</si>
  <si>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</si>
  <si>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</si>
  <si>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</si>
  <si>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</si>
  <si>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</si>
  <si>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</si>
  <si>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</si>
  <si>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</si>
  <si>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</si>
  <si>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</si>
  <si>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</si>
  <si>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</si>
  <si>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</si>
  <si>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</si>
  <si>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</si>
  <si>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</si>
  <si>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</si>
  <si>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</si>
  <si>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</si>
  <si>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</si>
  <si>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</si>
  <si>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</si>
  <si>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</si>
  <si>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</si>
  <si>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</si>
  <si>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</si>
  <si>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</si>
  <si>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</si>
  <si>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</si>
  <si>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</si>
  <si>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</si>
  <si>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</si>
  <si>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</si>
  <si>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</si>
  <si>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</si>
  <si>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</si>
  <si>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</si>
  <si>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</si>
  <si>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</si>
  <si>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</si>
  <si>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</si>
  <si>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</si>
  <si>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</si>
  <si>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</si>
  <si>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</si>
  <si>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</si>
  <si>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</si>
  <si>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</si>
  <si>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</si>
  <si>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</si>
  <si>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</si>
  <si>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</si>
  <si>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</si>
  <si>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</si>
  <si>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</si>
  <si>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</si>
  <si>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</si>
  <si>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</si>
  <si>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</si>
  <si>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</si>
  <si>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</si>
  <si>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</si>
  <si>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</si>
  <si>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</si>
  <si>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</si>
  <si>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</si>
  <si>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</si>
  <si>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</si>
  <si>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</si>
  <si>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2层</t>
    <phoneticPr fontId="134" type="noConversion"/>
  </si>
  <si>
    <t>南北</t>
  </si>
  <si>
    <t>南北</t>
    <phoneticPr fontId="134" type="noConversion"/>
  </si>
  <si>
    <t>中/5</t>
    <phoneticPr fontId="134" type="noConversion"/>
  </si>
  <si>
    <t>3层</t>
    <phoneticPr fontId="134" type="noConversion"/>
  </si>
  <si>
    <t>扬州水乡</t>
    <phoneticPr fontId="3" type="noConversion"/>
  </si>
  <si>
    <t>单套模式</t>
  </si>
  <si>
    <t>售价</t>
  </si>
  <si>
    <t>押一</t>
  </si>
  <si>
    <t>精装修</t>
  </si>
  <si>
    <t>精装修</t>
    <phoneticPr fontId="134" type="noConversion"/>
  </si>
  <si>
    <t>普通装修</t>
  </si>
  <si>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</si>
  <si>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</si>
  <si>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</si>
  <si>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</si>
  <si>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</si>
  <si>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</si>
  <si>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</si>
  <si>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</si>
  <si>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</si>
  <si>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</si>
  <si>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</si>
  <si>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</si>
  <si>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</si>
  <si>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</si>
  <si>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</si>
  <si>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</si>
  <si>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</si>
  <si>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</si>
  <si>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500米范围内</t>
  </si>
  <si>
    <t>有</t>
  </si>
  <si>
    <t>与级别开发程度不一致</t>
  </si>
  <si>
    <t>按公示增长率计算</t>
  </si>
  <si>
    <t>中心城区</t>
  </si>
  <si>
    <t>未包含在土地购买价格中</t>
  </si>
  <si>
    <t>已包含在土地取得成本中</t>
  </si>
  <si>
    <t>比较法-住宅</t>
  </si>
  <si>
    <t>住宅</t>
    <phoneticPr fontId="24" type="noConversion"/>
  </si>
  <si>
    <t>正常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</si>
</sst>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6" fontId="47" fillId="6" borderId="0" xfId="0" applyNumberFormat="1" applyFont="1" applyFill="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304800</xdr:colOff>
      <xdr:row>24</xdr:row>
      <xdr:rowOff>150751</xdr:rowOff>
    </xdr:to>
    <xdr:pic>
      <xdr:nvPicPr>
        <xdr:cNvPr id="2" name="图片 1">
          <a:extLst>
            <a:ext uri="{FF2B5EF4-FFF2-40B4-BE49-F238E27FC236}">
              <a16:creationId xmlns:a16="http://schemas.microsoft.com/office/drawing/2014/main" id="{03750D29-745A-9F44-53C3-BA78E5208623}"/>
            </a:ext>
          </a:extLst>
        </xdr:cNvPr>
        <xdr:cNvPicPr>
          <a:picLocks noChangeAspect="1"/>
        </xdr:cNvPicPr>
      </xdr:nvPicPr>
      <xdr:blipFill>
        <a:blip xmlns:r="http://schemas.openxmlformats.org/officeDocument/2006/relationships" r:embed="rId1"/>
        <a:stretch>
          <a:fillRect/>
        </a:stretch>
      </xdr:blipFill>
      <xdr:spPr>
        <a:xfrm>
          <a:off x="0" y="0"/>
          <a:ext cx="5105400" cy="4265551"/>
        </a:xfrm>
        <a:prstGeom prst="rect">
          <a:avLst/>
        </a:prstGeom>
      </xdr:spPr>
    </xdr:pic>
    <xdr:clientData/>
  </xdr:twoCellAnchor>
  <xdr:twoCellAnchor editAs="oneCell">
    <xdr:from>
      <xdr:col>0</xdr:col>
      <xdr:colOff>0</xdr:colOff>
      <xdr:row>0</xdr:row>
      <xdr:rowOff>0</xdr:rowOff>
    </xdr:from>
    <xdr:to>
      <xdr:col>11</xdr:col>
      <xdr:colOff>257783</xdr:colOff>
      <xdr:row>98</xdr:row>
      <xdr:rowOff>111257</xdr:rowOff>
    </xdr:to>
    <xdr:pic>
      <xdr:nvPicPr>
        <xdr:cNvPr id="3" name="图片 2">
          <a:extLst>
            <a:ext uri="{FF2B5EF4-FFF2-40B4-BE49-F238E27FC236}">
              <a16:creationId xmlns:a16="http://schemas.microsoft.com/office/drawing/2014/main" id="{76F8BF1B-A2CD-DFEC-DEDC-91616FDF3B72}"/>
            </a:ext>
          </a:extLst>
        </xdr:cNvPr>
        <xdr:cNvPicPr>
          <a:picLocks noChangeAspect="1"/>
        </xdr:cNvPicPr>
      </xdr:nvPicPr>
      <xdr:blipFill>
        <a:blip xmlns:r="http://schemas.openxmlformats.org/officeDocument/2006/relationships" r:embed="rId2"/>
        <a:stretch>
          <a:fillRect/>
        </a:stretch>
      </xdr:blipFill>
      <xdr:spPr>
        <a:xfrm>
          <a:off x="0" y="0"/>
          <a:ext cx="7801583" cy="16913357"/>
        </a:xfrm>
        <a:prstGeom prst="rect">
          <a:avLst/>
        </a:prstGeom>
      </xdr:spPr>
    </xdr:pic>
    <xdr:clientData/>
  </xdr:twoCellAnchor>
  <xdr:twoCellAnchor editAs="oneCell">
    <xdr:from>
      <xdr:col>27</xdr:col>
      <xdr:colOff>312815</xdr:colOff>
      <xdr:row>0</xdr:row>
      <xdr:rowOff>9525</xdr:rowOff>
    </xdr:from>
    <xdr:to>
      <xdr:col>38</xdr:col>
      <xdr:colOff>179570</xdr:colOff>
      <xdr:row>93</xdr:row>
      <xdr:rowOff>130307</xdr:rowOff>
    </xdr:to>
    <xdr:pic>
      <xdr:nvPicPr>
        <xdr:cNvPr id="4" name="图片 3">
          <a:extLst>
            <a:ext uri="{FF2B5EF4-FFF2-40B4-BE49-F238E27FC236}">
              <a16:creationId xmlns:a16="http://schemas.microsoft.com/office/drawing/2014/main" id="{FF3A0819-0860-3ED1-0CF9-5AB54172A23A}"/>
            </a:ext>
          </a:extLst>
        </xdr:cNvPr>
        <xdr:cNvPicPr>
          <a:picLocks noChangeAspect="1"/>
        </xdr:cNvPicPr>
      </xdr:nvPicPr>
      <xdr:blipFill>
        <a:blip xmlns:r="http://schemas.openxmlformats.org/officeDocument/2006/relationships" r:embed="rId3"/>
        <a:stretch>
          <a:fillRect/>
        </a:stretch>
      </xdr:blipFill>
      <xdr:spPr>
        <a:xfrm>
          <a:off x="19143740" y="9525"/>
          <a:ext cx="7410555" cy="16065632"/>
        </a:xfrm>
        <a:prstGeom prst="rect">
          <a:avLst/>
        </a:prstGeom>
      </xdr:spPr>
    </xdr:pic>
    <xdr:clientData/>
  </xdr:twoCellAnchor>
  <xdr:twoCellAnchor editAs="oneCell">
    <xdr:from>
      <xdr:col>10</xdr:col>
      <xdr:colOff>136738</xdr:colOff>
      <xdr:row>42</xdr:row>
      <xdr:rowOff>164480</xdr:rowOff>
    </xdr:from>
    <xdr:to>
      <xdr:col>20</xdr:col>
      <xdr:colOff>571501</xdr:colOff>
      <xdr:row>139</xdr:row>
      <xdr:rowOff>25532</xdr:rowOff>
    </xdr:to>
    <xdr:pic>
      <xdr:nvPicPr>
        <xdr:cNvPr id="5" name="图片 4">
          <a:extLst>
            <a:ext uri="{FF2B5EF4-FFF2-40B4-BE49-F238E27FC236}">
              <a16:creationId xmlns:a16="http://schemas.microsoft.com/office/drawing/2014/main" id="{A78023CD-CBDE-9198-2AA6-665A5F78B41A}"/>
            </a:ext>
          </a:extLst>
        </xdr:cNvPr>
        <xdr:cNvPicPr>
          <a:picLocks noChangeAspect="1"/>
        </xdr:cNvPicPr>
      </xdr:nvPicPr>
      <xdr:blipFill>
        <a:blip xmlns:r="http://schemas.openxmlformats.org/officeDocument/2006/relationships" r:embed="rId4"/>
        <a:stretch>
          <a:fillRect/>
        </a:stretch>
      </xdr:blipFill>
      <xdr:spPr>
        <a:xfrm>
          <a:off x="6994738" y="7365380"/>
          <a:ext cx="7607088" cy="16491702"/>
        </a:xfrm>
        <a:prstGeom prst="rect">
          <a:avLst/>
        </a:prstGeom>
      </xdr:spPr>
    </xdr:pic>
    <xdr:clientData/>
  </xdr:twoCellAnchor>
  <xdr:twoCellAnchor editAs="oneCell">
    <xdr:from>
      <xdr:col>22</xdr:col>
      <xdr:colOff>590549</xdr:colOff>
      <xdr:row>0</xdr:row>
      <xdr:rowOff>0</xdr:rowOff>
    </xdr:from>
    <xdr:to>
      <xdr:col>31</xdr:col>
      <xdr:colOff>617652</xdr:colOff>
      <xdr:row>29</xdr:row>
      <xdr:rowOff>128833</xdr:rowOff>
    </xdr:to>
    <xdr:pic>
      <xdr:nvPicPr>
        <xdr:cNvPr id="6" name="图片 5">
          <a:extLst>
            <a:ext uri="{FF2B5EF4-FFF2-40B4-BE49-F238E27FC236}">
              <a16:creationId xmlns:a16="http://schemas.microsoft.com/office/drawing/2014/main" id="{24717255-F1E0-04C6-1031-062101A08222}"/>
            </a:ext>
          </a:extLst>
        </xdr:cNvPr>
        <xdr:cNvPicPr>
          <a:picLocks noChangeAspect="1"/>
        </xdr:cNvPicPr>
      </xdr:nvPicPr>
      <xdr:blipFill>
        <a:blip xmlns:r="http://schemas.openxmlformats.org/officeDocument/2006/relationships" r:embed="rId5"/>
        <a:stretch>
          <a:fillRect/>
        </a:stretch>
      </xdr:blipFill>
      <xdr:spPr>
        <a:xfrm>
          <a:off x="15992474" y="0"/>
          <a:ext cx="6199303" cy="5100883"/>
        </a:xfrm>
        <a:prstGeom prst="rect">
          <a:avLst/>
        </a:prstGeom>
      </xdr:spPr>
    </xdr:pic>
    <xdr:clientData/>
  </xdr:twoCellAnchor>
  <xdr:twoCellAnchor editAs="oneCell">
    <xdr:from>
      <xdr:col>22</xdr:col>
      <xdr:colOff>659740</xdr:colOff>
      <xdr:row>16</xdr:row>
      <xdr:rowOff>28574</xdr:rowOff>
    </xdr:from>
    <xdr:to>
      <xdr:col>32</xdr:col>
      <xdr:colOff>295275</xdr:colOff>
      <xdr:row>47</xdr:row>
      <xdr:rowOff>139946</xdr:rowOff>
    </xdr:to>
    <xdr:pic>
      <xdr:nvPicPr>
        <xdr:cNvPr id="7" name="图片 6">
          <a:extLst>
            <a:ext uri="{FF2B5EF4-FFF2-40B4-BE49-F238E27FC236}">
              <a16:creationId xmlns:a16="http://schemas.microsoft.com/office/drawing/2014/main" id="{C5000AE7-B9A8-B0B1-C5A4-D32DD59286A3}"/>
            </a:ext>
          </a:extLst>
        </xdr:cNvPr>
        <xdr:cNvPicPr>
          <a:picLocks noChangeAspect="1"/>
        </xdr:cNvPicPr>
      </xdr:nvPicPr>
      <xdr:blipFill>
        <a:blip xmlns:r="http://schemas.openxmlformats.org/officeDocument/2006/relationships" r:embed="rId6"/>
        <a:stretch>
          <a:fillRect/>
        </a:stretch>
      </xdr:blipFill>
      <xdr:spPr>
        <a:xfrm>
          <a:off x="16061665" y="2771774"/>
          <a:ext cx="6493535" cy="5426322"/>
        </a:xfrm>
        <a:prstGeom prst="rect">
          <a:avLst/>
        </a:prstGeom>
      </xdr:spPr>
    </xdr:pic>
    <xdr:clientData/>
  </xdr:twoCellAnchor>
  <xdr:twoCellAnchor editAs="oneCell">
    <xdr:from>
      <xdr:col>23</xdr:col>
      <xdr:colOff>293316</xdr:colOff>
      <xdr:row>31</xdr:row>
      <xdr:rowOff>57150</xdr:rowOff>
    </xdr:from>
    <xdr:to>
      <xdr:col>31</xdr:col>
      <xdr:colOff>474786</xdr:colOff>
      <xdr:row>59</xdr:row>
      <xdr:rowOff>103524</xdr:rowOff>
    </xdr:to>
    <xdr:pic>
      <xdr:nvPicPr>
        <xdr:cNvPr id="8" name="图片 7">
          <a:extLst>
            <a:ext uri="{FF2B5EF4-FFF2-40B4-BE49-F238E27FC236}">
              <a16:creationId xmlns:a16="http://schemas.microsoft.com/office/drawing/2014/main" id="{27D5F9E0-5C32-544C-32D8-2CC476AD94C3}"/>
            </a:ext>
          </a:extLst>
        </xdr:cNvPr>
        <xdr:cNvPicPr>
          <a:picLocks noChangeAspect="1"/>
        </xdr:cNvPicPr>
      </xdr:nvPicPr>
      <xdr:blipFill>
        <a:blip xmlns:r="http://schemas.openxmlformats.org/officeDocument/2006/relationships" r:embed="rId7"/>
        <a:stretch>
          <a:fillRect/>
        </a:stretch>
      </xdr:blipFill>
      <xdr:spPr>
        <a:xfrm>
          <a:off x="16381041" y="5372100"/>
          <a:ext cx="5667870" cy="48469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估价对象为北京市房地产，为所有。根据《国有土地使用证》[]，估价对象（分摊）出让国有建设用地使用权面积为0平方米，建筑面积为209.06平方米。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估价对象为北京市房地产,属开发建设的居住项目，该项目尚在开发建设中。根据《国有土地使用证》[]，估价对象（分摊）出让国有建设用地使用权面积为0平方米，规划建筑面积为209.06平方米。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2025年9月11日（评估专业人员实地查勘之日）</v>
      </c>
    </row>
    <row r="13" spans="1:2">
      <c r="A13" s="1119" t="s">
        <v>529</v>
      </c>
      <c r="B13" s="1120"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209.06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7" t="s">
        <v>2580</v>
      </c>
      <c r="J2" s="3217"/>
      <c r="K2" s="3217"/>
      <c r="L2" s="3217"/>
      <c r="M2" s="3217"/>
      <c r="N2" s="3217"/>
      <c r="O2" s="3217"/>
      <c r="P2" s="3217"/>
      <c r="Q2" s="3217"/>
      <c r="R2" s="3217"/>
    </row>
    <row r="3" spans="1:18">
      <c r="A3" s="2762" t="s">
        <v>2501</v>
      </c>
      <c r="B3" s="2763">
        <f>项目基本情况!D3</f>
        <v>45911</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1.27</v>
      </c>
      <c r="D5" s="2767">
        <f>IF(ISERROR(ROUND(POWER(1+E5,A5-C5)*(POWER(1+E5,C5)-1)/(POWER(1+E5,A5)-1),3)),0,ROUND(POWER(1+E5,A5-C5)*(POWER(1+E5,C5)-1)/(POWER(1+E5,A5)-1),4))</f>
        <v>6.1400000000000003E-2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11.27</v>
      </c>
      <c r="D6" s="2767">
        <f>IF(ISERROR(ROUND(POWER(1+E6,A6-C6)*(POWER(1+E6,C6)-1)/(POWER(1+E6,A6)-1),3)),0,ROUND(POWER(1+E6,A6-C6)*(POWER(1+E6,C6)-1)/(POWER(1+E6,A6)-1),4))</f>
        <v>0.4158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31.29</v>
      </c>
      <c r="D7" s="2767">
        <f>IF(ISERROR(ROUND(POWER(1+E7,A7-C7)*(POWER(1+E7,C7)-1)/(POWER(1+E7,A7)-1),3)),0,ROUND(POWER(1+E7,A7-C7)*(POWER(1+E7,C7)-1)/(POWER(1+E7,A7)-1),4))</f>
        <v>0.75539999999999996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C13" sqref="C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5" t="str">
        <f>IF(B10="北京市","北京市",C10)&amp;F10&amp;IF(结果表!G1="在建","出让国有建设用地使用权及在建建筑物",IF(结果表!G1="土地","出让国有建设用地使用权",))&amp;B9&amp;"预评估"</f>
        <v>北京市房地产市场价值预评估</v>
      </c>
      <c r="C1" s="3226"/>
      <c r="D1" s="3226"/>
      <c r="E1" s="3226"/>
      <c r="F1" s="3226"/>
      <c r="G1" s="3226"/>
      <c r="H1" s="3226"/>
      <c r="I1" s="3227"/>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45911</v>
      </c>
      <c r="C3" s="2185" t="s">
        <v>2171</v>
      </c>
      <c r="D3" s="2184">
        <f>B3</f>
        <v>45911</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3417</v>
      </c>
      <c r="C8" s="2200"/>
      <c r="D8" s="3228" t="s">
        <v>2177</v>
      </c>
      <c r="E8" s="2201"/>
      <c r="F8" s="2202"/>
      <c r="G8" s="2441"/>
      <c r="H8" s="2441"/>
      <c r="I8" s="2441"/>
      <c r="J8" s="2244"/>
      <c r="K8" s="2399"/>
      <c r="L8" s="2398"/>
      <c r="M8" s="2398"/>
      <c r="N8" s="2244"/>
      <c r="O8" s="1670"/>
      <c r="P8" s="2244"/>
      <c r="Q8" s="2244"/>
      <c r="R8" s="2244"/>
    </row>
    <row r="9" spans="1:30" ht="13.5" thickBot="1">
      <c r="A9" s="2203" t="s">
        <v>2178</v>
      </c>
      <c r="B9" s="2204" t="s">
        <v>3418</v>
      </c>
      <c r="C9" s="2205"/>
      <c r="D9" s="3229"/>
      <c r="E9" s="2204"/>
      <c r="F9" s="2206"/>
      <c r="G9" s="2442"/>
      <c r="H9" s="2442"/>
      <c r="I9" s="2442"/>
      <c r="J9" s="2244"/>
      <c r="K9" s="2401"/>
      <c r="L9" s="2398"/>
      <c r="M9" s="2398"/>
      <c r="N9" s="2244"/>
      <c r="O9" s="1670"/>
      <c r="P9" s="2244"/>
      <c r="Q9" s="2244"/>
      <c r="R9" s="2244"/>
    </row>
    <row r="10" spans="1:30" ht="13.5" thickTop="1">
      <c r="A10" s="2207" t="s">
        <v>2179</v>
      </c>
      <c r="B10" s="2208" t="s">
        <v>3419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3420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3514">
        <f>2005-2</f>
        <v>2003</v>
      </c>
      <c r="N12" s="1670"/>
      <c r="O12" s="2244"/>
      <c r="P12" s="2244"/>
      <c r="Q12" s="2244"/>
      <c r="AD12" s="1618"/>
    </row>
    <row r="13" spans="1:30">
      <c r="A13" s="3121" t="s">
        <v>3330</v>
      </c>
      <c r="B13" s="2217" t="s">
        <v>2190</v>
      </c>
      <c r="C13" s="803">
        <v>63068</v>
      </c>
      <c r="D13" s="803"/>
      <c r="E13" s="803"/>
      <c r="F13" s="803"/>
      <c r="G13" s="803"/>
      <c r="H13" s="803"/>
      <c r="I13" s="803"/>
      <c r="J13" s="2802"/>
      <c r="K13" s="2398"/>
      <c r="L13" s="2398"/>
      <c r="M13" s="2244">
        <f>2003+70</f>
        <v>2073</v>
      </c>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47</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35"/>
      <c r="C16" s="3236"/>
      <c r="D16" s="3237"/>
      <c r="E16" s="2221" t="s">
        <v>2194</v>
      </c>
      <c r="F16" s="3238"/>
      <c r="G16" s="3239"/>
      <c r="H16" s="3239"/>
      <c r="I16" s="3240"/>
      <c r="J16" s="2244"/>
      <c r="K16" s="2402"/>
      <c r="L16" s="1670"/>
      <c r="M16" s="1670"/>
      <c r="N16" s="2244"/>
      <c r="O16" s="1670"/>
      <c r="P16" s="2244"/>
      <c r="Q16" s="2244"/>
      <c r="R16" s="2244"/>
    </row>
    <row r="17" spans="1:28">
      <c r="A17" s="305" t="s">
        <v>2195</v>
      </c>
      <c r="B17" s="294" t="s">
        <v>2196</v>
      </c>
      <c r="C17" s="8">
        <f>'数据-汇总表'!E3</f>
        <v>209.06</v>
      </c>
      <c r="D17" s="1256" t="s">
        <v>2197</v>
      </c>
      <c r="E17" s="3241" t="s">
        <v>2198</v>
      </c>
      <c r="F17" s="3242"/>
      <c r="G17" s="3242"/>
      <c r="H17" s="3242"/>
      <c r="I17" s="3243"/>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4" t="s">
        <v>2202</v>
      </c>
      <c r="F18" s="3245"/>
      <c r="G18" s="3245"/>
      <c r="H18" s="3245"/>
      <c r="I18" s="3246"/>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31" t="s">
        <v>2206</v>
      </c>
      <c r="C20" s="3232"/>
      <c r="D20" s="3233" t="s">
        <v>2207</v>
      </c>
      <c r="E20" s="3234"/>
      <c r="F20" s="2429" t="s">
        <v>1056</v>
      </c>
      <c r="G20" s="2441"/>
      <c r="H20" s="2441"/>
      <c r="I20" s="2441"/>
      <c r="J20" s="2244"/>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9" t="s">
        <v>2214</v>
      </c>
      <c r="B27" s="312" t="s">
        <v>2215</v>
      </c>
      <c r="C27" s="2224" t="s">
        <v>3428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9"/>
      <c r="B28" s="294" t="s">
        <v>2216</v>
      </c>
      <c r="C28" s="2226" t="s">
        <v>3429</v>
      </c>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9"/>
      <c r="B29" s="294" t="s">
        <v>2217</v>
      </c>
      <c r="C29" s="2228" t="s">
        <v>3430</v>
      </c>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0"/>
      <c r="B30" s="294" t="s">
        <v>2218</v>
      </c>
      <c r="C30" s="3221"/>
      <c r="D30" s="3222"/>
      <c r="E30" s="2441"/>
      <c r="F30" s="2441"/>
      <c r="G30" s="2441"/>
      <c r="H30" s="2441"/>
      <c r="I30" s="2441"/>
      <c r="J30" s="2244"/>
      <c r="K30" s="2401"/>
      <c r="L30" s="2398"/>
      <c r="M30" s="2398"/>
      <c r="N30" s="2244"/>
      <c r="O30" s="1670"/>
      <c r="P30" s="2244"/>
      <c r="Q30" s="2244"/>
      <c r="R30" s="2244"/>
      <c r="S30" s="2244"/>
      <c r="T30" s="2244"/>
      <c r="U30" s="2244"/>
      <c r="V30" s="2244"/>
    </row>
    <row r="31" spans="1:28">
      <c r="A31" s="3223" t="s">
        <v>2219</v>
      </c>
      <c r="B31" s="2230" t="s">
        <v>3431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4"/>
      <c r="B32" s="2230" t="s">
        <v>3431</v>
      </c>
      <c r="C32" s="12" t="str">
        <f>IF(B32="现房","成新及维护状况是否正常",IF(B32="在建","工程状态是否正常",IF(B32="土地","是否闲置","-")))</f>
        <v>成新及维护状况是否正常</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4"/>
      <c r="B33" s="2233" t="s">
        <v>3431</v>
      </c>
      <c r="C33" s="1478" t="str">
        <f>IF(B33="现房","成新及维护状况是否正常",IF(B33="在建","工程状态是否正常",IF(B33="土地","是否闲置","-")))</f>
        <v>成新及维护状况是否正常</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t="s">
        <v>3421</v>
      </c>
      <c r="C34" s="1869" t="s">
        <v>3422</v>
      </c>
      <c r="D34" s="1869" t="s">
        <v>3423</v>
      </c>
      <c r="E34" s="1869" t="s">
        <v>3424</v>
      </c>
      <c r="F34" s="1869" t="s">
        <v>3425</v>
      </c>
      <c r="G34" s="1869" t="s">
        <v>3426</v>
      </c>
      <c r="H34" s="1869" t="s">
        <v>3427</v>
      </c>
      <c r="I34" s="2441"/>
      <c r="J34" s="2244"/>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4"/>
      <c r="V34" s="2244"/>
    </row>
    <row r="35" spans="1:30">
      <c r="A35" s="2235"/>
      <c r="B35" s="3218" t="s">
        <v>2229</v>
      </c>
      <c r="C35" s="3218"/>
      <c r="D35" s="3218"/>
      <c r="E35" s="3218"/>
      <c r="F35" s="8">
        <f>C10</f>
        <v>0</v>
      </c>
      <c r="G35" s="2441"/>
      <c r="H35" s="2441"/>
      <c r="I35" s="2441"/>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18"/>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29</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234</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209.06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209.06</v>
      </c>
      <c r="H5" s="13">
        <f t="shared" ref="H5:AT5" si="0">SUM(H13:H656)</f>
        <v>209.06</v>
      </c>
      <c r="I5" s="13">
        <f t="shared" si="0"/>
        <v>209.06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209.06</v>
      </c>
      <c r="BA5" s="15">
        <f t="shared" si="1"/>
        <v>209.06</v>
      </c>
      <c r="BB5" s="15">
        <f t="shared" si="1"/>
        <v>209.06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0</v>
      </c>
      <c r="F13" s="29"/>
      <c r="G13" s="30">
        <f>H13+AC13+AT13</f>
        <v>209.06</v>
      </c>
      <c r="H13" s="17">
        <f>SUMIF(I$12:AB$12,"总值",I13:AB13)</f>
        <v>209.06</v>
      </c>
      <c r="I13" s="1514">
        <v>209.06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209.06</v>
      </c>
      <c r="BA13" s="13">
        <f>SUM(BB13:BK13)</f>
        <v>209.06</v>
      </c>
      <c r="BB13" s="13">
        <f>IF($D13="是",I13-J13,0)</f>
        <v>209.06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M9" sqref="M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6" t="s">
        <v>1131</v>
      </c>
      <c r="B2" s="3256"/>
      <c r="C2" s="3256"/>
      <c r="D2" s="748" t="s">
        <v>1107</v>
      </c>
      <c r="E2" s="1523" t="s">
        <v>1108</v>
      </c>
      <c r="F2" s="2438"/>
      <c r="G2" s="2431"/>
      <c r="H2" s="2432"/>
      <c r="I2" s="2145" t="s">
        <v>1132</v>
      </c>
      <c r="J2" s="2438"/>
      <c r="K2" s="2438"/>
      <c r="L2" s="2438"/>
      <c r="M2" s="2438"/>
      <c r="N2" s="2439"/>
      <c r="O2" s="2438"/>
      <c r="P2" s="2438"/>
    </row>
    <row r="3" spans="1:16" ht="15.75" thickBot="1">
      <c r="A3" s="3257" t="s">
        <v>1105</v>
      </c>
      <c r="B3" s="3257"/>
      <c r="C3" s="3257"/>
      <c r="D3" s="41">
        <f>'数据-基础表'!AY6</f>
        <v>0</v>
      </c>
      <c r="E3" s="41">
        <f>'数据-基础表'!AZ5</f>
        <v>209.06</v>
      </c>
      <c r="F3" s="2438"/>
      <c r="G3" s="42"/>
      <c r="H3" s="43" t="s">
        <v>1106</v>
      </c>
      <c r="I3" s="802" t="e">
        <f>ROUND('数据-基础表'!B3/'数据-基础表'!A3,2)</f>
        <v>#DIV/0!</v>
      </c>
      <c r="J3" s="2438"/>
      <c r="K3" s="2438"/>
      <c r="L3" s="2438"/>
      <c r="M3" s="2438"/>
      <c r="N3" s="2439"/>
      <c r="O3" s="2438"/>
      <c r="P3" s="2438"/>
    </row>
    <row r="4" spans="1:16" ht="15">
      <c r="A4" s="3258"/>
      <c r="B4" s="3259"/>
      <c r="C4" s="326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1" t="s">
        <v>1110</v>
      </c>
      <c r="C5" s="3261"/>
      <c r="D5" s="43">
        <f>ROUND($D$3*E5/$E$3,2)</f>
        <v>0</v>
      </c>
      <c r="E5" s="44">
        <f>SUMIF('数据-基础表'!$11:$11,"住宅",'数据-基础表'!$5:$5)</f>
        <v>209.06</v>
      </c>
      <c r="F5" s="2438"/>
      <c r="G5" s="42"/>
      <c r="H5" s="43" t="s">
        <v>1106</v>
      </c>
      <c r="I5" s="802" t="e">
        <f>ROUND(E31/D31,2)</f>
        <v>#DIV/0!</v>
      </c>
      <c r="J5" s="2438"/>
      <c r="K5" s="2438"/>
      <c r="L5" s="2438"/>
      <c r="M5" s="2438"/>
      <c r="N5" s="2438"/>
      <c r="O5" s="2438"/>
      <c r="P5" s="2438"/>
    </row>
    <row r="6" spans="1:16" ht="15" thickBot="1">
      <c r="A6" s="1527"/>
      <c r="B6" s="3261" t="s">
        <v>1111</v>
      </c>
      <c r="C6" s="3261"/>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53"/>
      <c r="B7" s="3254"/>
      <c r="C7" s="3255"/>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209.06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209.06</v>
      </c>
      <c r="F16" s="2438"/>
      <c r="G16" s="2438"/>
      <c r="H16" s="1531" t="s">
        <v>1135</v>
      </c>
      <c r="I16" s="1532"/>
      <c r="J16" s="1071"/>
      <c r="K16" s="3250" t="s">
        <v>1135</v>
      </c>
      <c r="L16" s="3251"/>
      <c r="M16" s="3251"/>
      <c r="N16" s="3251"/>
      <c r="O16" s="3251"/>
      <c r="P16" s="3252"/>
    </row>
    <row r="17" spans="1:19" ht="15">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3434</v>
      </c>
      <c r="D19" s="43">
        <f>ROUND($D$3*E19/$E$3,2)</f>
        <v>0</v>
      </c>
      <c r="E19" s="51">
        <f t="shared" ref="E19:E26" si="1">SUM(F19:G19)</f>
        <v>209.06</v>
      </c>
      <c r="F19" s="2557">
        <f>'数据-基础表'!I13</f>
        <v>209.06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209.06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209.06</v>
      </c>
      <c r="F27" s="1072">
        <f>IF(SUM(F19:F26)=E8,SUM(F19:F26),"地上面积有误")</f>
        <v>209.06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209.06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209.06</v>
      </c>
      <c r="F31" s="644">
        <f>F27+F30</f>
        <v>209.06</v>
      </c>
      <c r="G31" s="645">
        <f>G27+G30</f>
        <v>0</v>
      </c>
      <c r="H31" s="2438"/>
      <c r="I31" s="2438"/>
      <c r="J31" s="2438"/>
      <c r="K31" s="2438"/>
      <c r="L31" s="2438"/>
      <c r="M31" s="2438"/>
      <c r="N31" s="2438"/>
      <c r="O31" s="2438"/>
      <c r="P31" s="2438"/>
    </row>
    <row r="32" spans="1:19">
      <c r="A32" s="1526"/>
      <c r="B32" s="1526" t="s">
        <v>1159</v>
      </c>
      <c r="C32" s="1526"/>
      <c r="D32" s="1526"/>
      <c r="E32" s="990">
        <f>SUMIF(C19:C26,"*住宅*",E19:E26)</f>
        <v>209.06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L2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3404</v>
      </c>
      <c r="D6" s="805">
        <f>SUMIF(项目基本情况!C$12:I$12,C6,项目基本情况!C$14:I$14)</f>
        <v>70</v>
      </c>
      <c r="E6" s="804">
        <f>IF(B6="","",SUMIF(项目基本情况!C$12:I$12,C6,项目基本情况!C$13:I$13))</f>
        <v>63068</v>
      </c>
      <c r="F6" s="61">
        <f>SUMIF(项目基本情况!C$12:I$12,C6,项目基本情况!C$15:I$15)</f>
        <v>47</v>
      </c>
      <c r="G6" s="62">
        <f>IF(ISERROR(ROUND(POWER(1+H6,D6-F6)*(POWER(1+H6,F6)-1)/(POWER(1+H6,D6)-1),3)),0,ROUND(POWER(1+H6,D6-F6)*(POWER(1+H6,F6)-1)/(POWER(1+H6,D6)-1),3))</f>
        <v>0.93</v>
      </c>
      <c r="H6" s="691">
        <v>0.05</v>
      </c>
      <c r="I6" s="691">
        <v>0.03</v>
      </c>
      <c r="J6" s="63">
        <v>0.06</v>
      </c>
      <c r="K6" s="970">
        <f>SUMIF('数据-汇总表'!C$19:C$33,A6,'数据-汇总表'!E$19:E$33)</f>
        <v>209.06</v>
      </c>
      <c r="L6" s="692">
        <v>3000</v>
      </c>
      <c r="M6" s="64">
        <f t="shared" ref="M6:M14" si="0">ROUND(K6*L6/10000,0)</f>
        <v>63</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'比较法-住宅租金'!C48</f>
        <v>27907</v>
      </c>
      <c r="V6" s="67">
        <v>0.02</v>
      </c>
      <c r="W6" s="67">
        <v>0.05</v>
      </c>
      <c r="X6" s="979"/>
      <c r="Y6" s="68">
        <f>N6</f>
        <v>0.75</v>
      </c>
      <c r="Z6" s="69"/>
      <c r="AA6" s="63"/>
      <c r="AB6" s="63"/>
      <c r="AC6" s="979"/>
      <c r="AD6" s="70"/>
      <c r="AE6" s="980">
        <f ca="1">IF(AN6="",0,SUMIF(INDIRECT("'"&amp;AN6&amp;"'"&amp;"!E:E"),$AE$5,INDIRECT("'"&amp;AN6&amp;"'"&amp;"!F:F")))</f>
        <v>47</v>
      </c>
      <c r="AF6" s="74"/>
      <c r="AG6" s="130">
        <f>IF(AF6="",0,AE6-AF6)</f>
        <v>0</v>
      </c>
      <c r="AH6" s="71">
        <v>1</v>
      </c>
      <c r="AI6" s="73">
        <v>12</v>
      </c>
      <c r="AJ6" s="74"/>
      <c r="AK6" s="75">
        <v>2E-3</v>
      </c>
      <c r="AL6" s="76">
        <v>1E-3</v>
      </c>
      <c r="AM6" s="77">
        <v>0.01</v>
      </c>
      <c r="AN6" s="1589" t="s">
        <v>3436</v>
      </c>
      <c r="AO6" s="50">
        <f ca="1">SUMIF(INDIRECT("'"&amp;AN6&amp;"'"&amp;"!A:A"),"总价",INDIRECT("'"&amp;AN6&amp;"'"&amp;"!B:B"))</f>
        <v>1122.4673</v>
      </c>
      <c r="AP6" s="1590">
        <f>IF(C6="住宅",K6*L6,0)</f>
        <v>627180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v>
      </c>
      <c r="H16" s="84">
        <f>ROUND(SUMPRODUCT(H6:H13,K6:K13)/SUMPRODUCT((H6:H13&gt;0)*(K6:K13)),3)</f>
        <v>0.05</v>
      </c>
      <c r="I16" s="85"/>
      <c r="J16" s="85"/>
      <c r="K16" s="86">
        <f>SUM(K6:K15)</f>
        <v>209.06</v>
      </c>
      <c r="L16" s="87">
        <f>ROUND(M16*10000/SUM(K6:K14),0)</f>
        <v>3013</v>
      </c>
      <c r="M16" s="87">
        <f>SUM(M6:M14)</f>
        <v>63</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v>2005</v>
      </c>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f>1-(2025-L22)/60</f>
        <v>0.66666666666666674</v>
      </c>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v>0.85</v>
      </c>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f>AVERAGE(L23:L24)</f>
        <v>0.7583333333333333</v>
      </c>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2" t="s">
        <v>2286</v>
      </c>
      <c r="B1" s="3263"/>
      <c r="C1" s="3263"/>
      <c r="D1" s="3263"/>
      <c r="E1" s="3263"/>
      <c r="F1" s="3263"/>
      <c r="G1" s="326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209.06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45911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1289.1894</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209.06</v>
      </c>
      <c r="C14" s="2305"/>
      <c r="D14" s="2305">
        <f ca="1">ROUND(B14*E14/10000,4)</f>
        <v>1289.1894</v>
      </c>
      <c r="E14" s="2305">
        <f ca="1">结果表!G20</f>
        <v>61666</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30" sqref="K3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8" t="str">
        <f>项目基本情况!S2</f>
        <v>北京市房地产</v>
      </c>
      <c r="B2" s="3299"/>
      <c r="C2" s="3299"/>
      <c r="D2" s="3299"/>
      <c r="E2" s="3299"/>
      <c r="F2" s="3299"/>
      <c r="G2" s="3299"/>
      <c r="H2" s="3299"/>
      <c r="I2" s="3300"/>
    </row>
    <row r="3" spans="1:12" ht="12.75">
      <c r="A3" s="3302" t="s">
        <v>1264</v>
      </c>
      <c r="B3" s="3303"/>
      <c r="C3" s="3303"/>
      <c r="D3" s="3303"/>
      <c r="E3" s="3303"/>
      <c r="F3" s="3303"/>
      <c r="G3" s="3303"/>
      <c r="H3" s="3303"/>
      <c r="I3" s="3303"/>
    </row>
    <row r="4" spans="1:12" ht="14.25">
      <c r="A4" s="1624" t="s">
        <v>1265</v>
      </c>
      <c r="B4" s="1625" t="s">
        <v>1266</v>
      </c>
      <c r="C4" s="1626" t="s">
        <v>3436</v>
      </c>
      <c r="D4" s="1626" t="s">
        <v>3474</v>
      </c>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8" t="s">
        <v>1268</v>
      </c>
      <c r="B5" s="3265">
        <v>25</v>
      </c>
      <c r="C5" s="3281"/>
      <c r="D5" s="3301"/>
      <c r="E5" s="123" t="s">
        <v>1269</v>
      </c>
      <c r="F5" s="1627"/>
      <c r="G5" s="1627"/>
      <c r="H5" s="1627"/>
      <c r="I5" s="1281"/>
    </row>
    <row r="6" spans="1:12" ht="12.75">
      <c r="A6" s="3278"/>
      <c r="B6" s="3265"/>
      <c r="C6" s="3282"/>
      <c r="D6" s="3301"/>
      <c r="E6" s="123" t="s">
        <v>1270</v>
      </c>
      <c r="F6" s="1627"/>
      <c r="G6" s="1627"/>
      <c r="H6" s="1627"/>
      <c r="I6" s="1281"/>
    </row>
    <row r="7" spans="1:12" ht="12.75">
      <c r="A7" s="3278"/>
      <c r="B7" s="3265"/>
      <c r="C7" s="3283"/>
      <c r="D7" s="3301"/>
      <c r="E7" s="123" t="s">
        <v>1271</v>
      </c>
      <c r="F7" s="1627"/>
      <c r="G7" s="1627"/>
      <c r="H7" s="1627"/>
      <c r="I7" s="1281"/>
    </row>
    <row r="8" spans="1:12" ht="12.75">
      <c r="A8" s="3278" t="s">
        <v>1272</v>
      </c>
      <c r="B8" s="3265">
        <v>15</v>
      </c>
      <c r="C8" s="3281"/>
      <c r="D8" s="3301"/>
      <c r="E8" s="123" t="s">
        <v>1273</v>
      </c>
      <c r="F8" s="1627"/>
      <c r="G8" s="1627"/>
      <c r="H8" s="1627"/>
      <c r="I8" s="1281"/>
    </row>
    <row r="9" spans="1:12" ht="12.75">
      <c r="A9" s="3278"/>
      <c r="B9" s="3265"/>
      <c r="C9" s="3283"/>
      <c r="D9" s="3301"/>
      <c r="E9" s="123" t="s">
        <v>1274</v>
      </c>
      <c r="F9" s="1627"/>
      <c r="G9" s="1627"/>
      <c r="H9" s="1627"/>
      <c r="I9" s="1281"/>
    </row>
    <row r="10" spans="1:12" ht="12.75">
      <c r="A10" s="3278" t="s">
        <v>1275</v>
      </c>
      <c r="B10" s="3265">
        <v>15</v>
      </c>
      <c r="C10" s="3281"/>
      <c r="D10" s="3301"/>
      <c r="E10" s="123" t="s">
        <v>1276</v>
      </c>
      <c r="F10" s="1627"/>
      <c r="G10" s="1627"/>
      <c r="H10" s="1627"/>
      <c r="I10" s="1281"/>
    </row>
    <row r="11" spans="1:12" ht="12.75">
      <c r="A11" s="3278"/>
      <c r="B11" s="3265"/>
      <c r="C11" s="3283"/>
      <c r="D11" s="3301"/>
      <c r="E11" s="123" t="s">
        <v>1277</v>
      </c>
      <c r="F11" s="1627"/>
      <c r="G11" s="1627"/>
      <c r="H11" s="1627"/>
      <c r="I11" s="1281"/>
    </row>
    <row r="12" spans="1:12" ht="12.75">
      <c r="A12" s="3278" t="s">
        <v>1278</v>
      </c>
      <c r="B12" s="3265">
        <v>15</v>
      </c>
      <c r="C12" s="3281"/>
      <c r="D12" s="3301"/>
      <c r="E12" s="123" t="s">
        <v>1279</v>
      </c>
      <c r="F12" s="1627"/>
      <c r="G12" s="1627"/>
      <c r="H12" s="1627"/>
      <c r="I12" s="1281"/>
    </row>
    <row r="13" spans="1:12" ht="12.75">
      <c r="A13" s="3278"/>
      <c r="B13" s="3265"/>
      <c r="C13" s="3283"/>
      <c r="D13" s="3301"/>
      <c r="E13" s="123" t="s">
        <v>1280</v>
      </c>
      <c r="F13" s="1627"/>
      <c r="G13" s="1627"/>
      <c r="H13" s="1627"/>
      <c r="I13" s="1281"/>
    </row>
    <row r="14" spans="1:12" ht="12.75">
      <c r="A14" s="3278" t="s">
        <v>1281</v>
      </c>
      <c r="B14" s="3265">
        <v>30</v>
      </c>
      <c r="C14" s="3281">
        <v>2</v>
      </c>
      <c r="D14" s="3301">
        <f>10-C14</f>
        <v>8</v>
      </c>
      <c r="E14" s="123" t="s">
        <v>1282</v>
      </c>
      <c r="F14" s="1627"/>
      <c r="G14" s="1627"/>
      <c r="H14" s="1627"/>
      <c r="I14" s="1281"/>
    </row>
    <row r="15" spans="1:12" ht="12.75">
      <c r="A15" s="3278"/>
      <c r="B15" s="3265"/>
      <c r="C15" s="3282"/>
      <c r="D15" s="3301"/>
      <c r="E15" s="123" t="s">
        <v>1283</v>
      </c>
      <c r="F15" s="1627"/>
      <c r="G15" s="1627"/>
      <c r="H15" s="1627"/>
      <c r="I15" s="1281"/>
    </row>
    <row r="16" spans="1:12" ht="12.75">
      <c r="A16" s="3278"/>
      <c r="B16" s="3265"/>
      <c r="C16" s="3283"/>
      <c r="D16" s="3301"/>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88" t="s">
        <v>2131</v>
      </c>
      <c r="F18" s="3289"/>
      <c r="G18" s="3289"/>
      <c r="H18" s="3289"/>
      <c r="I18" s="3289"/>
      <c r="K18" s="294" t="s">
        <v>1289</v>
      </c>
      <c r="L18" s="294">
        <f>IF(C1="",'数据-汇总表'!E3,SUMIF(项目类型,C1,'数据-汇总表'!E17:E26)+SUMIF(项目类型,C1,'数据-汇总表'!I17:I26))</f>
        <v>209.06</v>
      </c>
      <c r="M18" s="294">
        <f>IF(C1="",'数据-汇总表'!E3,SUMIF(项目类型,C1,'数据-汇总表'!E17:E26))</f>
        <v>209.06</v>
      </c>
    </row>
    <row r="19" spans="1:36" ht="15">
      <c r="A19" s="1630" t="s">
        <v>1290</v>
      </c>
      <c r="B19" s="1631" t="s">
        <v>1291</v>
      </c>
      <c r="C19" s="126">
        <f ca="1">SUMIF(INDIRECT("'"&amp;C4&amp;"'"&amp;"!A:A"),结果表!B19,INDIRECT("'"&amp;C4&amp;"'"&amp;"!B:B"))</f>
        <v>1122.4673</v>
      </c>
      <c r="D19" s="127">
        <f ca="1">SUMIF(INDIRECT("'"&amp;D4&amp;"'"&amp;"!A:A"),结果表!B19,INDIRECT("'"&amp;D4&amp;"'"&amp;"!B:B"))</f>
        <v>1330.876</v>
      </c>
      <c r="E19" s="1630" t="s">
        <v>1292</v>
      </c>
      <c r="F19" s="1631" t="s">
        <v>1291</v>
      </c>
      <c r="G19" s="128">
        <f ca="1">ROUND(C19*$C$18+D19*$D$18,0)</f>
        <v>1289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53691</v>
      </c>
      <c r="D20" s="130">
        <f ca="1">SUMIF(INDIRECT("'"&amp;D4&amp;"'"&amp;"!A:A"),结果表!B20,INDIRECT("'"&amp;D4&amp;"'"&amp;"!B:B"))</f>
        <v>63660</v>
      </c>
      <c r="E20" s="1633"/>
      <c r="F20" s="43" t="s">
        <v>1295</v>
      </c>
      <c r="G20" s="131">
        <f ca="1">ROUND(C20*$C$18+D20*$D$18,0)</f>
        <v>61666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0.18567017497970761</v>
      </c>
      <c r="E22" s="121"/>
      <c r="F22" s="121"/>
      <c r="G22" s="121"/>
      <c r="H22" s="121"/>
      <c r="I22" s="121"/>
    </row>
    <row r="23" spans="1:36" ht="13.5" thickBot="1">
      <c r="A23" s="646"/>
      <c r="B23" s="646"/>
      <c r="C23" s="646"/>
      <c r="D23" s="646"/>
      <c r="E23" s="121"/>
      <c r="F23" s="121"/>
      <c r="G23" s="121"/>
      <c r="H23" s="121"/>
      <c r="I23" s="121"/>
    </row>
    <row r="24" spans="1:36" ht="14.25">
      <c r="A24" s="3272" t="s">
        <v>1299</v>
      </c>
      <c r="B24" s="1631" t="s">
        <v>1291</v>
      </c>
      <c r="C24" s="128">
        <f>IF(B30=0,0,D30)</f>
        <v>0</v>
      </c>
      <c r="D24" s="1637"/>
      <c r="E24" s="121"/>
      <c r="F24" s="121"/>
      <c r="G24" s="121"/>
      <c r="H24" s="121"/>
      <c r="I24" s="121"/>
    </row>
    <row r="25" spans="1:36" ht="14.25">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61666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2" t="s">
        <v>1312</v>
      </c>
      <c r="B36" s="1652" t="s">
        <v>1313</v>
      </c>
      <c r="C36" s="137"/>
      <c r="D36" s="1653"/>
      <c r="E36" s="1567"/>
      <c r="F36" s="1654"/>
      <c r="G36" s="121"/>
      <c r="H36" s="121"/>
      <c r="I36" s="121"/>
    </row>
    <row r="37" spans="1:15" ht="15.75" thickBot="1">
      <c r="A37" s="3293"/>
      <c r="B37" s="1555" t="s">
        <v>1314</v>
      </c>
      <c r="C37" s="139"/>
      <c r="D37" s="1071"/>
      <c r="E37" s="1071"/>
      <c r="F37" s="1654"/>
      <c r="G37" s="121"/>
      <c r="H37" s="121"/>
      <c r="I37" s="121"/>
    </row>
    <row r="38" spans="1:15" ht="15.75" thickBot="1">
      <c r="A38" s="329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t="e">
        <f ca="1">ROUND(H101*F45,0)</f>
        <v>#REF!</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9">
        <v>1</v>
      </c>
      <c r="K46" s="3328" t="s">
        <v>1331</v>
      </c>
      <c r="L46" s="3328"/>
      <c r="M46" s="3348"/>
      <c r="N46" s="3348"/>
      <c r="O46" s="3348"/>
    </row>
    <row r="47" spans="1:15" ht="12" customHeight="1">
      <c r="A47" s="152" t="s">
        <v>1332</v>
      </c>
      <c r="B47" s="153"/>
      <c r="C47" s="154"/>
      <c r="D47" s="1024" t="s">
        <v>1333</v>
      </c>
      <c r="E47" s="294" t="s">
        <v>1334</v>
      </c>
      <c r="F47" s="155" t="s">
        <v>1335</v>
      </c>
      <c r="G47" s="2332" t="s">
        <v>1336</v>
      </c>
      <c r="H47" s="2333"/>
      <c r="I47" s="151"/>
      <c r="J47" s="2309">
        <v>2</v>
      </c>
      <c r="K47" s="3328" t="s">
        <v>1337</v>
      </c>
      <c r="L47" s="3328"/>
      <c r="M47" s="3349">
        <f>'数据-取费表'!B2</f>
        <v>45911</v>
      </c>
      <c r="N47" s="3349"/>
      <c r="O47" s="3349"/>
    </row>
    <row r="48" spans="1:15" ht="25.5">
      <c r="A48" s="3297" t="s">
        <v>1338</v>
      </c>
      <c r="B48" s="3280"/>
      <c r="C48" s="328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8" t="s">
        <v>1340</v>
      </c>
      <c r="L48" s="3328"/>
      <c r="M48" s="3350" t="e">
        <f ca="1">H101</f>
        <v>#REF!</v>
      </c>
      <c r="N48" s="3350"/>
      <c r="O48" s="3350"/>
    </row>
    <row r="49" spans="1:35" ht="25.5" customHeight="1">
      <c r="A49" s="2151" t="s">
        <v>1341</v>
      </c>
      <c r="B49" s="3264" t="s">
        <v>1342</v>
      </c>
      <c r="C49" s="3264"/>
      <c r="D49" s="1478">
        <v>0</v>
      </c>
      <c r="E49" s="316" t="s">
        <v>1343</v>
      </c>
      <c r="F49" s="2232" t="s">
        <v>28</v>
      </c>
      <c r="G49" s="3334"/>
      <c r="H49" s="2133" t="s">
        <v>2134</v>
      </c>
      <c r="I49" s="2134"/>
      <c r="J49" s="2309">
        <v>4</v>
      </c>
      <c r="K49" s="3328" t="str">
        <f>IF(项目基本情况!E8="房地产抵押价值","房地产抵押价值","抵押担保权已注销时的房地产抵押价值")</f>
        <v>抵押担保权已注销时的房地产抵押价值</v>
      </c>
      <c r="L49" s="3328"/>
      <c r="M49" s="3350" t="str">
        <f>IF(项目基本情况!E8="房地产抵押价值",H107,H109)</f>
        <v>——</v>
      </c>
      <c r="N49" s="3350"/>
      <c r="O49" s="3350"/>
    </row>
    <row r="50" spans="1:35" ht="25.5" customHeight="1">
      <c r="A50" s="2337"/>
      <c r="B50" s="3264" t="s">
        <v>1344</v>
      </c>
      <c r="C50" s="3264"/>
      <c r="D50" s="2188"/>
      <c r="E50" s="323"/>
      <c r="F50" s="2232"/>
      <c r="G50" s="3335"/>
      <c r="H50" s="2135" t="s">
        <v>2135</v>
      </c>
      <c r="I50" s="2134"/>
      <c r="J50" s="3347" t="s">
        <v>1345</v>
      </c>
      <c r="K50" s="3347"/>
      <c r="L50" s="3347"/>
      <c r="M50" s="3347"/>
      <c r="N50" s="3347"/>
      <c r="O50" s="3347"/>
    </row>
    <row r="51" spans="1:35" ht="20.45" customHeight="1">
      <c r="A51" s="2338"/>
      <c r="B51" s="3264" t="s">
        <v>1346</v>
      </c>
      <c r="C51" s="3264"/>
      <c r="D51" s="1024"/>
      <c r="E51" s="319"/>
      <c r="F51" s="2232"/>
      <c r="G51" s="3336"/>
      <c r="H51" s="2135" t="s">
        <v>2136</v>
      </c>
      <c r="I51" s="2134"/>
      <c r="J51" s="2310" t="s">
        <v>1347</v>
      </c>
      <c r="K51" s="3328" t="s">
        <v>1348</v>
      </c>
      <c r="L51" s="3328"/>
      <c r="M51" s="2310" t="s">
        <v>1349</v>
      </c>
      <c r="N51" s="2310" t="s">
        <v>1350</v>
      </c>
      <c r="O51" s="2310" t="s">
        <v>1351</v>
      </c>
    </row>
    <row r="52" spans="1:35" ht="24" customHeight="1">
      <c r="A52" s="2152" t="s">
        <v>1352</v>
      </c>
      <c r="B52" s="3264" t="s">
        <v>1353</v>
      </c>
      <c r="C52" s="3264"/>
      <c r="D52" s="1024" t="e">
        <f ca="1">ROUND(D45*'数据-取费表'!B41/(1+'数据-取费表'!C42),0)</f>
        <v>#REF!</v>
      </c>
      <c r="E52" s="1256" t="s">
        <v>1354</v>
      </c>
      <c r="F52" s="2339">
        <f>'数据-取费表'!B41</f>
        <v>5.6000000000000001E-2</v>
      </c>
      <c r="G52" s="2340"/>
      <c r="H52" s="2330"/>
      <c r="I52" s="1669"/>
      <c r="J52" s="2309">
        <v>1</v>
      </c>
      <c r="K52" s="3329" t="s">
        <v>1355</v>
      </c>
      <c r="L52" s="3329"/>
      <c r="M52" s="2311" t="b">
        <f>D48</f>
        <v>0</v>
      </c>
      <c r="N52" s="2309" t="str">
        <f>E48</f>
        <v>销售额×税（费）率</v>
      </c>
      <c r="O52" s="2312">
        <f>F48</f>
        <v>5.6000000000000001E-2</v>
      </c>
    </row>
    <row r="53" spans="1:35" ht="12" customHeight="1">
      <c r="A53" s="2152" t="s">
        <v>1356</v>
      </c>
      <c r="B53" s="3290" t="s">
        <v>2291</v>
      </c>
      <c r="C53" s="3291"/>
      <c r="D53" s="1024" t="e">
        <f ca="1">ROUND(D45*'数据-取费表'!B41/(1+'数据-取费表'!C42),0)</f>
        <v>#REF!</v>
      </c>
      <c r="E53" s="1256" t="s">
        <v>1354</v>
      </c>
      <c r="F53" s="2339">
        <f>'数据-取费表'!B41</f>
        <v>5.6000000000000001E-2</v>
      </c>
      <c r="G53" s="2340"/>
      <c r="H53" s="2330"/>
      <c r="I53" s="1669"/>
      <c r="J53" s="2309">
        <v>2</v>
      </c>
      <c r="K53" s="3329" t="s">
        <v>1357</v>
      </c>
      <c r="L53" s="3329"/>
      <c r="M53" s="2311" t="e">
        <f t="shared" ref="M53:O54" ca="1" si="0">D55</f>
        <v>#REF!</v>
      </c>
      <c r="N53" s="2309" t="str">
        <f t="shared" si="0"/>
        <v>销售额×税（费）率</v>
      </c>
      <c r="O53" s="2312" t="str">
        <f t="shared" si="0"/>
        <v>免征</v>
      </c>
    </row>
    <row r="54" spans="1:35" ht="12" customHeight="1">
      <c r="A54" s="2152" t="s">
        <v>1358</v>
      </c>
      <c r="B54" s="3290" t="s">
        <v>2292</v>
      </c>
      <c r="C54" s="3291"/>
      <c r="D54" s="1024" t="e">
        <f ca="1">C68</f>
        <v>#REF!</v>
      </c>
      <c r="E54" s="319" t="s">
        <v>1359</v>
      </c>
      <c r="F54" s="2339">
        <f>'数据-取费表'!B41</f>
        <v>5.6000000000000001E-2</v>
      </c>
      <c r="G54" s="2340"/>
      <c r="H54" s="2341"/>
      <c r="I54" s="1669"/>
      <c r="J54" s="2309">
        <v>3</v>
      </c>
      <c r="K54" s="3329" t="s">
        <v>1360</v>
      </c>
      <c r="L54" s="3329"/>
      <c r="M54" s="2311" t="e">
        <f t="shared" ca="1" si="0"/>
        <v>#REF!</v>
      </c>
      <c r="N54" s="2309" t="str">
        <f t="shared" si="0"/>
        <v>增值额×税（费）率</v>
      </c>
      <c r="O54" s="2313" t="str">
        <f t="shared" si="0"/>
        <v>免征</v>
      </c>
    </row>
    <row r="55" spans="1:35" ht="24" customHeight="1">
      <c r="A55" s="3279" t="s">
        <v>1361</v>
      </c>
      <c r="B55" s="3280"/>
      <c r="C55" s="3280"/>
      <c r="D55" s="12" t="e">
        <f ca="1">IF(H55="个人住宅",0,ROUND(D45*I55,0))</f>
        <v>#REF!</v>
      </c>
      <c r="E55" s="1256" t="s">
        <v>1362</v>
      </c>
      <c r="F55" s="2339" t="str">
        <f>IF(H55="正常",I55,"免征")</f>
        <v>免征</v>
      </c>
      <c r="G55" s="2340"/>
      <c r="H55" s="2336"/>
      <c r="I55" s="157">
        <f>'数据-取费表'!B49</f>
        <v>5.0000000000000001E-4</v>
      </c>
      <c r="J55" s="2309">
        <f>IF(H59="非个人房产","",4)</f>
        <v>4</v>
      </c>
      <c r="K55" s="3329" t="str">
        <f>IF(H59="非个人房产","——","个人所得税")</f>
        <v>个人所得税</v>
      </c>
      <c r="L55" s="3329"/>
      <c r="M55" s="2314" t="e">
        <f ca="1">D59</f>
        <v>#REF!</v>
      </c>
      <c r="N55" s="1882" t="str">
        <f>E59</f>
        <v>差额计税</v>
      </c>
      <c r="O55" s="2315">
        <f>F59</f>
        <v>0.01</v>
      </c>
    </row>
    <row r="56" spans="1:35" ht="24.75">
      <c r="A56" s="3279" t="s">
        <v>1363</v>
      </c>
      <c r="B56" s="3280"/>
      <c r="C56" s="3280"/>
      <c r="D56" s="12" t="e">
        <f ca="1">IF(H56="个人住宅",D57,D58)</f>
        <v>#REF!</v>
      </c>
      <c r="E56" s="1256" t="s">
        <v>1364</v>
      </c>
      <c r="F56" s="2339" t="str">
        <f>IF(H56="正常",F58,"免征")</f>
        <v>免征</v>
      </c>
      <c r="G56" s="2342" t="s">
        <v>1365</v>
      </c>
      <c r="H56" s="2343"/>
      <c r="I56" s="1670"/>
      <c r="J56" s="2309" t="str">
        <f>IF(项目基本情况!K6="上海银行",IF(J55="",4,J55+1),"")</f>
        <v/>
      </c>
      <c r="K56" s="3352" t="str">
        <f>IF(项目基本情况!K6="上海银行","其他处置费用","")</f>
        <v/>
      </c>
      <c r="L56" s="3353"/>
      <c r="M56" s="2311" t="str">
        <f>IF(项目基本情况!K6="上海银行",M69,"")</f>
        <v/>
      </c>
      <c r="N56" s="3352" t="str">
        <f>IF(项目基本情况!K6="上海银行","包含处置中涉及的律师、诉讼、拍卖、评估等费用","")</f>
        <v/>
      </c>
      <c r="O56" s="3355"/>
    </row>
    <row r="57" spans="1:35" ht="12.75">
      <c r="A57" s="2152" t="s">
        <v>1341</v>
      </c>
      <c r="B57" s="3290" t="s">
        <v>1366</v>
      </c>
      <c r="C57" s="3291"/>
      <c r="D57" s="1478">
        <v>0</v>
      </c>
      <c r="E57" s="316" t="s">
        <v>1343</v>
      </c>
      <c r="F57" s="294"/>
      <c r="G57" s="2340"/>
      <c r="H57" s="2344"/>
      <c r="I57" s="1670"/>
      <c r="J57" s="3329">
        <f>IF(AND(J55="",J56=""),4,IF(项目基本情况!K6="上海银行",结果表!J56+1,结果表!J55+1))</f>
        <v>5</v>
      </c>
      <c r="K57" s="3329" t="s">
        <v>1367</v>
      </c>
      <c r="L57" s="2316" t="s">
        <v>1368</v>
      </c>
      <c r="M57" s="2317"/>
      <c r="N57" s="2318">
        <f ca="1">SUMIF(M52:M56,"&lt;9e307")</f>
        <v>0</v>
      </c>
      <c r="O57" s="2319"/>
      <c r="P57" s="2464" t="e">
        <f ca="1">N57/M49</f>
        <v>#VALUE!</v>
      </c>
    </row>
    <row r="58" spans="1:35" ht="24.75">
      <c r="A58" s="2152" t="s">
        <v>1352</v>
      </c>
      <c r="B58" s="3290" t="s">
        <v>1369</v>
      </c>
      <c r="C58" s="3264"/>
      <c r="D58" s="12" t="e">
        <f ca="1">IF(H58="转让取得",C81,C97)</f>
        <v>#REF!</v>
      </c>
      <c r="E58" s="1256" t="s">
        <v>1364</v>
      </c>
      <c r="F58" s="294" t="s">
        <v>28</v>
      </c>
      <c r="G58" s="2340"/>
      <c r="H58" s="2343"/>
      <c r="I58" s="1670"/>
      <c r="J58" s="3329"/>
      <c r="K58" s="3329"/>
      <c r="L58" s="2316" t="s">
        <v>1370</v>
      </c>
      <c r="M58" s="2320"/>
      <c r="N58" s="2321" t="str">
        <f ca="1">NUMBERSTRING(INT(N57*10000),2)&amp;"元整"</f>
        <v>零元整</v>
      </c>
      <c r="O58" s="2322"/>
    </row>
    <row r="59" spans="1:35" ht="24.75" thickBot="1">
      <c r="A59" s="3332" t="s">
        <v>1371</v>
      </c>
      <c r="B59" s="3333"/>
      <c r="C59" s="3333"/>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0">
        <f>J57+1</f>
        <v>6</v>
      </c>
      <c r="K59" s="3329" t="s">
        <v>1372</v>
      </c>
      <c r="L59" s="2309" t="s">
        <v>1368</v>
      </c>
      <c r="M59" s="2323"/>
      <c r="N59" s="2324" t="e">
        <f ca="1">M49-N57</f>
        <v>#VALUE!</v>
      </c>
      <c r="O59" s="2325"/>
    </row>
    <row r="60" spans="1:35" ht="12" customHeight="1">
      <c r="A60" s="1671"/>
      <c r="B60" s="646"/>
      <c r="C60" s="646"/>
      <c r="D60" s="646"/>
      <c r="E60" s="1466"/>
      <c r="F60" s="1670"/>
      <c r="G60" s="1670"/>
      <c r="H60" s="151"/>
      <c r="I60" s="121"/>
      <c r="J60" s="3331"/>
      <c r="K60" s="3329"/>
      <c r="L60" s="2316" t="s">
        <v>1370</v>
      </c>
      <c r="M60" s="2320"/>
      <c r="N60" s="2321" t="e">
        <f ca="1">NUMBERSTRING(INT(N59*10000),2)&amp;"元整"</f>
        <v>#VALUE!</v>
      </c>
      <c r="O60" s="2322"/>
    </row>
    <row r="61" spans="1:35" ht="13.5" thickBot="1">
      <c r="A61" s="3277" t="s">
        <v>1373</v>
      </c>
      <c r="B61" s="3277"/>
      <c r="C61" s="3277"/>
      <c r="D61" s="3277"/>
      <c r="E61" s="3277"/>
      <c r="F61" s="1670"/>
      <c r="G61" s="1670"/>
      <c r="H61" s="151"/>
      <c r="I61" s="121"/>
      <c r="J61" s="2309">
        <f>J59+1</f>
        <v>7</v>
      </c>
      <c r="K61" s="3329" t="s">
        <v>1374</v>
      </c>
      <c r="L61" s="3329"/>
      <c r="M61" s="2326"/>
      <c r="N61" s="2327" t="e">
        <f ca="1">ROUND(N59*10000/'数据-汇总表'!E3,0)</f>
        <v>#VALUE!</v>
      </c>
      <c r="O61" s="2328"/>
    </row>
    <row r="62" spans="1:35" ht="12.75">
      <c r="A62" s="3295" t="s">
        <v>1375</v>
      </c>
      <c r="B62" s="3296"/>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5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5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4"/>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5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5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4"/>
      <c r="K69" s="1245" t="s">
        <v>1393</v>
      </c>
      <c r="L69" s="1245"/>
      <c r="M69" s="294" t="e">
        <f>ROUND(SUM(M63:M68),0)</f>
        <v>#VALUE!</v>
      </c>
      <c r="N69" s="2331" t="e">
        <f>M69/M49</f>
        <v>#VALUE!</v>
      </c>
      <c r="Z69" s="1623"/>
      <c r="AI69" s="1561"/>
    </row>
    <row r="70" spans="1:35" s="642" customFormat="1" ht="1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5" t="s">
        <v>1375</v>
      </c>
      <c r="B71" s="3296"/>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5" t="s">
        <v>1375</v>
      </c>
      <c r="B84" s="3296"/>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56" t="s">
        <v>2129</v>
      </c>
      <c r="H90" s="335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4" t="s">
        <v>1422</v>
      </c>
      <c r="F92" s="3275"/>
      <c r="G92" s="3275"/>
      <c r="H92" s="328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70" t="str">
        <f>C4</f>
        <v>收益法 (元)</v>
      </c>
      <c r="D101" s="2371" t="str">
        <f>D4</f>
        <v>比较法-住宅</v>
      </c>
      <c r="E101" s="3351" t="s">
        <v>1431</v>
      </c>
      <c r="F101" s="3308"/>
      <c r="G101" s="1687" t="s">
        <v>1432</v>
      </c>
      <c r="H101" s="2380" t="e">
        <f ca="1">H118</f>
        <v>#REF!</v>
      </c>
      <c r="I101" s="121"/>
    </row>
    <row r="102" spans="1:35" ht="18.75" customHeight="1">
      <c r="A102" s="3310" t="s">
        <v>1433</v>
      </c>
      <c r="B102" s="2369" t="s">
        <v>1432</v>
      </c>
      <c r="C102" s="2370">
        <f ca="1">IF(D32="楼面单价",ROUND(C19,0),C19)</f>
        <v>1122.4673</v>
      </c>
      <c r="D102" s="2371">
        <f ca="1">IF(D32="楼面单价",ROUND(D19,0),D19)</f>
        <v>1330.876</v>
      </c>
      <c r="E102" s="3351"/>
      <c r="F102" s="3308"/>
      <c r="G102" s="1687" t="s">
        <v>1434</v>
      </c>
      <c r="H102" s="2340" t="e">
        <f ca="1">I118</f>
        <v>#REF!</v>
      </c>
      <c r="I102" s="121"/>
    </row>
    <row r="103" spans="1:35" ht="42.75" customHeight="1">
      <c r="A103" s="3310"/>
      <c r="B103" s="2369" t="s">
        <v>1434</v>
      </c>
      <c r="C103" s="2372">
        <f ca="1">C20</f>
        <v>53691</v>
      </c>
      <c r="D103" s="2373">
        <f ca="1">D20</f>
        <v>63660</v>
      </c>
      <c r="E103" s="3345" t="s">
        <v>1435</v>
      </c>
      <c r="F103" s="3346"/>
      <c r="G103" s="1688" t="s">
        <v>1436</v>
      </c>
      <c r="H103" s="2380">
        <f>IF(D36="正常操作",H104+H105+H106,H105+H106)</f>
        <v>0</v>
      </c>
      <c r="I103" s="121"/>
    </row>
    <row r="104" spans="1:35" ht="18.75" customHeight="1">
      <c r="A104" s="331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308"/>
      <c r="G107" s="1687" t="s">
        <v>1432</v>
      </c>
      <c r="H107" s="2380" t="e">
        <f ca="1">IF(E107="——","——",H101-H103)</f>
        <v>#REF!</v>
      </c>
      <c r="I107" s="121"/>
    </row>
    <row r="108" spans="1:35" ht="18.75" customHeight="1">
      <c r="A108" s="121"/>
      <c r="B108" s="121"/>
      <c r="C108" s="121"/>
      <c r="D108" s="121"/>
      <c r="E108" s="3307"/>
      <c r="F108" s="3308"/>
      <c r="G108" s="1687" t="s">
        <v>1434</v>
      </c>
      <c r="H108" s="2340">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3" t="str">
        <f>IF(E109="——","——",H101-H105-H106)</f>
        <v>——</v>
      </c>
      <c r="I109" s="121"/>
    </row>
    <row r="110" spans="1:35" ht="18.75" customHeight="1">
      <c r="A110" s="121"/>
      <c r="B110" s="121"/>
      <c r="C110" s="121"/>
      <c r="D110" s="121"/>
      <c r="E110" s="3307"/>
      <c r="F110" s="3308"/>
      <c r="G110" s="1687" t="s">
        <v>1434</v>
      </c>
      <c r="H110" s="2340"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80" t="str">
        <f>IF(E111="——","——",N59)</f>
        <v>——</v>
      </c>
      <c r="I111" s="121"/>
    </row>
    <row r="112" spans="1:35" ht="18.75" customHeight="1" thickBot="1">
      <c r="A112" s="121"/>
      <c r="B112" s="121"/>
      <c r="C112" s="121"/>
      <c r="D112" s="121"/>
      <c r="E112" s="3340"/>
      <c r="F112" s="3341"/>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209.06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8" t="s">
        <v>1452</v>
      </c>
      <c r="B119" s="3278"/>
      <c r="C119" s="3278"/>
      <c r="D119" s="3318" t="e">
        <f ca="1">NUMBERSTRING(INT(D118*10000),2)&amp;"元整"</f>
        <v>#REF!</v>
      </c>
      <c r="E119" s="3320"/>
      <c r="F119" s="3318" t="e">
        <f ca="1">NUMBERSTRING(INT(F118*10000),2)&amp;"元整"</f>
        <v>#REF!</v>
      </c>
      <c r="G119" s="3320"/>
      <c r="H119" s="3318" t="e">
        <f ca="1">NUMBERSTRING(INT(H118*10000),2)&amp;"元整"</f>
        <v>#REF!</v>
      </c>
      <c r="I119" s="3320"/>
    </row>
    <row r="120" spans="1:27" ht="18.75" customHeight="1">
      <c r="A120" s="3342" t="str">
        <f>IF(项目基本情况!B9="房地产市场价值","",MID(E103,3,LEN(E103)-2))</f>
        <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
      </c>
      <c r="B122" s="3309"/>
      <c r="C122" s="3309"/>
      <c r="D122" s="3342" t="e">
        <f ca="1">H107</f>
        <v>#REF!</v>
      </c>
      <c r="E122" s="3343"/>
      <c r="F122" s="3343"/>
      <c r="G122" s="3343"/>
      <c r="H122" s="3343"/>
      <c r="I122" s="3344"/>
      <c r="AA122" s="684"/>
    </row>
    <row r="123" spans="1:27" ht="18.75" customHeight="1">
      <c r="A123" s="3278" t="s">
        <v>1452</v>
      </c>
      <c r="B123" s="3278"/>
      <c r="C123" s="3278"/>
      <c r="D123" s="3318" t="e">
        <f ca="1">NUMBERSTRING(INT(D122*10000),2)&amp;"元整"</f>
        <v>#REF!</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3635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209.06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209.06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0.03</v>
      </c>
      <c r="G36" s="252" t="s">
        <v>1530</v>
      </c>
    </row>
    <row r="37" spans="1:7" s="250" customFormat="1" ht="13.5" customHeight="1">
      <c r="A37" s="734" t="s">
        <v>353</v>
      </c>
      <c r="B37" s="207" t="s">
        <v>1531</v>
      </c>
      <c r="C37" s="241">
        <f ca="1">ROUND(E37*D37*F34/10000,0)</f>
        <v>4</v>
      </c>
      <c r="D37" s="209">
        <f ca="1">D19</f>
        <v>209.06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8.9999999999999998E-4</v>
      </c>
      <c r="D44" s="230"/>
      <c r="E44" s="230"/>
      <c r="F44" s="231"/>
      <c r="G44" s="3360"/>
    </row>
    <row r="45" spans="1:7" s="206" customFormat="1" ht="13.5" customHeight="1">
      <c r="A45" s="247" t="s">
        <v>1547</v>
      </c>
      <c r="B45" s="236" t="s">
        <v>1513</v>
      </c>
      <c r="C45" s="237">
        <f ca="1">C46</f>
        <v>11</v>
      </c>
      <c r="D45" s="227">
        <f ca="1">C47</f>
        <v>4.4999999999999997E-3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71</v>
      </c>
      <c r="D51" s="224"/>
      <c r="E51" s="224"/>
      <c r="F51" s="256"/>
      <c r="G51" s="226" t="s">
        <v>1560</v>
      </c>
    </row>
    <row r="52" spans="1:7" s="200" customFormat="1" ht="16.5" thickBot="1">
      <c r="A52" s="257" t="s">
        <v>1561</v>
      </c>
      <c r="B52" s="258"/>
      <c r="C52" s="259">
        <f ca="1">C31+C51</f>
        <v>76</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-143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209.06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209.06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209.06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2109</v>
      </c>
      <c r="E6" s="294" t="s">
        <v>696</v>
      </c>
      <c r="F6" s="295">
        <f ca="1">INDIRECT("'数据-取费表'!u"&amp;$G$1)</f>
        <v>0</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 zoomScaleNormal="60" zoomScaleSheetLayoutView="100" workbookViewId="0">
      <selection activeCell="N38" sqref="N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3404</v>
      </c>
      <c r="E1" s="3124" t="s">
        <v>3443</v>
      </c>
      <c r="F1" s="1735" t="s">
        <v>3444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1330.876</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63660</v>
      </c>
      <c r="C3" s="344" t="s">
        <v>1665</v>
      </c>
      <c r="D3" s="343">
        <f>IF(D1="",'数据-汇总表'!E3,SUMIF('数据-汇总表'!$C19:$C33,D1,'数据-汇总表'!$E19:$E33))</f>
        <v>209.06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6"/>
      <c r="M4" s="2487"/>
      <c r="N4" s="2487"/>
      <c r="O4" s="2487"/>
      <c r="P4" s="3388" t="s">
        <v>1672</v>
      </c>
      <c r="Q4" s="3389"/>
      <c r="R4" s="3394" t="s">
        <v>1668</v>
      </c>
      <c r="S4" s="3395"/>
      <c r="T4" s="3394" t="s">
        <v>1669</v>
      </c>
      <c r="U4" s="3395"/>
      <c r="V4" s="3370" t="s">
        <v>1670</v>
      </c>
      <c r="W4" s="3370"/>
      <c r="X4" s="1265"/>
      <c r="Y4" s="3394" t="s">
        <v>1672</v>
      </c>
      <c r="Z4" s="3395"/>
      <c r="AA4" s="3381" t="s">
        <v>1668</v>
      </c>
      <c r="AB4" s="3381" t="s">
        <v>1669</v>
      </c>
      <c r="AC4" s="3381" t="s">
        <v>1670</v>
      </c>
    </row>
    <row r="5" spans="1:29" ht="15">
      <c r="A5" s="348"/>
      <c r="B5" s="349"/>
      <c r="C5" s="3402" t="s">
        <v>3442</v>
      </c>
      <c r="D5" s="3403"/>
      <c r="E5" s="3402" t="s">
        <v>3442</v>
      </c>
      <c r="F5" s="3403"/>
      <c r="G5" s="3402" t="s">
        <v>3442</v>
      </c>
      <c r="H5" s="3403"/>
      <c r="I5" s="3402" t="s">
        <v>3442</v>
      </c>
      <c r="J5" s="3403"/>
      <c r="K5" s="1745"/>
      <c r="L5" s="2486"/>
      <c r="M5" s="2487"/>
      <c r="N5" s="2487"/>
      <c r="O5" s="2487"/>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1745" t="s">
        <v>1678</v>
      </c>
      <c r="L6" s="2486"/>
      <c r="M6" s="2487"/>
      <c r="N6" s="2487"/>
      <c r="O6" s="2487"/>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45911</v>
      </c>
      <c r="D7" s="355">
        <v>100</v>
      </c>
      <c r="E7" s="356">
        <f>Sheet1!R10</f>
        <v>45860</v>
      </c>
      <c r="F7" s="357">
        <f>SUMIF(58:58,YEAR(E7)&amp;"-"&amp;MONTH(E7),59:59)</f>
        <v>100</v>
      </c>
      <c r="G7" s="356">
        <f>Sheet1!R12</f>
        <v>45824</v>
      </c>
      <c r="H7" s="355">
        <f>SUMIF(58:58,YEAR(G7)&amp;"-"&amp;MONTH(G7),59:59)</f>
        <v>99.5</v>
      </c>
      <c r="I7" s="356">
        <f>Sheet1!R16</f>
        <v>45752</v>
      </c>
      <c r="J7" s="355">
        <f>SUMIF(58:58,YEAR(I7)&amp;"-"&amp;MONTH(I7),59:59)</f>
        <v>99.5</v>
      </c>
      <c r="K7" s="1746"/>
      <c r="L7" s="2488"/>
      <c r="M7" s="2439"/>
      <c r="N7" s="2439"/>
      <c r="O7" s="2439"/>
      <c r="P7" s="3404" t="s">
        <v>1680</v>
      </c>
      <c r="Q7" s="3406"/>
      <c r="R7" s="664" t="s">
        <v>20</v>
      </c>
      <c r="S7" s="665">
        <f t="shared" ref="S7:S15" si="0">F7</f>
        <v>100</v>
      </c>
      <c r="T7" s="664" t="s">
        <v>20</v>
      </c>
      <c r="U7" s="665">
        <f t="shared" ref="U7:U15" si="1">H7</f>
        <v>99.5</v>
      </c>
      <c r="V7" s="664" t="s">
        <v>20</v>
      </c>
      <c r="W7" s="665">
        <f t="shared" ref="W7:W15" si="2">J7</f>
        <v>99.5</v>
      </c>
      <c r="X7" s="666"/>
      <c r="Y7" s="3404" t="s">
        <v>1680</v>
      </c>
      <c r="Z7" s="3405"/>
      <c r="AA7" s="50">
        <f>D7/F7</f>
        <v>1</v>
      </c>
      <c r="AB7" s="50">
        <f>D7/H7</f>
        <v>1.0050251256281406</v>
      </c>
      <c r="AC7" s="50">
        <f>D7/J7</f>
        <v>1.0050251256281406</v>
      </c>
    </row>
    <row r="8" spans="1:29" s="102" customFormat="1" ht="15.75" thickBot="1">
      <c r="A8" s="352" t="s">
        <v>1681</v>
      </c>
      <c r="B8" s="353"/>
      <c r="C8" s="358" t="s">
        <v>3476</v>
      </c>
      <c r="D8" s="355">
        <v>100</v>
      </c>
      <c r="E8" s="1747" t="s">
        <v>3476</v>
      </c>
      <c r="F8" s="357">
        <f>SUMIF(61:61,E8,62:62)-SUMIF(61:61,C8,62:62)+100</f>
        <v>100</v>
      </c>
      <c r="G8" s="1747" t="s">
        <v>3476</v>
      </c>
      <c r="H8" s="355">
        <f>SUMIF(61:61,G8,62:62)-SUMIF(61:61,C8,62:62)+100</f>
        <v>100</v>
      </c>
      <c r="I8" s="1747" t="s">
        <v>3476</v>
      </c>
      <c r="J8" s="355">
        <f>SUMIF(61:61,I8,62:62)-SUMIF(61:61,C8,62:62)+100</f>
        <v>100</v>
      </c>
      <c r="K8" s="1746"/>
      <c r="L8" s="2488"/>
      <c r="M8" s="2439"/>
      <c r="N8" s="2439"/>
      <c r="O8" s="2439"/>
      <c r="P8" s="3404" t="s">
        <v>1683</v>
      </c>
      <c r="Q8" s="3405"/>
      <c r="R8" s="664" t="s">
        <v>20</v>
      </c>
      <c r="S8" s="665">
        <f t="shared" si="0"/>
        <v>100</v>
      </c>
      <c r="T8" s="664" t="s">
        <v>20</v>
      </c>
      <c r="U8" s="665">
        <f t="shared" si="1"/>
        <v>100</v>
      </c>
      <c r="V8" s="664" t="s">
        <v>20</v>
      </c>
      <c r="W8" s="665">
        <f t="shared" si="2"/>
        <v>100</v>
      </c>
      <c r="X8" s="666"/>
      <c r="Y8" s="3404" t="s">
        <v>1683</v>
      </c>
      <c r="Z8" s="3405"/>
      <c r="AA8" s="50">
        <f t="shared" ref="AA8:AA19" si="3">D8/F8</f>
        <v>1</v>
      </c>
      <c r="AB8" s="50">
        <f t="shared" ref="AB8:AB19" si="4">D8/H8</f>
        <v>1</v>
      </c>
      <c r="AC8" s="50">
        <f t="shared" ref="AC8:AC19" si="5">D8/J8</f>
        <v>1</v>
      </c>
    </row>
    <row r="9" spans="1:29" s="102" customFormat="1">
      <c r="A9" s="359" t="s">
        <v>1684</v>
      </c>
      <c r="B9" s="60" t="s">
        <v>1685</v>
      </c>
      <c r="C9" s="3175" t="s">
        <v>3475</v>
      </c>
      <c r="D9" s="59">
        <v>100</v>
      </c>
      <c r="E9" s="361" t="s">
        <v>3404</v>
      </c>
      <c r="F9" s="60">
        <f>SUMIF(63:63,E9,64:64)-SUMIF(63:63,C9,64:64)+100</f>
        <v>100</v>
      </c>
      <c r="G9" s="361" t="s">
        <v>3404</v>
      </c>
      <c r="H9" s="59">
        <f>SUMIF(63:63,G9,64:64)-SUMIF(63:63,C9,64:64)+100</f>
        <v>100</v>
      </c>
      <c r="I9" s="361" t="s">
        <v>3404</v>
      </c>
      <c r="J9" s="59">
        <f>SUMIF(63:63,I9,64:64)-SUMIF(63:63,C9,64:64)+100</f>
        <v>100</v>
      </c>
      <c r="K9" s="1746"/>
      <c r="L9" s="2488"/>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0"/>
      <c r="Q11" s="530" t="str">
        <f t="shared" si="6"/>
        <v>容积率</v>
      </c>
      <c r="R11" s="664" t="s">
        <v>18</v>
      </c>
      <c r="S11" s="665">
        <f t="shared" si="0"/>
        <v>100</v>
      </c>
      <c r="T11" s="664" t="s">
        <v>18</v>
      </c>
      <c r="U11" s="665">
        <f t="shared" si="1"/>
        <v>100</v>
      </c>
      <c r="V11" s="664" t="s">
        <v>18</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0"/>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0"/>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0"/>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8" t="s">
        <v>1691</v>
      </c>
      <c r="Q15" s="1263" t="str">
        <f t="shared" si="6"/>
        <v>居住社区成熟度</v>
      </c>
      <c r="R15" s="667" t="s">
        <v>18</v>
      </c>
      <c r="S15" s="668">
        <f t="shared" si="0"/>
        <v>100</v>
      </c>
      <c r="T15" s="667" t="s">
        <v>18</v>
      </c>
      <c r="U15" s="668">
        <f t="shared" si="1"/>
        <v>100</v>
      </c>
      <c r="V15" s="667" t="s">
        <v>18</v>
      </c>
      <c r="W15" s="668">
        <f t="shared" si="2"/>
        <v>100</v>
      </c>
      <c r="X15" s="1265"/>
      <c r="Y15" s="3371" t="s">
        <v>1691</v>
      </c>
      <c r="Z15" s="1264" t="str">
        <f t="shared" si="7"/>
        <v>居住社区成熟度</v>
      </c>
      <c r="AA15" s="1264">
        <f t="shared" si="3"/>
        <v>1</v>
      </c>
      <c r="AB15" s="1264">
        <f t="shared" si="4"/>
        <v>1</v>
      </c>
      <c r="AC15" s="1264">
        <f t="shared" si="5"/>
        <v>1</v>
      </c>
    </row>
    <row r="16" spans="1:29" ht="15">
      <c r="A16" s="367"/>
      <c r="B16" s="385"/>
      <c r="C16" s="386" t="s">
        <v>3455</v>
      </c>
      <c r="D16" s="387"/>
      <c r="E16" s="386" t="s">
        <v>3455</v>
      </c>
      <c r="F16" s="387"/>
      <c r="G16" s="386" t="s">
        <v>3455</v>
      </c>
      <c r="H16" s="389"/>
      <c r="I16" s="386" t="s">
        <v>3455</v>
      </c>
      <c r="J16" s="387"/>
      <c r="K16" s="1753"/>
      <c r="L16" s="2492"/>
      <c r="M16" s="2487"/>
      <c r="N16" s="2487"/>
      <c r="O16" s="2487"/>
      <c r="P16" s="3379"/>
      <c r="Q16" s="1263"/>
      <c r="R16" s="667"/>
      <c r="S16" s="668"/>
      <c r="T16" s="667"/>
      <c r="U16" s="668"/>
      <c r="V16" s="667"/>
      <c r="W16" s="668"/>
      <c r="X16" s="1265"/>
      <c r="Y16" s="337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9"/>
      <c r="Q17" s="1263" t="str">
        <f>B17</f>
        <v>交通便捷度</v>
      </c>
      <c r="R17" s="667" t="s">
        <v>18</v>
      </c>
      <c r="S17" s="668">
        <f>F17</f>
        <v>100</v>
      </c>
      <c r="T17" s="667" t="s">
        <v>18</v>
      </c>
      <c r="U17" s="668">
        <f>H17</f>
        <v>100</v>
      </c>
      <c r="V17" s="667" t="s">
        <v>18</v>
      </c>
      <c r="W17" s="668">
        <f>J17</f>
        <v>100</v>
      </c>
      <c r="X17" s="1265"/>
      <c r="Y17" s="3372"/>
      <c r="Z17" s="1264" t="str">
        <f>Q17</f>
        <v>交通便捷度</v>
      </c>
      <c r="AA17" s="1264">
        <f t="shared" si="3"/>
        <v>1</v>
      </c>
      <c r="AB17" s="1264">
        <f t="shared" si="4"/>
        <v>1</v>
      </c>
      <c r="AC17" s="1264">
        <f t="shared" si="5"/>
        <v>1</v>
      </c>
    </row>
    <row r="18" spans="1:29" ht="15">
      <c r="A18" s="367"/>
      <c r="B18" s="395"/>
      <c r="C18" s="1755" t="s">
        <v>3455</v>
      </c>
      <c r="D18" s="389"/>
      <c r="E18" s="386" t="s">
        <v>3455</v>
      </c>
      <c r="F18" s="389"/>
      <c r="G18" s="386" t="s">
        <v>3455</v>
      </c>
      <c r="H18" s="387"/>
      <c r="I18" s="386" t="s">
        <v>3455</v>
      </c>
      <c r="J18" s="387"/>
      <c r="K18" s="1753"/>
      <c r="L18" s="2492"/>
      <c r="M18" s="2487"/>
      <c r="N18" s="2487"/>
      <c r="O18" s="2487"/>
      <c r="P18" s="3379"/>
      <c r="Q18" s="1263"/>
      <c r="R18" s="667"/>
      <c r="S18" s="668"/>
      <c r="T18" s="667"/>
      <c r="U18" s="668"/>
      <c r="V18" s="667"/>
      <c r="W18" s="668"/>
      <c r="X18" s="1265"/>
      <c r="Y18" s="337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9"/>
      <c r="Q19" s="1263" t="str">
        <f>B19</f>
        <v>公共配套设施</v>
      </c>
      <c r="R19" s="667" t="s">
        <v>18</v>
      </c>
      <c r="S19" s="668">
        <f>F19</f>
        <v>100</v>
      </c>
      <c r="T19" s="667" t="s">
        <v>18</v>
      </c>
      <c r="U19" s="668">
        <f>H19</f>
        <v>100</v>
      </c>
      <c r="V19" s="667" t="s">
        <v>18</v>
      </c>
      <c r="W19" s="668">
        <f>J19</f>
        <v>100</v>
      </c>
      <c r="X19" s="1265"/>
      <c r="Y19" s="3372"/>
      <c r="Z19" s="1264" t="str">
        <f>Q19</f>
        <v>公共配套设施</v>
      </c>
      <c r="AA19" s="1264">
        <f t="shared" si="3"/>
        <v>1</v>
      </c>
      <c r="AB19" s="1264">
        <f t="shared" si="4"/>
        <v>1</v>
      </c>
      <c r="AC19" s="1264">
        <f t="shared" si="5"/>
        <v>1</v>
      </c>
    </row>
    <row r="20" spans="1:29" ht="15">
      <c r="A20" s="367"/>
      <c r="B20" s="395"/>
      <c r="C20" s="386" t="s">
        <v>3455</v>
      </c>
      <c r="D20" s="387"/>
      <c r="E20" s="386" t="s">
        <v>3455</v>
      </c>
      <c r="F20" s="387"/>
      <c r="G20" s="386" t="s">
        <v>3455</v>
      </c>
      <c r="H20" s="387"/>
      <c r="I20" s="386" t="s">
        <v>3455</v>
      </c>
      <c r="J20" s="387"/>
      <c r="K20" s="1753"/>
      <c r="L20" s="2492"/>
      <c r="M20" s="2487"/>
      <c r="N20" s="2487"/>
      <c r="O20" s="2487"/>
      <c r="P20" s="3379"/>
      <c r="Q20" s="1263"/>
      <c r="R20" s="667"/>
      <c r="S20" s="668"/>
      <c r="T20" s="667"/>
      <c r="U20" s="668"/>
      <c r="V20" s="667"/>
      <c r="W20" s="668"/>
      <c r="X20" s="1265"/>
      <c r="Y20" s="337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1755" t="s">
        <v>3460</v>
      </c>
      <c r="F22" s="387"/>
      <c r="G22" s="1755" t="s">
        <v>3460</v>
      </c>
      <c r="H22" s="387"/>
      <c r="I22" s="1755" t="s">
        <v>3460</v>
      </c>
      <c r="J22" s="387"/>
      <c r="K22" s="1759"/>
      <c r="L22" s="2492"/>
      <c r="M22" s="2487"/>
      <c r="N22" s="2487"/>
      <c r="O22" s="2487"/>
      <c r="P22" s="3379"/>
      <c r="Q22" s="1263"/>
      <c r="R22" s="667"/>
      <c r="S22" s="668"/>
      <c r="T22" s="667"/>
      <c r="U22" s="668"/>
      <c r="V22" s="667"/>
      <c r="W22" s="668"/>
      <c r="X22" s="1265"/>
      <c r="Y22" s="337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9"/>
      <c r="Q23" s="1263" t="str">
        <f>B23</f>
        <v>自然及人文环境</v>
      </c>
      <c r="R23" s="667" t="s">
        <v>18</v>
      </c>
      <c r="S23" s="668">
        <f>F23</f>
        <v>100</v>
      </c>
      <c r="T23" s="667" t="s">
        <v>18</v>
      </c>
      <c r="U23" s="668">
        <f>H23</f>
        <v>100</v>
      </c>
      <c r="V23" s="667" t="s">
        <v>18</v>
      </c>
      <c r="W23" s="668">
        <f>J23</f>
        <v>100</v>
      </c>
      <c r="X23" s="1265"/>
      <c r="Y23" s="3372"/>
      <c r="Z23" s="1264" t="str">
        <f>Q23</f>
        <v>自然及人文环境</v>
      </c>
      <c r="AA23" s="1264">
        <f>D23/F23</f>
        <v>1</v>
      </c>
      <c r="AB23" s="1264">
        <f>D23/H23</f>
        <v>1</v>
      </c>
      <c r="AC23" s="1264">
        <f>D23/J23</f>
        <v>1</v>
      </c>
    </row>
    <row r="24" spans="1:29" ht="15">
      <c r="A24" s="367"/>
      <c r="B24" s="395"/>
      <c r="C24" s="386" t="s">
        <v>3455</v>
      </c>
      <c r="D24" s="387"/>
      <c r="E24" s="386" t="s">
        <v>3455</v>
      </c>
      <c r="F24" s="387"/>
      <c r="G24" s="386" t="s">
        <v>3455</v>
      </c>
      <c r="H24" s="387"/>
      <c r="I24" s="386" t="s">
        <v>3455</v>
      </c>
      <c r="J24" s="387"/>
      <c r="K24" s="1753"/>
      <c r="L24" s="2492"/>
      <c r="M24" s="2487"/>
      <c r="N24" s="2487"/>
      <c r="O24" s="2487"/>
      <c r="P24" s="3379"/>
      <c r="Q24" s="1263"/>
      <c r="R24" s="667"/>
      <c r="S24" s="668"/>
      <c r="T24" s="667"/>
      <c r="U24" s="668"/>
      <c r="V24" s="667"/>
      <c r="W24" s="668"/>
      <c r="X24" s="1265"/>
      <c r="Y24" s="337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3438</v>
      </c>
      <c r="D26" s="374">
        <v>100</v>
      </c>
      <c r="E26" s="399" t="s">
        <v>3438</v>
      </c>
      <c r="F26" s="374">
        <f>SUMIF(88:88,E26,89:89)-SUMIF(88:88,C26,89:89)+100</f>
        <v>100</v>
      </c>
      <c r="G26" s="399" t="s">
        <v>3438</v>
      </c>
      <c r="H26" s="374">
        <f>SUMIF(88:88,G26,89:89)-SUMIF(88:88,C26,89:89)+100</f>
        <v>100</v>
      </c>
      <c r="I26" s="399" t="s">
        <v>3438</v>
      </c>
      <c r="J26" s="374">
        <f>SUMIF(88:88,I26,89:89)-SUMIF(88:88,C26,89:89)+100</f>
        <v>100</v>
      </c>
      <c r="K26" s="365"/>
      <c r="L26" s="2492"/>
      <c r="M26" s="2487"/>
      <c r="N26" s="2487"/>
      <c r="O26" s="2487"/>
      <c r="P26" s="3379"/>
      <c r="Q26" s="1263" t="str">
        <f t="shared" si="11"/>
        <v>朝向</v>
      </c>
      <c r="R26" s="667" t="s">
        <v>18</v>
      </c>
      <c r="S26" s="668">
        <f t="shared" si="12"/>
        <v>100</v>
      </c>
      <c r="T26" s="667" t="s">
        <v>18</v>
      </c>
      <c r="U26" s="668">
        <f t="shared" si="13"/>
        <v>100</v>
      </c>
      <c r="V26" s="667" t="s">
        <v>18</v>
      </c>
      <c r="W26" s="668">
        <f t="shared" si="14"/>
        <v>100</v>
      </c>
      <c r="X26" s="1265"/>
      <c r="Y26" s="337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79"/>
      <c r="Q27" s="530">
        <f t="shared" si="11"/>
        <v>111</v>
      </c>
      <c r="R27" s="664" t="s">
        <v>18</v>
      </c>
      <c r="S27" s="665">
        <f t="shared" si="12"/>
        <v>100</v>
      </c>
      <c r="T27" s="664" t="s">
        <v>18</v>
      </c>
      <c r="U27" s="665">
        <f t="shared" si="13"/>
        <v>100</v>
      </c>
      <c r="V27" s="664" t="s">
        <v>18</v>
      </c>
      <c r="W27" s="665">
        <f t="shared" si="14"/>
        <v>100</v>
      </c>
      <c r="X27" s="666"/>
      <c r="Y27" s="337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9"/>
      <c r="Q28" s="1263">
        <f t="shared" si="11"/>
        <v>111</v>
      </c>
      <c r="R28" s="667" t="s">
        <v>18</v>
      </c>
      <c r="S28" s="668">
        <f t="shared" si="12"/>
        <v>100</v>
      </c>
      <c r="T28" s="667" t="s">
        <v>18</v>
      </c>
      <c r="U28" s="668">
        <f t="shared" si="13"/>
        <v>100</v>
      </c>
      <c r="V28" s="667" t="s">
        <v>18</v>
      </c>
      <c r="W28" s="668">
        <f t="shared" si="14"/>
        <v>100</v>
      </c>
      <c r="X28" s="1265"/>
      <c r="Y28" s="337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9"/>
      <c r="Q29" s="1263">
        <f t="shared" si="11"/>
        <v>111</v>
      </c>
      <c r="R29" s="667" t="s">
        <v>18</v>
      </c>
      <c r="S29" s="668">
        <f t="shared" si="12"/>
        <v>100</v>
      </c>
      <c r="T29" s="667" t="s">
        <v>18</v>
      </c>
      <c r="U29" s="668">
        <f t="shared" si="13"/>
        <v>100</v>
      </c>
      <c r="V29" s="667" t="s">
        <v>18</v>
      </c>
      <c r="W29" s="668">
        <f t="shared" si="14"/>
        <v>100</v>
      </c>
      <c r="X29" s="1265"/>
      <c r="Y29" s="337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9"/>
      <c r="Q30" s="1263">
        <f t="shared" si="11"/>
        <v>111</v>
      </c>
      <c r="R30" s="667" t="s">
        <v>18</v>
      </c>
      <c r="S30" s="668">
        <f t="shared" si="12"/>
        <v>100</v>
      </c>
      <c r="T30" s="667" t="s">
        <v>18</v>
      </c>
      <c r="U30" s="668">
        <f t="shared" si="13"/>
        <v>100</v>
      </c>
      <c r="V30" s="667" t="s">
        <v>18</v>
      </c>
      <c r="W30" s="668">
        <f t="shared" si="14"/>
        <v>100</v>
      </c>
      <c r="X30" s="1265"/>
      <c r="Y30" s="337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9"/>
      <c r="Q31" s="1263">
        <f t="shared" si="11"/>
        <v>111</v>
      </c>
      <c r="R31" s="667" t="s">
        <v>18</v>
      </c>
      <c r="S31" s="668">
        <f t="shared" si="12"/>
        <v>100</v>
      </c>
      <c r="T31" s="667" t="s">
        <v>18</v>
      </c>
      <c r="U31" s="668">
        <f t="shared" si="13"/>
        <v>100</v>
      </c>
      <c r="V31" s="667" t="s">
        <v>18</v>
      </c>
      <c r="W31" s="668">
        <f t="shared" si="14"/>
        <v>100</v>
      </c>
      <c r="X31" s="1265"/>
      <c r="Y31" s="3372"/>
      <c r="Z31" s="1264">
        <f t="shared" si="18"/>
        <v>111</v>
      </c>
      <c r="AA31" s="1264">
        <f t="shared" si="15"/>
        <v>1</v>
      </c>
      <c r="AB31" s="1264">
        <f t="shared" si="16"/>
        <v>1</v>
      </c>
      <c r="AC31" s="1264">
        <f t="shared" si="17"/>
        <v>1</v>
      </c>
    </row>
    <row r="32" spans="1:29" ht="15">
      <c r="A32" s="379" t="s">
        <v>1694</v>
      </c>
      <c r="B32" s="60" t="s">
        <v>1695</v>
      </c>
      <c r="C32" s="1764" t="s">
        <v>3456</v>
      </c>
      <c r="D32" s="405">
        <v>100</v>
      </c>
      <c r="E32" s="1764" t="s">
        <v>3456</v>
      </c>
      <c r="F32" s="400">
        <f>SUMIF(100:100,E32,101:101)-SUMIF(100:100,C32,101:101)+100</f>
        <v>100</v>
      </c>
      <c r="G32" s="1764" t="s">
        <v>3456</v>
      </c>
      <c r="H32" s="405">
        <f>SUMIF(100:100,G32,101:101)-SUMIF(100:100,C32,101:101)+100</f>
        <v>100</v>
      </c>
      <c r="I32" s="1764" t="s">
        <v>3456</v>
      </c>
      <c r="J32" s="374">
        <f>SUMIF(100:100,I32,101:101)-SUMIF(100:100,C32,101:101)+100</f>
        <v>100</v>
      </c>
      <c r="K32" s="365"/>
      <c r="L32" s="2492"/>
      <c r="M32" s="2487"/>
      <c r="N32" s="2487"/>
      <c r="O32" s="2487"/>
      <c r="P32" s="3373" t="s">
        <v>1696</v>
      </c>
      <c r="Q32" s="1263" t="str">
        <f t="shared" si="11"/>
        <v>建筑类型</v>
      </c>
      <c r="R32" s="667" t="s">
        <v>18</v>
      </c>
      <c r="S32" s="668">
        <f t="shared" si="12"/>
        <v>100</v>
      </c>
      <c r="T32" s="667" t="s">
        <v>18</v>
      </c>
      <c r="U32" s="668">
        <f t="shared" si="13"/>
        <v>100</v>
      </c>
      <c r="V32" s="667" t="s">
        <v>18</v>
      </c>
      <c r="W32" s="668">
        <f t="shared" si="14"/>
        <v>100</v>
      </c>
      <c r="X32" s="1265"/>
      <c r="Y32" s="337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Sheet1!N10</f>
        <v>216.61</v>
      </c>
      <c r="F33" s="364">
        <f>LOOKUP(E33,103:103,104:104)-LOOKUP(C33,103:103,104:104)+100</f>
        <v>100</v>
      </c>
      <c r="G33" s="368">
        <f>Sheet1!N12</f>
        <v>209.06</v>
      </c>
      <c r="H33" s="119">
        <f>LOOKUP(G33,103:103,104:104)-LOOKUP(C33,103:103,104:104)+100</f>
        <v>100</v>
      </c>
      <c r="I33" s="369">
        <f>Sheet1!N16</f>
        <v>236.11</v>
      </c>
      <c r="J33" s="119">
        <f>LOOKUP(I33,103:103,104:104)-LOOKUP(C33,103:103,104:104)+100</f>
        <v>100</v>
      </c>
      <c r="K33" s="1748"/>
      <c r="L33" s="2491"/>
      <c r="M33" s="2493"/>
      <c r="N33" s="2493"/>
      <c r="O33" s="2493"/>
      <c r="P33" s="3374"/>
      <c r="Q33" s="531" t="str">
        <f t="shared" si="11"/>
        <v>项目建筑规模</v>
      </c>
      <c r="R33" s="669" t="s">
        <v>18</v>
      </c>
      <c r="S33" s="670">
        <f t="shared" si="12"/>
        <v>100</v>
      </c>
      <c r="T33" s="669" t="s">
        <v>18</v>
      </c>
      <c r="U33" s="670">
        <f t="shared" si="13"/>
        <v>100</v>
      </c>
      <c r="V33" s="669" t="s">
        <v>18</v>
      </c>
      <c r="W33" s="670">
        <f t="shared" si="14"/>
        <v>100</v>
      </c>
      <c r="X33" s="671"/>
      <c r="Y33" s="3376"/>
      <c r="Z33" s="672" t="str">
        <f t="shared" si="18"/>
        <v>项目建筑规模</v>
      </c>
      <c r="AA33" s="1264">
        <f t="shared" si="15"/>
        <v>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4"/>
      <c r="Q34" s="1263" t="str">
        <f t="shared" si="11"/>
        <v>建筑结构</v>
      </c>
      <c r="R34" s="667" t="s">
        <v>18</v>
      </c>
      <c r="S34" s="668">
        <f t="shared" si="12"/>
        <v>100</v>
      </c>
      <c r="T34" s="667" t="s">
        <v>18</v>
      </c>
      <c r="U34" s="668">
        <f t="shared" si="13"/>
        <v>100</v>
      </c>
      <c r="V34" s="667" t="s">
        <v>18</v>
      </c>
      <c r="W34" s="668">
        <f t="shared" si="14"/>
        <v>100</v>
      </c>
      <c r="X34" s="1265"/>
      <c r="Y34" s="337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4"/>
      <c r="Q35" s="1263" t="str">
        <f t="shared" si="11"/>
        <v>建筑品质</v>
      </c>
      <c r="R35" s="667" t="s">
        <v>18</v>
      </c>
      <c r="S35" s="668">
        <f t="shared" si="12"/>
        <v>100</v>
      </c>
      <c r="T35" s="667" t="s">
        <v>18</v>
      </c>
      <c r="U35" s="668">
        <f t="shared" si="13"/>
        <v>100</v>
      </c>
      <c r="V35" s="667" t="s">
        <v>18</v>
      </c>
      <c r="W35" s="668">
        <f t="shared" si="14"/>
        <v>100</v>
      </c>
      <c r="X35" s="1265"/>
      <c r="Y35" s="337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4"/>
      <c r="Q36" s="1263" t="str">
        <f t="shared" si="11"/>
        <v>公共部分装修</v>
      </c>
      <c r="R36" s="667" t="s">
        <v>18</v>
      </c>
      <c r="S36" s="668">
        <f t="shared" si="12"/>
        <v>100</v>
      </c>
      <c r="T36" s="667" t="s">
        <v>18</v>
      </c>
      <c r="U36" s="668">
        <f t="shared" si="13"/>
        <v>100</v>
      </c>
      <c r="V36" s="667" t="s">
        <v>18</v>
      </c>
      <c r="W36" s="668">
        <f t="shared" si="14"/>
        <v>100</v>
      </c>
      <c r="X36" s="1265"/>
      <c r="Y36" s="3376"/>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8"/>
      <c r="M37" s="2439"/>
      <c r="N37" s="2439"/>
      <c r="O37" s="2439"/>
      <c r="P37" s="3374"/>
      <c r="Q37" s="530" t="str">
        <f t="shared" si="11"/>
        <v>成新度</v>
      </c>
      <c r="R37" s="664" t="s">
        <v>18</v>
      </c>
      <c r="S37" s="665">
        <f t="shared" si="12"/>
        <v>100</v>
      </c>
      <c r="T37" s="664" t="s">
        <v>18</v>
      </c>
      <c r="U37" s="665">
        <f t="shared" si="13"/>
        <v>100</v>
      </c>
      <c r="V37" s="664" t="s">
        <v>18</v>
      </c>
      <c r="W37" s="665">
        <f t="shared" si="14"/>
        <v>100</v>
      </c>
      <c r="X37" s="666"/>
      <c r="Y37" s="3376"/>
      <c r="Z37" s="50" t="str">
        <f t="shared" si="18"/>
        <v>成新度</v>
      </c>
      <c r="AA37" s="50">
        <f t="shared" si="15"/>
        <v>1</v>
      </c>
      <c r="AB37" s="50">
        <f t="shared" si="16"/>
        <v>1</v>
      </c>
      <c r="AC37" s="50">
        <f t="shared" si="17"/>
        <v>1</v>
      </c>
    </row>
    <row r="38" spans="1:29" ht="15">
      <c r="A38" s="409"/>
      <c r="B38" s="364" t="s">
        <v>1702</v>
      </c>
      <c r="C38" s="1760" t="s">
        <v>3453</v>
      </c>
      <c r="D38" s="374">
        <v>100</v>
      </c>
      <c r="E38" s="1760" t="s">
        <v>3453</v>
      </c>
      <c r="F38" s="400">
        <f>SUMIF(114:114,E38,115:115)-SUMIF(114:114,C38,115:115)+100</f>
        <v>100</v>
      </c>
      <c r="G38" s="1760" t="s">
        <v>3453</v>
      </c>
      <c r="H38" s="374">
        <f>SUMIF(114:114,G38,115:115)-SUMIF(114:114,C38,115:115)+100</f>
        <v>100</v>
      </c>
      <c r="I38" s="1760" t="s">
        <v>3453</v>
      </c>
      <c r="J38" s="374">
        <f>SUMIF(114:114,I38,115:115)-SUMIF(114:114,C38,115:115)+100</f>
        <v>100</v>
      </c>
      <c r="K38" s="365"/>
      <c r="L38" s="2492"/>
      <c r="M38" s="2487"/>
      <c r="N38" s="2487"/>
      <c r="O38" s="2487"/>
      <c r="P38" s="3374" t="s">
        <v>1696</v>
      </c>
      <c r="Q38" s="1263" t="str">
        <f t="shared" si="11"/>
        <v>物业管理</v>
      </c>
      <c r="R38" s="667" t="s">
        <v>18</v>
      </c>
      <c r="S38" s="668">
        <f t="shared" si="12"/>
        <v>100</v>
      </c>
      <c r="T38" s="667" t="s">
        <v>18</v>
      </c>
      <c r="U38" s="668">
        <f t="shared" si="13"/>
        <v>100</v>
      </c>
      <c r="V38" s="667" t="s">
        <v>18</v>
      </c>
      <c r="W38" s="668">
        <f t="shared" si="14"/>
        <v>100</v>
      </c>
      <c r="X38" s="1265"/>
      <c r="Y38" s="337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4"/>
      <c r="Q39" s="1263" t="str">
        <f t="shared" si="11"/>
        <v>市政基础设施</v>
      </c>
      <c r="R39" s="667" t="s">
        <v>18</v>
      </c>
      <c r="S39" s="668">
        <f t="shared" si="12"/>
        <v>100</v>
      </c>
      <c r="T39" s="667" t="s">
        <v>18</v>
      </c>
      <c r="U39" s="668">
        <f t="shared" si="13"/>
        <v>100</v>
      </c>
      <c r="V39" s="667" t="s">
        <v>18</v>
      </c>
      <c r="W39" s="668">
        <f t="shared" si="14"/>
        <v>100</v>
      </c>
      <c r="X39" s="1265"/>
      <c r="Y39" s="337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4"/>
      <c r="Q40" s="1263" t="str">
        <f t="shared" si="11"/>
        <v>房型</v>
      </c>
      <c r="R40" s="667" t="s">
        <v>18</v>
      </c>
      <c r="S40" s="668">
        <f t="shared" si="12"/>
        <v>100</v>
      </c>
      <c r="T40" s="667" t="s">
        <v>18</v>
      </c>
      <c r="U40" s="668">
        <f t="shared" si="13"/>
        <v>100</v>
      </c>
      <c r="V40" s="667" t="s">
        <v>18</v>
      </c>
      <c r="W40" s="668">
        <f t="shared" si="14"/>
        <v>100</v>
      </c>
      <c r="X40" s="1265"/>
      <c r="Y40" s="337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4"/>
      <c r="Q41" s="531" t="str">
        <f t="shared" si="11"/>
        <v>单套/主力户型建筑面积</v>
      </c>
      <c r="R41" s="669" t="s">
        <v>18</v>
      </c>
      <c r="S41" s="670">
        <f t="shared" si="12"/>
        <v>100</v>
      </c>
      <c r="T41" s="669" t="s">
        <v>18</v>
      </c>
      <c r="U41" s="670">
        <f t="shared" si="13"/>
        <v>100</v>
      </c>
      <c r="V41" s="669" t="s">
        <v>18</v>
      </c>
      <c r="W41" s="670">
        <f t="shared" si="14"/>
        <v>100</v>
      </c>
      <c r="X41" s="671"/>
      <c r="Y41" s="3376"/>
      <c r="Z41" s="672" t="str">
        <f t="shared" si="18"/>
        <v>单套/主力户型建筑面积</v>
      </c>
      <c r="AA41" s="1264">
        <f t="shared" si="15"/>
        <v>1</v>
      </c>
      <c r="AB41" s="1264">
        <f t="shared" si="16"/>
        <v>1</v>
      </c>
      <c r="AC41" s="1264">
        <f t="shared" si="17"/>
        <v>1</v>
      </c>
    </row>
    <row r="42" spans="1:29" ht="15">
      <c r="A42" s="409"/>
      <c r="B42" s="364" t="s">
        <v>1706</v>
      </c>
      <c r="C42" s="1760" t="s">
        <v>3448</v>
      </c>
      <c r="D42" s="374">
        <v>100</v>
      </c>
      <c r="E42" s="1760" t="s">
        <v>3446</v>
      </c>
      <c r="F42" s="400">
        <f>SUMIF(122:122,E42,123:123)-SUMIF(122:122,C42,123:123)+100</f>
        <v>101</v>
      </c>
      <c r="G42" s="1760" t="s">
        <v>3446</v>
      </c>
      <c r="H42" s="374">
        <f>SUMIF(122:122,G42,123:123)-SUMIF(122:122,C42,123:123)+100</f>
        <v>101</v>
      </c>
      <c r="I42" s="1760" t="s">
        <v>3446</v>
      </c>
      <c r="J42" s="374">
        <f>SUMIF(122:122,I42,123:123)-SUMIF(122:122,C42,123:123)+100</f>
        <v>101</v>
      </c>
      <c r="K42" s="365">
        <v>1</v>
      </c>
      <c r="L42" s="2492"/>
      <c r="M42" s="2487"/>
      <c r="N42" s="2487"/>
      <c r="O42" s="2487"/>
      <c r="P42" s="3374"/>
      <c r="Q42" s="1263" t="str">
        <f t="shared" si="11"/>
        <v>内部装修</v>
      </c>
      <c r="R42" s="667" t="s">
        <v>18</v>
      </c>
      <c r="S42" s="668">
        <f t="shared" si="12"/>
        <v>101</v>
      </c>
      <c r="T42" s="667" t="s">
        <v>18</v>
      </c>
      <c r="U42" s="668">
        <f t="shared" si="13"/>
        <v>101</v>
      </c>
      <c r="V42" s="667" t="s">
        <v>18</v>
      </c>
      <c r="W42" s="668">
        <f t="shared" si="14"/>
        <v>101</v>
      </c>
      <c r="X42" s="1265"/>
      <c r="Y42" s="3376"/>
      <c r="Z42" s="1264" t="str">
        <f t="shared" si="18"/>
        <v>内部装修</v>
      </c>
      <c r="AA42" s="1264">
        <f t="shared" si="15"/>
        <v>0.99009900990099009</v>
      </c>
      <c r="AB42" s="1264">
        <f t="shared" si="16"/>
        <v>0.99009900990099009</v>
      </c>
      <c r="AC42" s="1264">
        <f t="shared" si="17"/>
        <v>0.99009900990099009</v>
      </c>
    </row>
    <row r="43" spans="1:29" ht="15">
      <c r="A43" s="409"/>
      <c r="B43" s="364" t="s">
        <v>1707</v>
      </c>
      <c r="C43" s="1760" t="s">
        <v>3455</v>
      </c>
      <c r="D43" s="374">
        <v>100</v>
      </c>
      <c r="E43" s="1760" t="s">
        <v>3455</v>
      </c>
      <c r="F43" s="400">
        <f>SUMIF(124:124,E43,125:125)-SUMIF(124:124,C43,125:125)+100</f>
        <v>100</v>
      </c>
      <c r="G43" s="1760" t="s">
        <v>3455</v>
      </c>
      <c r="H43" s="374">
        <f>SUMIF(124:124,G43,125:125)-SUMIF(124:124,C43,125:125)+100</f>
        <v>100</v>
      </c>
      <c r="I43" s="1760" t="s">
        <v>3455</v>
      </c>
      <c r="J43" s="374">
        <f>SUMIF(124:124,I43,125:125)-SUMIF(124:124,C43,125:125)+100</f>
        <v>100</v>
      </c>
      <c r="K43" s="365"/>
      <c r="L43" s="2492"/>
      <c r="M43" s="2487"/>
      <c r="N43" s="2487"/>
      <c r="O43" s="2487"/>
      <c r="P43" s="3374"/>
      <c r="Q43" s="1263" t="str">
        <f t="shared" si="11"/>
        <v>内部装修维护情况</v>
      </c>
      <c r="R43" s="667" t="s">
        <v>18</v>
      </c>
      <c r="S43" s="668">
        <f t="shared" si="12"/>
        <v>100</v>
      </c>
      <c r="T43" s="667" t="s">
        <v>18</v>
      </c>
      <c r="U43" s="668">
        <f t="shared" si="13"/>
        <v>100</v>
      </c>
      <c r="V43" s="667" t="s">
        <v>18</v>
      </c>
      <c r="W43" s="668">
        <f t="shared" si="14"/>
        <v>100</v>
      </c>
      <c r="X43" s="1265"/>
      <c r="Y43" s="337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74"/>
      <c r="Q44" s="530">
        <f t="shared" si="11"/>
        <v>111</v>
      </c>
      <c r="R44" s="664" t="s">
        <v>18</v>
      </c>
      <c r="S44" s="665">
        <f t="shared" si="12"/>
        <v>100</v>
      </c>
      <c r="T44" s="664" t="s">
        <v>18</v>
      </c>
      <c r="U44" s="665">
        <f t="shared" si="13"/>
        <v>100</v>
      </c>
      <c r="V44" s="664" t="s">
        <v>18</v>
      </c>
      <c r="W44" s="665">
        <f t="shared" si="14"/>
        <v>100</v>
      </c>
      <c r="X44" s="666"/>
      <c r="Y44" s="337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4"/>
      <c r="Q45" s="1263">
        <f t="shared" si="11"/>
        <v>111</v>
      </c>
      <c r="R45" s="667" t="s">
        <v>18</v>
      </c>
      <c r="S45" s="668">
        <f t="shared" si="12"/>
        <v>100</v>
      </c>
      <c r="T45" s="667" t="s">
        <v>18</v>
      </c>
      <c r="U45" s="668">
        <f t="shared" si="13"/>
        <v>100</v>
      </c>
      <c r="V45" s="667" t="s">
        <v>18</v>
      </c>
      <c r="W45" s="668">
        <f t="shared" si="14"/>
        <v>100</v>
      </c>
      <c r="X45" s="1265"/>
      <c r="Y45" s="337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5"/>
      <c r="Q46" s="1263">
        <f t="shared" si="11"/>
        <v>111</v>
      </c>
      <c r="R46" s="667" t="s">
        <v>17</v>
      </c>
      <c r="S46" s="668">
        <f t="shared" si="12"/>
        <v>100</v>
      </c>
      <c r="T46" s="667" t="s">
        <v>17</v>
      </c>
      <c r="U46" s="668">
        <f t="shared" si="13"/>
        <v>100</v>
      </c>
      <c r="V46" s="667" t="s">
        <v>17</v>
      </c>
      <c r="W46" s="668">
        <f t="shared" si="14"/>
        <v>100</v>
      </c>
      <c r="X46" s="1265"/>
      <c r="Y46" s="3377"/>
      <c r="Z46" s="1264">
        <f t="shared" si="18"/>
        <v>111</v>
      </c>
      <c r="AA46" s="1264">
        <f t="shared" si="15"/>
        <v>1</v>
      </c>
      <c r="AB46" s="1264">
        <f t="shared" si="16"/>
        <v>1</v>
      </c>
      <c r="AC46" s="1264">
        <f t="shared" si="17"/>
        <v>1</v>
      </c>
    </row>
    <row r="47" spans="1:29" ht="15">
      <c r="A47" s="416" t="s">
        <v>1708</v>
      </c>
      <c r="B47" s="417"/>
      <c r="C47" s="1081" t="s">
        <v>16</v>
      </c>
      <c r="D47" s="418"/>
      <c r="E47" s="419">
        <f>Sheet1!Q10</f>
        <v>69249</v>
      </c>
      <c r="F47" s="420"/>
      <c r="G47" s="421">
        <f>Sheet1!Q12</f>
        <v>64575</v>
      </c>
      <c r="H47" s="422"/>
      <c r="I47" s="419">
        <f>Sheet1!Q16</f>
        <v>58447</v>
      </c>
      <c r="J47" s="422"/>
      <c r="K47" s="1766"/>
      <c r="L47" s="2494"/>
      <c r="M47" s="2487"/>
      <c r="N47" s="2487"/>
      <c r="O47" s="2487"/>
      <c r="P47" s="3369" t="str">
        <f>A47</f>
        <v>成交单价（元/平方米）</v>
      </c>
      <c r="Q47" s="3369"/>
      <c r="R47" s="3370">
        <f>E47</f>
        <v>69249</v>
      </c>
      <c r="S47" s="3370"/>
      <c r="T47" s="3370">
        <f>G47</f>
        <v>64575</v>
      </c>
      <c r="U47" s="3370"/>
      <c r="V47" s="3370">
        <f>I47</f>
        <v>58447</v>
      </c>
      <c r="W47" s="3370"/>
      <c r="X47" s="385"/>
      <c r="Y47" s="673"/>
      <c r="Z47" s="385"/>
      <c r="AA47" s="385"/>
      <c r="AB47" s="385"/>
      <c r="AC47" s="385"/>
    </row>
    <row r="48" spans="1:29" ht="15.75" thickBot="1">
      <c r="A48" s="423" t="s">
        <v>1709</v>
      </c>
      <c r="B48" s="424"/>
      <c r="C48" s="1082">
        <f>R49</f>
        <v>63660</v>
      </c>
      <c r="D48" s="2140" t="s">
        <v>2138</v>
      </c>
      <c r="E48" s="1083">
        <f>R48</f>
        <v>68563</v>
      </c>
      <c r="F48" s="2141"/>
      <c r="G48" s="1082">
        <f>T48</f>
        <v>64257</v>
      </c>
      <c r="H48" s="2141"/>
      <c r="I48" s="1083">
        <f>V48</f>
        <v>58159</v>
      </c>
      <c r="J48" s="2141"/>
      <c r="K48" s="2142">
        <f>F48+H48+J48</f>
        <v>0</v>
      </c>
      <c r="L48" s="2494"/>
      <c r="M48" s="2487"/>
      <c r="N48" s="2487"/>
      <c r="O48" s="2487"/>
      <c r="P48" s="3369" t="str">
        <f>A48</f>
        <v>比较价值（元/平方米）</v>
      </c>
      <c r="Q48" s="3369"/>
      <c r="R48" s="3370">
        <f>IF(F1="售价",ROUND(PRODUCT(R47,AA7:AA46),0),ROUND(PRODUCT(R47,AA7:AA46),1))</f>
        <v>68563</v>
      </c>
      <c r="S48" s="3370"/>
      <c r="T48" s="3370">
        <f>IF(F1="售价",ROUND(PRODUCT(T47,AB7:AB46),0),ROUND(PRODUCT(T47,AB7:AB46),1))</f>
        <v>64257</v>
      </c>
      <c r="U48" s="3370"/>
      <c r="V48" s="3370">
        <f>IF(F1="售价",ROUND(PRODUCT(V47,AC7:AC46),0),ROUND(PRODUCT(V47,AC7:AC46),1))</f>
        <v>58159</v>
      </c>
      <c r="W48" s="3370"/>
      <c r="X48" s="385"/>
      <c r="Y48" s="385"/>
      <c r="Z48" s="385"/>
      <c r="AA48" s="385"/>
      <c r="AB48" s="385"/>
      <c r="AC48" s="385"/>
    </row>
    <row r="49" spans="1:29" ht="15.75" thickBot="1">
      <c r="A49" s="427" t="s">
        <v>1710</v>
      </c>
      <c r="B49" s="428"/>
      <c r="C49" s="1084">
        <f>R49</f>
        <v>63660</v>
      </c>
      <c r="D49" s="351"/>
      <c r="E49" s="351"/>
      <c r="F49" s="351"/>
      <c r="G49" s="351"/>
      <c r="H49" s="351"/>
      <c r="I49" s="351"/>
      <c r="J49" s="351"/>
      <c r="K49" s="1767"/>
      <c r="L49" s="2494"/>
      <c r="M49" s="2487"/>
      <c r="N49" s="2487"/>
      <c r="O49" s="2487"/>
      <c r="P49" s="3366" t="str">
        <f>A49</f>
        <v>估价对象XX用房的比较价值（楼面单价，元/平方米）</v>
      </c>
      <c r="Q49" s="3367"/>
      <c r="R49" s="3368">
        <f>IF(F1="售价",ROUND(IF(D48="简单平均",AVERAGE(R48:V48),R48*F48+T48*H48+V48*J48),0),ROUND(IF(D48="简单平均",AVERAGE(R48:V48),R48*F48+T48*H48+V48*J48),1))</f>
        <v>63660</v>
      </c>
      <c r="S49" s="3368"/>
      <c r="T49" s="3368"/>
      <c r="U49" s="3368"/>
      <c r="V49" s="3368"/>
      <c r="W49" s="336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1.0005396496652663E-2</v>
      </c>
      <c r="F52" s="435" t="str">
        <f>IF(OR(E52&gt;=0.3,E52&lt;=-0.3),"超过30%","")</f>
        <v/>
      </c>
      <c r="G52" s="434">
        <f>IF(G47&lt;G48,G48/G47-1,G47/G48-1)</f>
        <v>4.9488771651338137E-3</v>
      </c>
      <c r="H52" s="435" t="str">
        <f>IF(OR(G52&gt;=0.3,G52&lt;=-0.3),"超过30%","")</f>
        <v/>
      </c>
      <c r="I52" s="434">
        <f>IF(I47&lt;I48,I48/I47-1,I47/I48-1)</f>
        <v>4.9519420897883304E-3</v>
      </c>
      <c r="J52" s="435" t="str">
        <f>IF(OR(I52&gt;=0.3,I52&lt;=-0.3),"超过30%","")</f>
        <v/>
      </c>
      <c r="K52" s="2499"/>
      <c r="L52" s="2495"/>
      <c r="M52" s="2487"/>
      <c r="N52" s="2487"/>
      <c r="O52" s="2487"/>
    </row>
    <row r="53" spans="1:29" ht="13.5" customHeight="1">
      <c r="A53" s="2487"/>
      <c r="B53" s="2487"/>
      <c r="C53" s="432" t="s">
        <v>1712</v>
      </c>
      <c r="D53" s="436"/>
      <c r="E53" s="434">
        <f>IF(E48&lt;G48,G48/E48-1,E48/G48-1)</f>
        <v>6.7012154317817485E-2</v>
      </c>
      <c r="F53" s="435" t="str">
        <f>IF(OR(E53&gt;=0.2,E53&lt;=-0.2),"超过20%","")</f>
        <v/>
      </c>
      <c r="G53" s="434">
        <f>IF(G48&lt;I48,I48/G48-1,G48/I48-1)</f>
        <v>0.10485049605392116</v>
      </c>
      <c r="H53" s="435" t="str">
        <f>IF(OR(G53&gt;=0.2,G53&lt;=-0.2),"超过20%","")</f>
        <v/>
      </c>
      <c r="I53" s="434">
        <f>IF(I48&lt;E48,E48/I48-1,I48/E48-1)</f>
        <v>0.1788889079936038</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7.2380952380952435E-2</v>
      </c>
      <c r="F54" s="435" t="str">
        <f>IF(OR(E54&gt;=0.3,E54&lt;=-0.3),"超过30%","")</f>
        <v/>
      </c>
      <c r="G54" s="434">
        <f>IF(G47&lt;I47,I47/G47-1,G47/I47-1)</f>
        <v>0.10484712645644767</v>
      </c>
      <c r="H54" s="435" t="str">
        <f>IF(OR(G54&gt;=0.3,G54&lt;=-0.3),"超过30%","")</f>
        <v/>
      </c>
      <c r="I54" s="434">
        <f>IF(I47&lt;E47,E47/I47-1,I47/E47-1)</f>
        <v>0.18481701370472403</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99.5</v>
      </c>
      <c r="G59" s="446">
        <f>F59</f>
        <v>99.5</v>
      </c>
      <c r="H59" s="446">
        <f>G59</f>
        <v>99.5</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3" t="s">
        <v>3461</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4" t="s">
        <v>3457</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300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173" t="s">
        <v>3459</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3" t="s">
        <v>3454</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3" t="s">
        <v>3451</v>
      </c>
      <c r="D122" s="3173" t="s">
        <v>3452</v>
      </c>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115" zoomScaleNormal="70" zoomScaleSheetLayoutView="115"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3404</v>
      </c>
      <c r="D1" s="1271" t="s">
        <v>43</v>
      </c>
      <c r="E1" s="1272" t="s">
        <v>678</v>
      </c>
      <c r="F1" s="999">
        <f ca="1">J53</f>
        <v>47</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1122.4673</v>
      </c>
      <c r="C2" s="1289" t="s">
        <v>879</v>
      </c>
      <c r="D2" s="1375">
        <f ca="1">C40+J29+L46</f>
        <v>11224673</v>
      </c>
      <c r="E2" s="1295" t="s">
        <v>880</v>
      </c>
      <c r="F2" s="1296"/>
      <c r="G2" s="2478"/>
      <c r="H2" s="2468"/>
      <c r="I2" s="2468"/>
      <c r="J2" s="2468"/>
      <c r="K2" s="2469"/>
      <c r="L2" s="2468"/>
      <c r="M2" s="2468"/>
    </row>
    <row r="3" spans="1:37" ht="18" customHeight="1" thickBot="1">
      <c r="A3" s="1297" t="s">
        <v>881</v>
      </c>
      <c r="B3" s="1298">
        <f ca="1">IF(ISERROR(D2/F43),0,ROUND(D2/F43,0))</f>
        <v>53691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318538</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318140</v>
      </c>
      <c r="D6" s="147" t="s">
        <v>2106</v>
      </c>
      <c r="E6" s="294" t="s">
        <v>696</v>
      </c>
      <c r="F6" s="295">
        <f ca="1">INDIRECT("'数据-取费表'!u"&amp;$G$1)</f>
        <v>27907</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1</v>
      </c>
      <c r="G7" s="1292"/>
      <c r="H7" s="296"/>
      <c r="I7" s="3364"/>
      <c r="J7" s="298"/>
      <c r="K7" s="299"/>
      <c r="L7" s="294" t="s">
        <v>697</v>
      </c>
      <c r="M7" s="295">
        <f ca="1">F7</f>
        <v>1</v>
      </c>
    </row>
    <row r="8" spans="1:37" ht="18" customHeight="1">
      <c r="A8" s="296"/>
      <c r="B8" s="3364"/>
      <c r="C8" s="298"/>
      <c r="D8" s="299"/>
      <c r="E8" s="294" t="s">
        <v>698</v>
      </c>
      <c r="F8" s="295">
        <f ca="1">INDIRECT("'数据-取费表'!ai"&amp;$G$1)</f>
        <v>12</v>
      </c>
      <c r="G8" s="1292"/>
      <c r="H8" s="296"/>
      <c r="I8" s="3364"/>
      <c r="J8" s="298"/>
      <c r="K8" s="299"/>
      <c r="L8" s="294" t="s">
        <v>698</v>
      </c>
      <c r="M8" s="295">
        <f ca="1">INDIRECT("'数据-取费表'!ai"&amp;$G$1)</f>
        <v>12</v>
      </c>
    </row>
    <row r="9" spans="1:37" ht="18" customHeight="1">
      <c r="A9" s="296"/>
      <c r="B9" s="3365"/>
      <c r="C9" s="298"/>
      <c r="D9" s="299"/>
      <c r="E9" s="294" t="s">
        <v>699</v>
      </c>
      <c r="F9" s="304">
        <f ca="1">INDIRECT("'数据-取费表'!w"&amp;$G$1)</f>
        <v>0.05</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398</v>
      </c>
      <c r="D10" s="150" t="s">
        <v>2116</v>
      </c>
      <c r="E10" s="305" t="s">
        <v>701</v>
      </c>
      <c r="F10" s="1053" t="s">
        <v>3445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706173</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627180</v>
      </c>
      <c r="D14" s="1257" t="s">
        <v>708</v>
      </c>
      <c r="E14" s="1255"/>
      <c r="F14" s="311"/>
      <c r="G14" s="1292"/>
      <c r="H14" s="928" t="s">
        <v>398</v>
      </c>
      <c r="I14" s="294" t="s">
        <v>709</v>
      </c>
      <c r="J14" s="21">
        <f ca="1">C29</f>
        <v>941564</v>
      </c>
      <c r="K14" s="12"/>
      <c r="L14" s="759"/>
      <c r="M14" s="760"/>
    </row>
    <row r="15" spans="1:37" s="1304" customFormat="1" ht="18" customHeight="1" thickBot="1">
      <c r="A15" s="928" t="s">
        <v>399</v>
      </c>
      <c r="B15" s="294" t="s">
        <v>710</v>
      </c>
      <c r="C15" s="21">
        <f ca="1">ROUND(C14*F15,0)</f>
        <v>18815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18815</v>
      </c>
      <c r="D16" s="294" t="s">
        <v>711</v>
      </c>
      <c r="E16" s="294" t="s">
        <v>712</v>
      </c>
      <c r="F16" s="314">
        <f ca="1">IF(INDIRECT("'数据-取费表'!c"&amp;$G$1)="住宅",'数据-取费表'!B34,0)</f>
        <v>0.03</v>
      </c>
      <c r="G16" s="1292"/>
      <c r="H16" s="1016" t="s">
        <v>393</v>
      </c>
      <c r="I16" s="1017" t="s">
        <v>714</v>
      </c>
      <c r="J16" s="302">
        <f ca="1">ROUND(J17+J22+J23+J24,0)</f>
        <v>1883</v>
      </c>
      <c r="K16" s="1024" t="s">
        <v>715</v>
      </c>
      <c r="L16" s="1025"/>
      <c r="M16" s="1009"/>
    </row>
    <row r="17" spans="1:37" s="1304" customFormat="1" ht="18" customHeight="1">
      <c r="A17" s="928" t="s">
        <v>681</v>
      </c>
      <c r="B17" s="294" t="s">
        <v>716</v>
      </c>
      <c r="C17" s="21">
        <f ca="1">ROUND(F17*(F43+INDIRECT("'数据-取费表'!S"&amp;$G$1)),0)</f>
        <v>41812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12544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719166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7192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1883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22735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-1883</v>
      </c>
      <c r="K25" s="1032" t="s">
        <v>753</v>
      </c>
      <c r="L25" s="1033"/>
      <c r="M25" s="1034"/>
    </row>
    <row r="26" spans="1:37" ht="18" customHeight="1">
      <c r="A26" s="928" t="s">
        <v>397</v>
      </c>
      <c r="B26" s="294" t="s">
        <v>754</v>
      </c>
      <c r="C26" s="21">
        <f ca="1">ROUND((C19+C20)*F26,0)</f>
        <v>108954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0.03</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941564</v>
      </c>
      <c r="D29" s="1029"/>
      <c r="E29" s="1027"/>
      <c r="F29" s="1030"/>
      <c r="G29" s="1303"/>
      <c r="H29" s="325" t="s">
        <v>396</v>
      </c>
      <c r="I29" s="326" t="s">
        <v>768</v>
      </c>
      <c r="J29" s="327">
        <f ca="1">ROUND(J26/(1+F40)^F41,0)</f>
        <v>0</v>
      </c>
      <c r="K29" s="328" t="s">
        <v>769</v>
      </c>
      <c r="L29" s="329"/>
      <c r="M29" s="330">
        <f ca="1">INDIRECT("'数据-取费表'!k"&amp;$G$1)</f>
        <v>209.06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13349</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7575</v>
      </c>
      <c r="D31" s="1257" t="s">
        <v>720</v>
      </c>
      <c r="E31" s="1256" t="s">
        <v>770</v>
      </c>
      <c r="F31" s="2138">
        <f ca="1">IF(项目基本情况!B11="企业","——",IF(M47="住宅",IF(F6*F7*F8/12/(1+'数据-取费表'!F30)&gt;100000,4%,2.5%),IF(F6*F7*F8/12/(1+'数据-取费表'!F30)&gt;100000,12%,7%)))</f>
        <v>2.5000000000000001E-2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1883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706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3185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305189</v>
      </c>
      <c r="D39" s="1032" t="s">
        <v>773</v>
      </c>
      <c r="E39" s="1033"/>
      <c r="F39" s="1034"/>
      <c r="G39" s="1292"/>
      <c r="H39" s="2473"/>
      <c r="I39" s="1305"/>
      <c r="J39" s="1306"/>
      <c r="K39" s="2471"/>
      <c r="L39" s="2473"/>
      <c r="M39" s="2473"/>
    </row>
    <row r="40" spans="1:18" ht="18" customHeight="1">
      <c r="A40" s="291" t="s">
        <v>395</v>
      </c>
      <c r="B40" s="292" t="s">
        <v>774</v>
      </c>
      <c r="C40" s="293">
        <f ca="1">ROUND(C39*(1-((1+F42)/(1+F40))^F41)/(F40-F42),0)</f>
        <v>11224673</v>
      </c>
      <c r="D40" s="316" t="s">
        <v>758</v>
      </c>
      <c r="E40" s="294" t="s">
        <v>759</v>
      </c>
      <c r="F40" s="304">
        <f ca="1">INDIRECT("'数据-取费表'!I"&amp;$G$1)</f>
        <v>0.03</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53691</v>
      </c>
      <c r="D43" s="328" t="s">
        <v>777</v>
      </c>
      <c r="E43" s="329" t="s">
        <v>778</v>
      </c>
      <c r="F43" s="330">
        <f ca="1">INDIRECT("'数据-取费表'!k"&amp;$G$1)</f>
        <v>209.06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-1128.9462000000001</v>
      </c>
      <c r="D45" s="3130" t="s">
        <v>3351</v>
      </c>
      <c r="E45" s="1307"/>
      <c r="F45" s="1307"/>
      <c r="O45" s="1310" t="s">
        <v>808</v>
      </c>
      <c r="P45" s="1366"/>
      <c r="Q45" s="1366"/>
      <c r="R45" s="1366"/>
    </row>
    <row r="46" spans="1:18" s="1292" customFormat="1" ht="13.5" thickBot="1">
      <c r="A46" s="1311" t="s">
        <v>809</v>
      </c>
      <c r="C46" s="1312">
        <f ca="1">ROUND(C45,0)</f>
        <v>-1129</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3458</v>
      </c>
      <c r="K47" s="1323" t="s">
        <v>816</v>
      </c>
      <c r="L47" s="1324">
        <f ca="1">INDIRECT("'数据-取费表'!d"&amp;$G$1)</f>
        <v>70</v>
      </c>
      <c r="M47" s="1288" t="str">
        <f>IF(ISNUMBER(FIND("住宅",C1)),"住宅","非住宅")</f>
        <v>住宅</v>
      </c>
      <c r="O47" s="1325" t="s">
        <v>403</v>
      </c>
      <c r="P47" s="1326" t="s">
        <v>817</v>
      </c>
      <c r="Q47" s="1327">
        <f ca="1">C40+J29</f>
        <v>11224673</v>
      </c>
      <c r="R47" s="1327" t="s">
        <v>818</v>
      </c>
    </row>
    <row r="48" spans="1:18" s="1292" customFormat="1" ht="28.5" thickBot="1">
      <c r="A48" s="1047" t="s">
        <v>438</v>
      </c>
      <c r="B48" s="292" t="s">
        <v>692</v>
      </c>
      <c r="C48" s="1268">
        <f ca="1">C49+C53+C55</f>
        <v>0</v>
      </c>
      <c r="D48" s="1049"/>
      <c r="E48" s="1050"/>
      <c r="F48" s="908"/>
      <c r="G48" s="681"/>
      <c r="H48" s="682"/>
      <c r="I48" s="1328" t="s">
        <v>819</v>
      </c>
      <c r="J48" s="1329" t="s">
        <v>3465</v>
      </c>
      <c r="K48" s="1330" t="s">
        <v>820</v>
      </c>
      <c r="L48" s="1331">
        <f ca="1">INDIRECT("'数据-取费表'!f"&amp;$G$1)</f>
        <v>47</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2004</v>
      </c>
      <c r="K49" s="1330" t="s">
        <v>824</v>
      </c>
      <c r="L49" s="1333"/>
      <c r="O49" s="1334" t="s">
        <v>405</v>
      </c>
      <c r="P49" s="1326" t="s">
        <v>825</v>
      </c>
      <c r="Q49" s="1327">
        <f ca="1">C29</f>
        <v>941564</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39</v>
      </c>
      <c r="K51" s="1339" t="s">
        <v>830</v>
      </c>
      <c r="L51" s="1340">
        <f ca="1">ROUND(-PV(INDIRECT("'数据-取费表'!h"&amp;$G$1),J51,(C39-C13*C76),0),0)</f>
        <v>4472395</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47</v>
      </c>
      <c r="K53" s="3361" t="s">
        <v>837</v>
      </c>
      <c r="L53" s="3362"/>
      <c r="O53" s="1325" t="s">
        <v>409</v>
      </c>
      <c r="P53" s="1326" t="s">
        <v>838</v>
      </c>
      <c r="Q53" s="1327">
        <f ca="1">Q47+Q48</f>
        <v>11224673</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706173</v>
      </c>
      <c r="D56" s="1352"/>
      <c r="E56" s="1353"/>
      <c r="F56" s="1345"/>
      <c r="I56" s="1354" t="s">
        <v>842</v>
      </c>
      <c r="J56" s="1355" t="s">
        <v>3430</v>
      </c>
      <c r="K56" s="1328" t="s">
        <v>843</v>
      </c>
      <c r="L56" s="1331">
        <f ca="1">IF(L48&lt;J51,"——",L48-J51)</f>
        <v>8</v>
      </c>
      <c r="O56" s="1325" t="s">
        <v>403</v>
      </c>
      <c r="P56" s="1326" t="s">
        <v>817</v>
      </c>
      <c r="Q56" s="1327">
        <f ca="1">C40+J29</f>
        <v>11224673</v>
      </c>
      <c r="R56" s="1327" t="s">
        <v>818</v>
      </c>
    </row>
    <row r="57" spans="1:18" s="1292" customFormat="1" ht="24.75" thickBot="1">
      <c r="A57" s="1356"/>
      <c r="B57" s="896" t="s">
        <v>767</v>
      </c>
      <c r="C57" s="230">
        <f ca="1">C29</f>
        <v>941564</v>
      </c>
      <c r="D57" s="1357"/>
      <c r="E57" s="1358"/>
      <c r="F57" s="1359"/>
      <c r="I57" s="1360" t="s">
        <v>844</v>
      </c>
      <c r="J57" s="1361" t="str">
        <f ca="1">IF(OR(M47="住宅",J51&lt;L48,J56="是"),"——",J51-L48)</f>
        <v>——</v>
      </c>
      <c r="K57" s="1328" t="s">
        <v>892</v>
      </c>
      <c r="L57" s="1331">
        <f ca="1">IF(L48&lt;J51,"——",IF(L55="比较法",L49,IF(L55="基准地价",L50,L51)))</f>
        <v>4472395</v>
      </c>
      <c r="O57" s="1325" t="s">
        <v>404</v>
      </c>
      <c r="P57" s="1326" t="s">
        <v>893</v>
      </c>
      <c r="Q57" s="1327">
        <f ca="1">L60</f>
        <v>0</v>
      </c>
      <c r="R57" s="1327" t="s">
        <v>894</v>
      </c>
    </row>
    <row r="58" spans="1:18" s="1292" customFormat="1" ht="24.75" thickBot="1">
      <c r="A58" s="307" t="s">
        <v>393</v>
      </c>
      <c r="B58" s="904" t="s">
        <v>714</v>
      </c>
      <c r="C58" s="308">
        <f ca="1">ROUND(C59+C64+C65+C66,0)</f>
        <v>2589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11224673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1883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706</v>
      </c>
      <c r="D65" s="910" t="s">
        <v>743</v>
      </c>
      <c r="E65" s="896" t="s">
        <v>744</v>
      </c>
      <c r="F65" s="321">
        <f t="shared" ca="1" si="0"/>
        <v>1E-3</v>
      </c>
      <c r="I65" s="1367" t="s">
        <v>867</v>
      </c>
      <c r="J65" s="610">
        <v>40</v>
      </c>
      <c r="K65" s="610">
        <v>30</v>
      </c>
      <c r="L65" s="610">
        <v>50</v>
      </c>
      <c r="M65" s="1369">
        <v>0.02</v>
      </c>
      <c r="O65" s="1325" t="s">
        <v>403</v>
      </c>
      <c r="P65" s="1326" t="s">
        <v>868</v>
      </c>
      <c r="Q65" s="1327">
        <f ca="1">C40+J29</f>
        <v>11224673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-2589</v>
      </c>
      <c r="D67" s="909" t="s">
        <v>753</v>
      </c>
      <c r="E67" s="914"/>
      <c r="F67" s="915"/>
      <c r="O67" s="1334" t="s">
        <v>405</v>
      </c>
      <c r="P67" s="1326" t="s">
        <v>850</v>
      </c>
      <c r="Q67" s="1370">
        <f ca="1">L51</f>
        <v>4472395</v>
      </c>
      <c r="R67" s="1327" t="s">
        <v>870</v>
      </c>
    </row>
    <row r="68" spans="1:18" s="1292" customFormat="1" ht="16.5" thickBot="1">
      <c r="A68" s="893" t="s">
        <v>395</v>
      </c>
      <c r="B68" s="894" t="s">
        <v>774</v>
      </c>
      <c r="C68" s="293">
        <f ca="1">ROUND(C67*(1-((1+F70)/(1+F68))^F69)/(F68-F70),0)</f>
        <v>-64789</v>
      </c>
      <c r="D68" s="911" t="s">
        <v>758</v>
      </c>
      <c r="E68" s="896" t="s">
        <v>759</v>
      </c>
      <c r="F68" s="304">
        <f ca="1">F40</f>
        <v>0.03</v>
      </c>
      <c r="O68" s="1334" t="s">
        <v>406</v>
      </c>
      <c r="P68" s="1371" t="s">
        <v>871</v>
      </c>
      <c r="Q68" s="1327">
        <f ca="1">ROUND(Q69-Q70*Q71,0)</f>
        <v>262819</v>
      </c>
      <c r="R68" s="1327" t="s">
        <v>414</v>
      </c>
    </row>
    <row r="69" spans="1:18" s="1292" customFormat="1" ht="13.5" thickBot="1">
      <c r="A69" s="897"/>
      <c r="B69" s="898"/>
      <c r="C69" s="298"/>
      <c r="D69" s="916" t="s">
        <v>762</v>
      </c>
      <c r="E69" s="896" t="s">
        <v>763</v>
      </c>
      <c r="F69" s="324">
        <f ca="1">F41</f>
        <v>47</v>
      </c>
      <c r="O69" s="1334" t="s">
        <v>411</v>
      </c>
      <c r="P69" s="1371" t="s">
        <v>872</v>
      </c>
      <c r="Q69" s="1327">
        <f ca="1">C39</f>
        <v>305189</v>
      </c>
      <c r="R69" s="1327" t="s">
        <v>818</v>
      </c>
    </row>
    <row r="70" spans="1:18" s="1292" customFormat="1" ht="13.5" thickBot="1">
      <c r="A70" s="900"/>
      <c r="B70" s="901"/>
      <c r="C70" s="302"/>
      <c r="D70" s="912"/>
      <c r="E70" s="896" t="s">
        <v>766</v>
      </c>
      <c r="F70" s="991"/>
      <c r="O70" s="1334" t="s">
        <v>412</v>
      </c>
      <c r="P70" s="1371" t="s">
        <v>873</v>
      </c>
      <c r="Q70" s="1327">
        <f ca="1">C13</f>
        <v>706173</v>
      </c>
      <c r="R70" s="1327" t="s">
        <v>818</v>
      </c>
    </row>
    <row r="71" spans="1:18" s="1292" customFormat="1" ht="13.5" thickBot="1">
      <c r="A71" s="917" t="s">
        <v>396</v>
      </c>
      <c r="B71" s="918" t="s">
        <v>776</v>
      </c>
      <c r="C71" s="327">
        <f ca="1">ROUND(C68/F71,0)</f>
        <v>-310</v>
      </c>
      <c r="D71" s="919" t="s">
        <v>777</v>
      </c>
      <c r="E71" s="920" t="s">
        <v>778</v>
      </c>
      <c r="F71" s="330">
        <f ca="1">F43</f>
        <v>209.06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42370</v>
      </c>
      <c r="D75" s="1292"/>
      <c r="E75" s="1292"/>
      <c r="F75" s="1292"/>
      <c r="K75" s="1309"/>
      <c r="L75" s="1292"/>
      <c r="O75" s="1325" t="s">
        <v>409</v>
      </c>
      <c r="P75" s="1326" t="s">
        <v>838</v>
      </c>
      <c r="Q75" s="1327">
        <f ca="1">Q65+Q66</f>
        <v>11224673</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0.86099999999999999</v>
      </c>
    </row>
    <row r="80" spans="1:18">
      <c r="B80" s="331" t="s">
        <v>800</v>
      </c>
      <c r="C80" s="266">
        <f ca="1">ROUND(C75/C39,3)</f>
        <v>0.13900000000000001</v>
      </c>
    </row>
    <row r="81" spans="2:3">
      <c r="B81" s="262" t="s">
        <v>801</v>
      </c>
      <c r="C81" s="230"/>
    </row>
    <row r="82" spans="2:3">
      <c r="B82" s="265" t="s">
        <v>802</v>
      </c>
      <c r="C82" s="267">
        <f ca="1">1-C83</f>
        <v>0.93700000000000006</v>
      </c>
    </row>
    <row r="83" spans="2:3">
      <c r="B83" s="265" t="s">
        <v>803</v>
      </c>
      <c r="C83" s="266">
        <f ca="1">ROUND(C13/C40,3)</f>
        <v>6.3E-2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415" t="s">
        <v>2317</v>
      </c>
      <c r="K2" s="341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17" t="s">
        <v>2327</v>
      </c>
      <c r="K3" s="341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17" t="s">
        <v>2329</v>
      </c>
      <c r="K4" s="341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23" t="s">
        <v>2333</v>
      </c>
      <c r="B6" s="3424"/>
      <c r="C6" s="3425"/>
      <c r="D6" s="2621"/>
      <c r="E6" s="2622"/>
      <c r="F6" s="2623"/>
      <c r="G6" s="2624"/>
      <c r="H6" s="2599"/>
      <c r="I6" s="2600"/>
      <c r="J6" s="3409">
        <v>1</v>
      </c>
      <c r="K6" s="341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09"/>
      <c r="K7" s="341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26" t="s">
        <v>2347</v>
      </c>
      <c r="C8" s="3427"/>
      <c r="D8" s="2640" t="s">
        <v>2348</v>
      </c>
      <c r="E8" s="2641" t="s">
        <v>2349</v>
      </c>
      <c r="F8" s="2642" t="s">
        <v>2350</v>
      </c>
      <c r="G8" s="2643"/>
      <c r="H8" s="2599"/>
      <c r="I8" s="2600"/>
      <c r="J8" s="3409"/>
      <c r="K8" s="341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26" t="s">
        <v>2353</v>
      </c>
      <c r="C9" s="3427"/>
      <c r="D9" s="2640">
        <f>ROUND(D6*E9,0)</f>
        <v>0</v>
      </c>
      <c r="E9" s="2644"/>
      <c r="F9" s="2645" t="s">
        <v>2354</v>
      </c>
      <c r="G9" s="2624"/>
      <c r="H9" s="2599"/>
      <c r="I9" s="2600"/>
      <c r="J9" s="3409"/>
      <c r="K9" s="3411"/>
      <c r="L9" s="2634" t="s">
        <v>2355</v>
      </c>
      <c r="M9" s="2635"/>
      <c r="N9" s="2611"/>
      <c r="O9" s="2636"/>
      <c r="P9" s="2636"/>
      <c r="Q9" s="2637">
        <v>365</v>
      </c>
      <c r="R9" s="2638">
        <f t="shared" si="0"/>
        <v>0</v>
      </c>
      <c r="S9" s="2592"/>
      <c r="T9" s="2592"/>
      <c r="U9" s="2592"/>
      <c r="V9" s="2600"/>
    </row>
    <row r="10" spans="1:22" s="2604" customFormat="1" ht="13.15" customHeight="1">
      <c r="A10" s="2639">
        <v>2</v>
      </c>
      <c r="B10" s="3426" t="s">
        <v>2356</v>
      </c>
      <c r="C10" s="3427"/>
      <c r="D10" s="2640">
        <f>ROUND(D6*E10,0)</f>
        <v>0</v>
      </c>
      <c r="E10" s="2644"/>
      <c r="F10" s="2645" t="s">
        <v>2357</v>
      </c>
      <c r="G10" s="2624"/>
      <c r="H10" s="2599"/>
      <c r="I10" s="2600"/>
      <c r="J10" s="3409"/>
      <c r="K10" s="3411"/>
      <c r="L10" s="2634" t="s">
        <v>2358</v>
      </c>
      <c r="M10" s="2635"/>
      <c r="N10" s="2611"/>
      <c r="O10" s="2636"/>
      <c r="P10" s="2636"/>
      <c r="Q10" s="2637">
        <v>365</v>
      </c>
      <c r="R10" s="2638">
        <f t="shared" si="0"/>
        <v>0</v>
      </c>
      <c r="S10" s="2592"/>
      <c r="T10" s="2592"/>
      <c r="U10" s="2592"/>
      <c r="V10" s="2600"/>
    </row>
    <row r="11" spans="1:22" s="2604" customFormat="1" ht="13.15" customHeight="1">
      <c r="A11" s="2639">
        <v>3</v>
      </c>
      <c r="B11" s="3426" t="s">
        <v>2359</v>
      </c>
      <c r="C11" s="3427"/>
      <c r="D11" s="2640">
        <f>D12+D14+D15+D16</f>
        <v>0</v>
      </c>
      <c r="E11" s="2646" t="e">
        <f>D11/D6</f>
        <v>#DIV/0!</v>
      </c>
      <c r="F11" s="2642"/>
      <c r="G11" s="2643"/>
      <c r="H11" s="2599"/>
      <c r="I11" s="2600"/>
      <c r="J11" s="3409"/>
      <c r="K11" s="341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19" t="s">
        <v>2362</v>
      </c>
      <c r="C12" s="3420"/>
      <c r="D12" s="2648">
        <f>ROUND(D13*1.2%*(1-30%),0)</f>
        <v>0</v>
      </c>
      <c r="E12" s="2649">
        <v>1.2E-2</v>
      </c>
      <c r="F12" s="2642" t="s">
        <v>2363</v>
      </c>
      <c r="G12" s="2643"/>
      <c r="H12" s="2599"/>
      <c r="I12" s="2600"/>
      <c r="J12" s="3409"/>
      <c r="K12" s="341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09"/>
      <c r="K13" s="341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19" t="s">
        <v>2368</v>
      </c>
      <c r="C14" s="3420"/>
      <c r="D14" s="2648">
        <f>ROUND(E14*B5/10000,0)</f>
        <v>0</v>
      </c>
      <c r="E14" s="2637"/>
      <c r="F14" s="2642" t="s">
        <v>2369</v>
      </c>
      <c r="G14" s="2643"/>
      <c r="H14" s="2599"/>
      <c r="I14" s="2600"/>
      <c r="J14" s="3409"/>
      <c r="K14" s="341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19" t="s">
        <v>2372</v>
      </c>
      <c r="C15" s="3420"/>
      <c r="D15" s="2648">
        <f>ROUND(D6*E15,0)</f>
        <v>0</v>
      </c>
      <c r="E15" s="2649">
        <v>5.5E-2</v>
      </c>
      <c r="F15" s="2642" t="s">
        <v>2373</v>
      </c>
      <c r="G15" s="2624"/>
      <c r="H15" s="2599"/>
      <c r="I15" s="2600"/>
      <c r="J15" s="3409">
        <v>2</v>
      </c>
      <c r="K15" s="341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19" t="s">
        <v>2381</v>
      </c>
      <c r="C16" s="3420"/>
      <c r="D16" s="2659">
        <f>D6*E16</f>
        <v>0</v>
      </c>
      <c r="E16" s="2660"/>
      <c r="F16" s="2645" t="s">
        <v>2382</v>
      </c>
      <c r="G16" s="2624"/>
      <c r="H16" s="2599"/>
      <c r="I16" s="2600"/>
      <c r="J16" s="3409"/>
      <c r="K16" s="341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21" t="s">
        <v>2384</v>
      </c>
      <c r="C17" s="3422"/>
      <c r="D17" s="2662">
        <f>ROUND(D6*E17,0)</f>
        <v>0</v>
      </c>
      <c r="E17" s="2663"/>
      <c r="F17" s="2664" t="s">
        <v>2385</v>
      </c>
      <c r="G17" s="2624"/>
      <c r="H17" s="2599"/>
      <c r="I17" s="2600"/>
      <c r="J17" s="3409"/>
      <c r="K17" s="341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09"/>
      <c r="K18" s="341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09"/>
      <c r="K19" s="341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9">
        <v>3</v>
      </c>
      <c r="K20" s="341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09"/>
      <c r="K21" s="341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09"/>
      <c r="K22" s="341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09"/>
      <c r="K23" s="341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09"/>
      <c r="K24" s="341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1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1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15" t="s">
        <v>2317</v>
      </c>
      <c r="K32" s="341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17" t="s">
        <v>2327</v>
      </c>
      <c r="K33" s="341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17" t="s">
        <v>2329</v>
      </c>
      <c r="K34" s="341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09">
        <v>1</v>
      </c>
      <c r="K36" s="341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09"/>
      <c r="K37" s="341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9"/>
      <c r="K38" s="341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09"/>
      <c r="K39" s="341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09"/>
      <c r="K40" s="341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1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1122.4673</v>
      </c>
      <c r="C2" s="1729" t="s">
        <v>1651</v>
      </c>
      <c r="D2" s="1730" t="s">
        <v>1652</v>
      </c>
      <c r="E2" s="2392">
        <f>SUM(E6:E13)</f>
        <v>209.06</v>
      </c>
      <c r="F2" s="2479"/>
      <c r="G2" s="459"/>
      <c r="H2" s="459"/>
      <c r="I2" s="459"/>
      <c r="J2" s="459"/>
      <c r="K2" s="459"/>
      <c r="L2" s="459"/>
      <c r="M2" s="459"/>
      <c r="N2" s="459"/>
      <c r="O2" s="459"/>
      <c r="P2" s="459"/>
      <c r="Q2" s="459"/>
      <c r="R2" s="459"/>
      <c r="S2" s="459"/>
    </row>
    <row r="3" spans="1:22" ht="15.75">
      <c r="A3" s="1728" t="s">
        <v>686</v>
      </c>
      <c r="B3" s="2386">
        <f ca="1">ROUND(B2*10000/E2,0)</f>
        <v>53691</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8" t="s">
        <v>1654</v>
      </c>
      <c r="C5" s="3429"/>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1122.4673</v>
      </c>
      <c r="C6" s="1729" t="s">
        <v>1651</v>
      </c>
      <c r="D6" s="2479"/>
      <c r="E6" s="2391">
        <f>IF(OR(A6=0,F6="否"),0,'数据-取费表'!K6+'数据-取费表'!S6)</f>
        <v>209.06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209.06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70" t="s">
        <v>1772</v>
      </c>
      <c r="AC4" s="3381" t="s">
        <v>1773</v>
      </c>
    </row>
    <row r="5" spans="1:29" ht="15">
      <c r="A5" s="348"/>
      <c r="B5" s="349"/>
      <c r="C5" s="3430" t="s">
        <v>1673</v>
      </c>
      <c r="D5" s="3403"/>
      <c r="E5" s="3431" t="s">
        <v>1674</v>
      </c>
      <c r="F5" s="3432"/>
      <c r="G5" s="3430" t="s">
        <v>1675</v>
      </c>
      <c r="H5" s="3403"/>
      <c r="I5" s="3430" t="s">
        <v>1676</v>
      </c>
      <c r="J5" s="3403"/>
      <c r="K5" s="537"/>
      <c r="L5" s="2486"/>
      <c r="M5" s="2487"/>
      <c r="N5" s="2487"/>
      <c r="O5" s="2487"/>
      <c r="P5" s="3390"/>
      <c r="Q5" s="3391"/>
      <c r="R5" s="3396"/>
      <c r="S5" s="3397"/>
      <c r="T5" s="3396"/>
      <c r="U5" s="3397"/>
      <c r="V5" s="3370"/>
      <c r="W5" s="3370"/>
      <c r="X5" s="1265"/>
      <c r="Y5" s="3396"/>
      <c r="Z5" s="3397"/>
      <c r="AA5" s="3382"/>
      <c r="AB5" s="3370"/>
      <c r="AC5" s="3382"/>
    </row>
    <row r="6" spans="1:29" ht="15.7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70"/>
      <c r="AC6" s="3383"/>
    </row>
    <row r="7" spans="1:29" s="102" customFormat="1" ht="15.75" thickBot="1">
      <c r="A7" s="352" t="s">
        <v>1679</v>
      </c>
      <c r="B7" s="353"/>
      <c r="C7" s="354">
        <f>'数据-取费表'!B2</f>
        <v>45911</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4" t="s">
        <v>1683</v>
      </c>
      <c r="Q8" s="3405"/>
      <c r="R8" s="664" t="s">
        <v>14</v>
      </c>
      <c r="S8" s="665">
        <f t="shared" si="0"/>
        <v>100</v>
      </c>
      <c r="T8" s="664" t="s">
        <v>14</v>
      </c>
      <c r="U8" s="665">
        <f t="shared" si="1"/>
        <v>100</v>
      </c>
      <c r="V8" s="664" t="s">
        <v>14</v>
      </c>
      <c r="W8" s="665">
        <f t="shared" si="2"/>
        <v>100</v>
      </c>
      <c r="X8" s="666"/>
      <c r="Y8" s="3404" t="s">
        <v>1683</v>
      </c>
      <c r="Z8" s="340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0"/>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8" t="s">
        <v>1691</v>
      </c>
      <c r="Q15" s="1263" t="str">
        <f t="shared" si="6"/>
        <v>商业繁华度</v>
      </c>
      <c r="R15" s="667" t="s">
        <v>14</v>
      </c>
      <c r="S15" s="668">
        <f t="shared" si="0"/>
        <v>100</v>
      </c>
      <c r="T15" s="667" t="s">
        <v>14</v>
      </c>
      <c r="U15" s="668">
        <f t="shared" si="1"/>
        <v>100</v>
      </c>
      <c r="V15" s="667" t="s">
        <v>14</v>
      </c>
      <c r="W15" s="668">
        <f t="shared" si="2"/>
        <v>100</v>
      </c>
      <c r="X15" s="1265"/>
      <c r="Y15" s="337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9"/>
      <c r="Q16" s="1263"/>
      <c r="R16" s="667"/>
      <c r="S16" s="668"/>
      <c r="T16" s="667"/>
      <c r="U16" s="668"/>
      <c r="V16" s="667"/>
      <c r="W16" s="668"/>
      <c r="X16" s="1265"/>
      <c r="Y16" s="337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9"/>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9"/>
      <c r="Q18" s="1263"/>
      <c r="R18" s="667"/>
      <c r="S18" s="668"/>
      <c r="T18" s="667"/>
      <c r="U18" s="668"/>
      <c r="V18" s="667"/>
      <c r="W18" s="668"/>
      <c r="X18" s="1265"/>
      <c r="Y18" s="337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9"/>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9"/>
      <c r="Q20" s="1263"/>
      <c r="R20" s="667"/>
      <c r="S20" s="668"/>
      <c r="T20" s="667"/>
      <c r="U20" s="668"/>
      <c r="V20" s="667"/>
      <c r="W20" s="668"/>
      <c r="X20" s="1265"/>
      <c r="Y20" s="337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9"/>
      <c r="Q22" s="1263"/>
      <c r="R22" s="667"/>
      <c r="S22" s="668"/>
      <c r="T22" s="667"/>
      <c r="U22" s="668"/>
      <c r="V22" s="667"/>
      <c r="W22" s="668"/>
      <c r="X22" s="1265"/>
      <c r="Y22" s="3372"/>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9"/>
      <c r="Q23" s="1263" t="str">
        <f>B23</f>
        <v>自然及人文环境</v>
      </c>
      <c r="R23" s="667" t="s">
        <v>14</v>
      </c>
      <c r="S23" s="668">
        <f>F23</f>
        <v>100</v>
      </c>
      <c r="T23" s="667" t="s">
        <v>14</v>
      </c>
      <c r="U23" s="668">
        <f>H23</f>
        <v>100</v>
      </c>
      <c r="V23" s="667" t="s">
        <v>14</v>
      </c>
      <c r="W23" s="668">
        <f>J23</f>
        <v>100</v>
      </c>
      <c r="X23" s="1265"/>
      <c r="Y23" s="337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9"/>
      <c r="Q24" s="1263"/>
      <c r="R24" s="667"/>
      <c r="S24" s="668"/>
      <c r="T24" s="667"/>
      <c r="U24" s="668"/>
      <c r="V24" s="667"/>
      <c r="W24" s="668"/>
      <c r="X24" s="1265"/>
      <c r="Y24" s="337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9"/>
      <c r="Q25" s="1263" t="str">
        <f t="shared" ref="Q25:Q46" si="11">B25</f>
        <v>临街状况</v>
      </c>
      <c r="R25" s="667" t="s">
        <v>14</v>
      </c>
      <c r="S25" s="668">
        <f>F25</f>
        <v>100</v>
      </c>
      <c r="T25" s="667" t="s">
        <v>14</v>
      </c>
      <c r="U25" s="668">
        <f>H25</f>
        <v>100</v>
      </c>
      <c r="V25" s="667" t="s">
        <v>14</v>
      </c>
      <c r="W25" s="668">
        <f>J25</f>
        <v>100</v>
      </c>
      <c r="X25" s="1265"/>
      <c r="Y25" s="337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9"/>
      <c r="Q26" s="1263" t="str">
        <f t="shared" si="11"/>
        <v>平面位置/可视性</v>
      </c>
      <c r="R26" s="667" t="s">
        <v>14</v>
      </c>
      <c r="S26" s="668">
        <f>F26</f>
        <v>100</v>
      </c>
      <c r="T26" s="667" t="s">
        <v>14</v>
      </c>
      <c r="U26" s="668">
        <f>H26</f>
        <v>100</v>
      </c>
      <c r="V26" s="667" t="s">
        <v>14</v>
      </c>
      <c r="W26" s="668">
        <f>J26</f>
        <v>100</v>
      </c>
      <c r="X26" s="1265"/>
      <c r="Y26" s="3372"/>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79"/>
      <c r="Q27" s="530" t="str">
        <f t="shared" si="11"/>
        <v>人流量</v>
      </c>
      <c r="R27" s="664" t="s">
        <v>14</v>
      </c>
      <c r="S27" s="665">
        <f>F27</f>
        <v>100</v>
      </c>
      <c r="T27" s="664" t="s">
        <v>14</v>
      </c>
      <c r="U27" s="665">
        <f>H27</f>
        <v>100</v>
      </c>
      <c r="V27" s="664" t="s">
        <v>14</v>
      </c>
      <c r="W27" s="665">
        <f>J27</f>
        <v>100</v>
      </c>
      <c r="X27" s="666"/>
      <c r="Y27" s="337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9"/>
      <c r="Q29" s="1263">
        <f t="shared" si="11"/>
        <v>111</v>
      </c>
      <c r="R29" s="667" t="s">
        <v>14</v>
      </c>
      <c r="S29" s="668">
        <f t="shared" si="12"/>
        <v>100</v>
      </c>
      <c r="T29" s="667" t="s">
        <v>14</v>
      </c>
      <c r="U29" s="668">
        <f t="shared" si="13"/>
        <v>100</v>
      </c>
      <c r="V29" s="667" t="s">
        <v>14</v>
      </c>
      <c r="W29" s="668">
        <f t="shared" si="14"/>
        <v>100</v>
      </c>
      <c r="X29" s="1265"/>
      <c r="Y29" s="337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9"/>
      <c r="Q30" s="1263">
        <f t="shared" si="11"/>
        <v>111</v>
      </c>
      <c r="R30" s="667" t="s">
        <v>14</v>
      </c>
      <c r="S30" s="668">
        <f t="shared" si="12"/>
        <v>100</v>
      </c>
      <c r="T30" s="667" t="s">
        <v>14</v>
      </c>
      <c r="U30" s="668">
        <f t="shared" si="13"/>
        <v>100</v>
      </c>
      <c r="V30" s="667" t="s">
        <v>14</v>
      </c>
      <c r="W30" s="668">
        <f t="shared" si="14"/>
        <v>100</v>
      </c>
      <c r="X30" s="1265"/>
      <c r="Y30" s="337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9"/>
      <c r="Q31" s="1263">
        <f t="shared" si="11"/>
        <v>111</v>
      </c>
      <c r="R31" s="667" t="s">
        <v>14</v>
      </c>
      <c r="S31" s="668">
        <f t="shared" si="12"/>
        <v>100</v>
      </c>
      <c r="T31" s="667" t="s">
        <v>14</v>
      </c>
      <c r="U31" s="668">
        <f t="shared" si="13"/>
        <v>100</v>
      </c>
      <c r="V31" s="667" t="s">
        <v>14</v>
      </c>
      <c r="W31" s="668">
        <f t="shared" si="14"/>
        <v>100</v>
      </c>
      <c r="X31" s="1265"/>
      <c r="Y31" s="337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73" t="s">
        <v>1696</v>
      </c>
      <c r="Q32" s="1263" t="str">
        <f t="shared" si="11"/>
        <v>商业类型</v>
      </c>
      <c r="R32" s="667" t="s">
        <v>14</v>
      </c>
      <c r="S32" s="668">
        <f t="shared" si="12"/>
        <v>100</v>
      </c>
      <c r="T32" s="667" t="s">
        <v>14</v>
      </c>
      <c r="U32" s="668">
        <f t="shared" si="13"/>
        <v>100</v>
      </c>
      <c r="V32" s="667" t="s">
        <v>14</v>
      </c>
      <c r="W32" s="668">
        <f t="shared" si="14"/>
        <v>100</v>
      </c>
      <c r="X32" s="1265"/>
      <c r="Y32" s="337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4"/>
      <c r="Q33" s="531" t="str">
        <f t="shared" si="11"/>
        <v>项目建筑规模</v>
      </c>
      <c r="R33" s="669" t="s">
        <v>14</v>
      </c>
      <c r="S33" s="670" t="e">
        <f t="shared" si="12"/>
        <v>#N/A</v>
      </c>
      <c r="T33" s="669" t="s">
        <v>14</v>
      </c>
      <c r="U33" s="670" t="e">
        <f t="shared" si="13"/>
        <v>#N/A</v>
      </c>
      <c r="V33" s="669" t="s">
        <v>14</v>
      </c>
      <c r="W33" s="670" t="e">
        <f t="shared" si="14"/>
        <v>#N/A</v>
      </c>
      <c r="X33" s="671"/>
      <c r="Y33" s="337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4"/>
      <c r="Q34" s="1263" t="str">
        <f t="shared" si="11"/>
        <v>建筑结构</v>
      </c>
      <c r="R34" s="667" t="s">
        <v>14</v>
      </c>
      <c r="S34" s="668">
        <f t="shared" si="12"/>
        <v>100</v>
      </c>
      <c r="T34" s="667" t="s">
        <v>14</v>
      </c>
      <c r="U34" s="668">
        <f t="shared" si="13"/>
        <v>100</v>
      </c>
      <c r="V34" s="667" t="s">
        <v>14</v>
      </c>
      <c r="W34" s="668">
        <f t="shared" si="14"/>
        <v>100</v>
      </c>
      <c r="X34" s="1265"/>
      <c r="Y34" s="337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4"/>
      <c r="Q35" s="1263" t="str">
        <f t="shared" si="11"/>
        <v>公共部分装修</v>
      </c>
      <c r="R35" s="667" t="s">
        <v>14</v>
      </c>
      <c r="S35" s="668">
        <f t="shared" si="12"/>
        <v>100</v>
      </c>
      <c r="T35" s="667" t="s">
        <v>14</v>
      </c>
      <c r="U35" s="668">
        <f t="shared" si="13"/>
        <v>100</v>
      </c>
      <c r="V35" s="667" t="s">
        <v>14</v>
      </c>
      <c r="W35" s="668">
        <f t="shared" si="14"/>
        <v>100</v>
      </c>
      <c r="X35" s="1265"/>
      <c r="Y35" s="337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4"/>
      <c r="Q36" s="1263" t="str">
        <f t="shared" si="11"/>
        <v>成新度</v>
      </c>
      <c r="R36" s="667" t="s">
        <v>14</v>
      </c>
      <c r="S36" s="668" t="e">
        <f t="shared" si="12"/>
        <v>#N/A</v>
      </c>
      <c r="T36" s="667" t="s">
        <v>14</v>
      </c>
      <c r="U36" s="668" t="e">
        <f t="shared" si="13"/>
        <v>#N/A</v>
      </c>
      <c r="V36" s="667" t="s">
        <v>14</v>
      </c>
      <c r="W36" s="668" t="e">
        <f t="shared" si="14"/>
        <v>#N/A</v>
      </c>
      <c r="X36" s="1265"/>
      <c r="Y36" s="337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74"/>
      <c r="Q37" s="530" t="str">
        <f t="shared" si="11"/>
        <v>市政基础设施</v>
      </c>
      <c r="R37" s="664" t="s">
        <v>14</v>
      </c>
      <c r="S37" s="665">
        <f t="shared" si="12"/>
        <v>100</v>
      </c>
      <c r="T37" s="664" t="s">
        <v>14</v>
      </c>
      <c r="U37" s="665">
        <f t="shared" si="13"/>
        <v>100</v>
      </c>
      <c r="V37" s="664" t="s">
        <v>14</v>
      </c>
      <c r="W37" s="665">
        <f t="shared" si="14"/>
        <v>100</v>
      </c>
      <c r="X37" s="666"/>
      <c r="Y37" s="337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74" t="s">
        <v>1696</v>
      </c>
      <c r="Q38" s="1263" t="str">
        <f t="shared" si="11"/>
        <v>业态</v>
      </c>
      <c r="R38" s="667" t="s">
        <v>14</v>
      </c>
      <c r="S38" s="668">
        <f t="shared" si="12"/>
        <v>100</v>
      </c>
      <c r="T38" s="667" t="s">
        <v>14</v>
      </c>
      <c r="U38" s="668">
        <f t="shared" si="13"/>
        <v>100</v>
      </c>
      <c r="V38" s="667" t="s">
        <v>14</v>
      </c>
      <c r="W38" s="668">
        <f t="shared" si="14"/>
        <v>100</v>
      </c>
      <c r="X38" s="1265"/>
      <c r="Y38" s="337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74"/>
      <c r="Q39" s="1263" t="str">
        <f t="shared" si="11"/>
        <v>层高</v>
      </c>
      <c r="R39" s="667" t="s">
        <v>14</v>
      </c>
      <c r="S39" s="668">
        <f t="shared" si="12"/>
        <v>100</v>
      </c>
      <c r="T39" s="667" t="s">
        <v>14</v>
      </c>
      <c r="U39" s="668">
        <f t="shared" si="13"/>
        <v>100</v>
      </c>
      <c r="V39" s="667" t="s">
        <v>14</v>
      </c>
      <c r="W39" s="668">
        <f t="shared" si="14"/>
        <v>100</v>
      </c>
      <c r="X39" s="1265"/>
      <c r="Y39" s="337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4"/>
      <c r="Q40" s="1263" t="str">
        <f t="shared" si="11"/>
        <v>单套建筑面积</v>
      </c>
      <c r="R40" s="667" t="s">
        <v>14</v>
      </c>
      <c r="S40" s="668">
        <f t="shared" si="12"/>
        <v>100</v>
      </c>
      <c r="T40" s="667" t="s">
        <v>14</v>
      </c>
      <c r="U40" s="668">
        <f t="shared" si="13"/>
        <v>100</v>
      </c>
      <c r="V40" s="667" t="s">
        <v>14</v>
      </c>
      <c r="W40" s="668">
        <f t="shared" si="14"/>
        <v>100</v>
      </c>
      <c r="X40" s="1265"/>
      <c r="Y40" s="337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4"/>
      <c r="Q41" s="531" t="str">
        <f t="shared" si="11"/>
        <v>进深比</v>
      </c>
      <c r="R41" s="669" t="s">
        <v>14</v>
      </c>
      <c r="S41" s="670">
        <f t="shared" si="12"/>
        <v>100</v>
      </c>
      <c r="T41" s="669" t="s">
        <v>14</v>
      </c>
      <c r="U41" s="670">
        <f t="shared" si="13"/>
        <v>100</v>
      </c>
      <c r="V41" s="669" t="s">
        <v>14</v>
      </c>
      <c r="W41" s="670">
        <f t="shared" si="14"/>
        <v>100</v>
      </c>
      <c r="X41" s="671"/>
      <c r="Y41" s="337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74"/>
      <c r="Q42" s="1263" t="str">
        <f t="shared" si="11"/>
        <v>内部装修</v>
      </c>
      <c r="R42" s="667" t="s">
        <v>14</v>
      </c>
      <c r="S42" s="668">
        <f t="shared" si="12"/>
        <v>100</v>
      </c>
      <c r="T42" s="667" t="s">
        <v>14</v>
      </c>
      <c r="U42" s="668">
        <f t="shared" si="13"/>
        <v>100</v>
      </c>
      <c r="V42" s="667" t="s">
        <v>14</v>
      </c>
      <c r="W42" s="668">
        <f t="shared" si="14"/>
        <v>100</v>
      </c>
      <c r="X42" s="1265"/>
      <c r="Y42" s="337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74"/>
      <c r="Q43" s="1263" t="str">
        <f t="shared" si="11"/>
        <v>内部装修维护情况</v>
      </c>
      <c r="R43" s="667" t="s">
        <v>14</v>
      </c>
      <c r="S43" s="668">
        <f t="shared" si="12"/>
        <v>100</v>
      </c>
      <c r="T43" s="667" t="s">
        <v>14</v>
      </c>
      <c r="U43" s="668">
        <f t="shared" si="13"/>
        <v>100</v>
      </c>
      <c r="V43" s="667" t="s">
        <v>14</v>
      </c>
      <c r="W43" s="668">
        <f t="shared" si="14"/>
        <v>100</v>
      </c>
      <c r="X43" s="1265"/>
      <c r="Y43" s="337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4"/>
      <c r="Q44" s="530">
        <f t="shared" si="11"/>
        <v>111</v>
      </c>
      <c r="R44" s="664" t="s">
        <v>14</v>
      </c>
      <c r="S44" s="665">
        <f t="shared" si="12"/>
        <v>100</v>
      </c>
      <c r="T44" s="664" t="s">
        <v>14</v>
      </c>
      <c r="U44" s="665">
        <f t="shared" si="13"/>
        <v>100</v>
      </c>
      <c r="V44" s="664" t="s">
        <v>14</v>
      </c>
      <c r="W44" s="665">
        <f t="shared" si="14"/>
        <v>100</v>
      </c>
      <c r="X44" s="666"/>
      <c r="Y44" s="337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4"/>
      <c r="Q45" s="1263">
        <f t="shared" si="11"/>
        <v>111</v>
      </c>
      <c r="R45" s="667" t="s">
        <v>14</v>
      </c>
      <c r="S45" s="668">
        <f t="shared" si="12"/>
        <v>100</v>
      </c>
      <c r="T45" s="667" t="s">
        <v>14</v>
      </c>
      <c r="U45" s="668">
        <f t="shared" si="13"/>
        <v>100</v>
      </c>
      <c r="V45" s="667" t="s">
        <v>14</v>
      </c>
      <c r="W45" s="668">
        <f t="shared" si="14"/>
        <v>100</v>
      </c>
      <c r="X45" s="1265"/>
      <c r="Y45" s="337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209.06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39" t="s">
        <v>1775</v>
      </c>
      <c r="Q4" s="3440"/>
      <c r="R4" s="3443" t="s">
        <v>1771</v>
      </c>
      <c r="S4" s="3444"/>
      <c r="T4" s="3443" t="s">
        <v>1772</v>
      </c>
      <c r="U4" s="3444"/>
      <c r="V4" s="3445" t="s">
        <v>1773</v>
      </c>
      <c r="W4" s="3445"/>
      <c r="X4" s="1808"/>
      <c r="Y4" s="3443" t="s">
        <v>1775</v>
      </c>
      <c r="Z4" s="3444"/>
      <c r="AA4" s="3447" t="s">
        <v>1771</v>
      </c>
      <c r="AB4" s="3447" t="s">
        <v>1772</v>
      </c>
      <c r="AC4" s="3436" t="s">
        <v>1773</v>
      </c>
    </row>
    <row r="5" spans="1:29" ht="15">
      <c r="A5" s="348"/>
      <c r="B5" s="349"/>
      <c r="C5" s="3430" t="s">
        <v>1673</v>
      </c>
      <c r="D5" s="3403"/>
      <c r="E5" s="3431" t="s">
        <v>1674</v>
      </c>
      <c r="F5" s="3432"/>
      <c r="G5" s="3430" t="s">
        <v>1675</v>
      </c>
      <c r="H5" s="3403"/>
      <c r="I5" s="3430" t="s">
        <v>1676</v>
      </c>
      <c r="J5" s="3403"/>
      <c r="K5" s="537"/>
      <c r="L5" s="2486"/>
      <c r="M5" s="2487"/>
      <c r="N5" s="2487"/>
      <c r="O5" s="2487"/>
      <c r="P5" s="3441"/>
      <c r="Q5" s="3391"/>
      <c r="R5" s="3396"/>
      <c r="S5" s="3397"/>
      <c r="T5" s="3396"/>
      <c r="U5" s="3397"/>
      <c r="V5" s="3370"/>
      <c r="W5" s="3370"/>
      <c r="X5" s="1265"/>
      <c r="Y5" s="3396"/>
      <c r="Z5" s="3397"/>
      <c r="AA5" s="3382"/>
      <c r="AB5" s="3382"/>
      <c r="AC5" s="3437"/>
    </row>
    <row r="6" spans="1:29" ht="15.75" thickBot="1">
      <c r="A6" s="350"/>
      <c r="B6" s="351"/>
      <c r="C6" s="3400" t="s">
        <v>1677</v>
      </c>
      <c r="D6" s="3401"/>
      <c r="E6" s="3407" t="s">
        <v>1677</v>
      </c>
      <c r="F6" s="3408"/>
      <c r="G6" s="3400" t="s">
        <v>1677</v>
      </c>
      <c r="H6" s="3401"/>
      <c r="I6" s="3400" t="s">
        <v>1677</v>
      </c>
      <c r="J6" s="3401"/>
      <c r="K6" s="537" t="s">
        <v>1678</v>
      </c>
      <c r="L6" s="2486"/>
      <c r="M6" s="2487"/>
      <c r="N6" s="2487"/>
      <c r="O6" s="2487"/>
      <c r="P6" s="3442"/>
      <c r="Q6" s="3393"/>
      <c r="R6" s="3396"/>
      <c r="S6" s="3397"/>
      <c r="T6" s="3398"/>
      <c r="U6" s="3399"/>
      <c r="V6" s="3370"/>
      <c r="W6" s="3370"/>
      <c r="X6" s="1265"/>
      <c r="Y6" s="3398"/>
      <c r="Z6" s="3399"/>
      <c r="AA6" s="3383"/>
      <c r="AB6" s="3383"/>
      <c r="AC6" s="3438"/>
    </row>
    <row r="7" spans="1:29" s="102" customFormat="1" ht="15.75" thickBot="1">
      <c r="A7" s="352" t="s">
        <v>1679</v>
      </c>
      <c r="B7" s="353"/>
      <c r="C7" s="354">
        <f>'数据-取费表'!B2</f>
        <v>45911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6"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6"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0"/>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8" t="s">
        <v>1691</v>
      </c>
      <c r="Q15" s="1263" t="str">
        <f t="shared" si="6"/>
        <v>办公集聚程度</v>
      </c>
      <c r="R15" s="667" t="s">
        <v>14</v>
      </c>
      <c r="S15" s="668">
        <f t="shared" si="0"/>
        <v>100</v>
      </c>
      <c r="T15" s="667" t="s">
        <v>14</v>
      </c>
      <c r="U15" s="668">
        <f t="shared" si="1"/>
        <v>100</v>
      </c>
      <c r="V15" s="667" t="s">
        <v>14</v>
      </c>
      <c r="W15" s="668">
        <f t="shared" si="2"/>
        <v>100</v>
      </c>
      <c r="X15" s="1265"/>
      <c r="Y15" s="3371"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379"/>
      <c r="Q16" s="1263"/>
      <c r="R16" s="667"/>
      <c r="S16" s="668"/>
      <c r="T16" s="667"/>
      <c r="U16" s="668"/>
      <c r="V16" s="667"/>
      <c r="W16" s="668"/>
      <c r="X16" s="1265"/>
      <c r="Y16" s="3372"/>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9"/>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379"/>
      <c r="Q18" s="1263"/>
      <c r="R18" s="667"/>
      <c r="S18" s="668"/>
      <c r="T18" s="667"/>
      <c r="U18" s="668"/>
      <c r="V18" s="667"/>
      <c r="W18" s="668"/>
      <c r="X18" s="1265"/>
      <c r="Y18" s="3372"/>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9"/>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379"/>
      <c r="Q20" s="1263"/>
      <c r="R20" s="667"/>
      <c r="S20" s="668"/>
      <c r="T20" s="667"/>
      <c r="U20" s="668"/>
      <c r="V20" s="667"/>
      <c r="W20" s="668"/>
      <c r="X20" s="1265"/>
      <c r="Y20" s="3372"/>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379"/>
      <c r="Q22" s="1263"/>
      <c r="R22" s="667"/>
      <c r="S22" s="668"/>
      <c r="T22" s="667"/>
      <c r="U22" s="668"/>
      <c r="V22" s="667"/>
      <c r="W22" s="668"/>
      <c r="X22" s="1265"/>
      <c r="Y22" s="3372"/>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9"/>
      <c r="Q23" s="1263" t="str">
        <f>B23</f>
        <v>环境质量</v>
      </c>
      <c r="R23" s="667" t="s">
        <v>14</v>
      </c>
      <c r="S23" s="668">
        <f>F23</f>
        <v>100</v>
      </c>
      <c r="T23" s="667" t="s">
        <v>14</v>
      </c>
      <c r="U23" s="668">
        <f>H23</f>
        <v>100</v>
      </c>
      <c r="V23" s="667" t="s">
        <v>14</v>
      </c>
      <c r="W23" s="668">
        <f>J23</f>
        <v>100</v>
      </c>
      <c r="X23" s="1265"/>
      <c r="Y23" s="3372"/>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379"/>
      <c r="Q24" s="1263"/>
      <c r="R24" s="667"/>
      <c r="S24" s="668"/>
      <c r="T24" s="667"/>
      <c r="U24" s="668"/>
      <c r="V24" s="667"/>
      <c r="W24" s="668"/>
      <c r="X24" s="1265"/>
      <c r="Y24" s="3372"/>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79"/>
      <c r="Q25" s="1263" t="str">
        <f>B25</f>
        <v>毗邻道路的类型与等级</v>
      </c>
      <c r="R25" s="667" t="s">
        <v>14</v>
      </c>
      <c r="S25" s="668">
        <f>F25</f>
        <v>100</v>
      </c>
      <c r="T25" s="667" t="s">
        <v>14</v>
      </c>
      <c r="U25" s="668">
        <f>H25</f>
        <v>100</v>
      </c>
      <c r="V25" s="667" t="s">
        <v>14</v>
      </c>
      <c r="W25" s="668">
        <f>J25</f>
        <v>100</v>
      </c>
      <c r="X25" s="1265"/>
      <c r="Y25" s="3372"/>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79"/>
      <c r="Q26" s="1263"/>
      <c r="R26" s="667"/>
      <c r="S26" s="668"/>
      <c r="T26" s="667"/>
      <c r="U26" s="668"/>
      <c r="V26" s="667"/>
      <c r="W26" s="668"/>
      <c r="X26" s="1265"/>
      <c r="Y26" s="3372"/>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79"/>
      <c r="Q27" s="1263" t="str">
        <f t="shared" ref="Q27:Q47" si="11">B27</f>
        <v>楼层</v>
      </c>
      <c r="R27" s="667" t="s">
        <v>14</v>
      </c>
      <c r="S27" s="668">
        <f>F27</f>
        <v>100</v>
      </c>
      <c r="T27" s="667" t="s">
        <v>14</v>
      </c>
      <c r="U27" s="668">
        <f>H27</f>
        <v>100</v>
      </c>
      <c r="V27" s="667" t="s">
        <v>14</v>
      </c>
      <c r="W27" s="668">
        <f>J27</f>
        <v>100</v>
      </c>
      <c r="X27" s="1265"/>
      <c r="Y27" s="3372"/>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79"/>
      <c r="Q28" s="530" t="str">
        <f t="shared" si="11"/>
        <v>朝向</v>
      </c>
      <c r="R28" s="664" t="s">
        <v>14</v>
      </c>
      <c r="S28" s="665">
        <f>F28</f>
        <v>100</v>
      </c>
      <c r="T28" s="664" t="s">
        <v>14</v>
      </c>
      <c r="U28" s="665">
        <f>H28</f>
        <v>100</v>
      </c>
      <c r="V28" s="664" t="s">
        <v>14</v>
      </c>
      <c r="W28" s="665">
        <f>J28</f>
        <v>100</v>
      </c>
      <c r="X28" s="666"/>
      <c r="Y28" s="3372"/>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79"/>
      <c r="Q29" s="1263">
        <f t="shared" si="11"/>
        <v>111</v>
      </c>
      <c r="R29" s="667" t="s">
        <v>14</v>
      </c>
      <c r="S29" s="668">
        <f t="shared" ref="S29:S47" si="12">F29</f>
        <v>100</v>
      </c>
      <c r="T29" s="667" t="s">
        <v>14</v>
      </c>
      <c r="U29" s="668">
        <f t="shared" ref="U29:U47" si="13">H29</f>
        <v>100</v>
      </c>
      <c r="V29" s="667" t="s">
        <v>14</v>
      </c>
      <c r="W29" s="668">
        <f t="shared" ref="W29:W47" si="14">J29</f>
        <v>100</v>
      </c>
      <c r="X29" s="1265"/>
      <c r="Y29" s="3372"/>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79"/>
      <c r="Q30" s="1263">
        <f t="shared" si="11"/>
        <v>111</v>
      </c>
      <c r="R30" s="667" t="s">
        <v>14</v>
      </c>
      <c r="S30" s="668">
        <f t="shared" si="12"/>
        <v>100</v>
      </c>
      <c r="T30" s="667" t="s">
        <v>14</v>
      </c>
      <c r="U30" s="668">
        <f t="shared" si="13"/>
        <v>100</v>
      </c>
      <c r="V30" s="667" t="s">
        <v>14</v>
      </c>
      <c r="W30" s="668">
        <f t="shared" si="14"/>
        <v>100</v>
      </c>
      <c r="X30" s="1265"/>
      <c r="Y30" s="3372"/>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79"/>
      <c r="Q31" s="1263">
        <f t="shared" si="11"/>
        <v>111</v>
      </c>
      <c r="R31" s="667" t="s">
        <v>14</v>
      </c>
      <c r="S31" s="668">
        <f t="shared" si="12"/>
        <v>100</v>
      </c>
      <c r="T31" s="667" t="s">
        <v>14</v>
      </c>
      <c r="U31" s="668">
        <f t="shared" si="13"/>
        <v>100</v>
      </c>
      <c r="V31" s="667" t="s">
        <v>14</v>
      </c>
      <c r="W31" s="668">
        <f t="shared" si="14"/>
        <v>100</v>
      </c>
      <c r="X31" s="1265"/>
      <c r="Y31" s="3372"/>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79"/>
      <c r="Q32" s="1263">
        <f t="shared" si="11"/>
        <v>111</v>
      </c>
      <c r="R32" s="667" t="s">
        <v>14</v>
      </c>
      <c r="S32" s="668">
        <f t="shared" si="12"/>
        <v>100</v>
      </c>
      <c r="T32" s="667" t="s">
        <v>14</v>
      </c>
      <c r="U32" s="668">
        <f t="shared" si="13"/>
        <v>100</v>
      </c>
      <c r="V32" s="667" t="s">
        <v>14</v>
      </c>
      <c r="W32" s="668">
        <f t="shared" si="14"/>
        <v>100</v>
      </c>
      <c r="X32" s="1265"/>
      <c r="Y32" s="3372"/>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73" t="s">
        <v>1696</v>
      </c>
      <c r="Q33" s="1263" t="str">
        <f t="shared" si="11"/>
        <v>建筑类型</v>
      </c>
      <c r="R33" s="667" t="s">
        <v>14</v>
      </c>
      <c r="S33" s="668">
        <f t="shared" si="12"/>
        <v>100</v>
      </c>
      <c r="T33" s="667" t="s">
        <v>14</v>
      </c>
      <c r="U33" s="668">
        <f t="shared" si="13"/>
        <v>100</v>
      </c>
      <c r="V33" s="667" t="s">
        <v>14</v>
      </c>
      <c r="W33" s="668">
        <f t="shared" si="14"/>
        <v>100</v>
      </c>
      <c r="X33" s="1265"/>
      <c r="Y33" s="3376"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4"/>
      <c r="Q34" s="531" t="str">
        <f t="shared" si="11"/>
        <v>项目建筑规模</v>
      </c>
      <c r="R34" s="669" t="s">
        <v>14</v>
      </c>
      <c r="S34" s="670" t="e">
        <f t="shared" si="12"/>
        <v>#N/A</v>
      </c>
      <c r="T34" s="669" t="s">
        <v>14</v>
      </c>
      <c r="U34" s="670" t="e">
        <f t="shared" si="13"/>
        <v>#N/A</v>
      </c>
      <c r="V34" s="669" t="s">
        <v>14</v>
      </c>
      <c r="W34" s="670" t="e">
        <f t="shared" si="14"/>
        <v>#N/A</v>
      </c>
      <c r="X34" s="671"/>
      <c r="Y34" s="3376"/>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4"/>
      <c r="Q35" s="1263" t="str">
        <f t="shared" si="11"/>
        <v>建筑结构</v>
      </c>
      <c r="R35" s="667" t="s">
        <v>14</v>
      </c>
      <c r="S35" s="668">
        <f t="shared" si="12"/>
        <v>100</v>
      </c>
      <c r="T35" s="667" t="s">
        <v>14</v>
      </c>
      <c r="U35" s="668">
        <f t="shared" si="13"/>
        <v>100</v>
      </c>
      <c r="V35" s="667" t="s">
        <v>14</v>
      </c>
      <c r="W35" s="668">
        <f t="shared" si="14"/>
        <v>100</v>
      </c>
      <c r="X35" s="1265"/>
      <c r="Y35" s="3376"/>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4"/>
      <c r="Q36" s="1263" t="str">
        <f t="shared" si="11"/>
        <v>公共部分装修</v>
      </c>
      <c r="R36" s="667" t="s">
        <v>14</v>
      </c>
      <c r="S36" s="668">
        <f t="shared" si="12"/>
        <v>100</v>
      </c>
      <c r="T36" s="667" t="s">
        <v>14</v>
      </c>
      <c r="U36" s="668">
        <f t="shared" si="13"/>
        <v>100</v>
      </c>
      <c r="V36" s="667" t="s">
        <v>14</v>
      </c>
      <c r="W36" s="668">
        <f t="shared" si="14"/>
        <v>100</v>
      </c>
      <c r="X36" s="1265"/>
      <c r="Y36" s="3376"/>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4"/>
      <c r="Q37" s="1263" t="str">
        <f t="shared" si="11"/>
        <v>成新度</v>
      </c>
      <c r="R37" s="667" t="s">
        <v>14</v>
      </c>
      <c r="S37" s="668" t="e">
        <f t="shared" si="12"/>
        <v>#N/A</v>
      </c>
      <c r="T37" s="667" t="s">
        <v>14</v>
      </c>
      <c r="U37" s="668" t="e">
        <f t="shared" si="13"/>
        <v>#N/A</v>
      </c>
      <c r="V37" s="667" t="s">
        <v>14</v>
      </c>
      <c r="W37" s="668" t="e">
        <f t="shared" si="14"/>
        <v>#N/A</v>
      </c>
      <c r="X37" s="1265"/>
      <c r="Y37" s="3376"/>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4"/>
      <c r="Q38" s="530" t="str">
        <f t="shared" si="11"/>
        <v>写字楼等级</v>
      </c>
      <c r="R38" s="664" t="s">
        <v>14</v>
      </c>
      <c r="S38" s="665">
        <f t="shared" si="12"/>
        <v>100</v>
      </c>
      <c r="T38" s="664" t="s">
        <v>14</v>
      </c>
      <c r="U38" s="665">
        <f t="shared" si="13"/>
        <v>100</v>
      </c>
      <c r="V38" s="664" t="s">
        <v>14</v>
      </c>
      <c r="W38" s="665">
        <f t="shared" si="14"/>
        <v>100</v>
      </c>
      <c r="X38" s="666"/>
      <c r="Y38" s="337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4" t="s">
        <v>1696</v>
      </c>
      <c r="Q39" s="1263" t="str">
        <f t="shared" si="11"/>
        <v>物业管理</v>
      </c>
      <c r="R39" s="667" t="s">
        <v>14</v>
      </c>
      <c r="S39" s="668">
        <f t="shared" si="12"/>
        <v>100</v>
      </c>
      <c r="T39" s="667" t="s">
        <v>14</v>
      </c>
      <c r="U39" s="668">
        <f t="shared" si="13"/>
        <v>100</v>
      </c>
      <c r="V39" s="667" t="s">
        <v>14</v>
      </c>
      <c r="W39" s="668">
        <f t="shared" si="14"/>
        <v>100</v>
      </c>
      <c r="X39" s="1265"/>
      <c r="Y39" s="3376"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4"/>
      <c r="Q40" s="1263" t="str">
        <f t="shared" si="11"/>
        <v>市政基础设施</v>
      </c>
      <c r="R40" s="667" t="s">
        <v>14</v>
      </c>
      <c r="S40" s="668">
        <f t="shared" si="12"/>
        <v>100</v>
      </c>
      <c r="T40" s="667" t="s">
        <v>14</v>
      </c>
      <c r="U40" s="668">
        <f t="shared" si="13"/>
        <v>100</v>
      </c>
      <c r="V40" s="667" t="s">
        <v>14</v>
      </c>
      <c r="W40" s="668">
        <f t="shared" si="14"/>
        <v>100</v>
      </c>
      <c r="X40" s="1265"/>
      <c r="Y40" s="3376"/>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4"/>
      <c r="Q41" s="1263" t="str">
        <f t="shared" si="11"/>
        <v>层高</v>
      </c>
      <c r="R41" s="667" t="s">
        <v>14</v>
      </c>
      <c r="S41" s="668">
        <f t="shared" si="12"/>
        <v>100</v>
      </c>
      <c r="T41" s="667" t="s">
        <v>14</v>
      </c>
      <c r="U41" s="668">
        <f t="shared" si="13"/>
        <v>100</v>
      </c>
      <c r="V41" s="667" t="s">
        <v>14</v>
      </c>
      <c r="W41" s="668">
        <f t="shared" si="14"/>
        <v>100</v>
      </c>
      <c r="X41" s="1265"/>
      <c r="Y41" s="3376"/>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4"/>
      <c r="Q42" s="531" t="str">
        <f t="shared" si="11"/>
        <v>单套建筑面积</v>
      </c>
      <c r="R42" s="669" t="s">
        <v>14</v>
      </c>
      <c r="S42" s="670">
        <f t="shared" si="12"/>
        <v>100</v>
      </c>
      <c r="T42" s="669" t="s">
        <v>14</v>
      </c>
      <c r="U42" s="670">
        <f t="shared" si="13"/>
        <v>100</v>
      </c>
      <c r="V42" s="669" t="s">
        <v>14</v>
      </c>
      <c r="W42" s="670">
        <f t="shared" si="14"/>
        <v>100</v>
      </c>
      <c r="X42" s="671"/>
      <c r="Y42" s="3376"/>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4"/>
      <c r="Q43" s="1263" t="str">
        <f t="shared" si="11"/>
        <v>内部装修</v>
      </c>
      <c r="R43" s="667" t="s">
        <v>14</v>
      </c>
      <c r="S43" s="668">
        <f t="shared" si="12"/>
        <v>100</v>
      </c>
      <c r="T43" s="667" t="s">
        <v>14</v>
      </c>
      <c r="U43" s="668">
        <f t="shared" si="13"/>
        <v>100</v>
      </c>
      <c r="V43" s="667" t="s">
        <v>14</v>
      </c>
      <c r="W43" s="668">
        <f t="shared" si="14"/>
        <v>100</v>
      </c>
      <c r="X43" s="1265"/>
      <c r="Y43" s="3376"/>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74"/>
      <c r="Q44" s="1263" t="str">
        <f t="shared" si="11"/>
        <v>内部装修维护情况</v>
      </c>
      <c r="R44" s="667" t="s">
        <v>14</v>
      </c>
      <c r="S44" s="668">
        <f t="shared" si="12"/>
        <v>100</v>
      </c>
      <c r="T44" s="667" t="s">
        <v>14</v>
      </c>
      <c r="U44" s="668">
        <f t="shared" si="13"/>
        <v>100</v>
      </c>
      <c r="V44" s="667" t="s">
        <v>14</v>
      </c>
      <c r="W44" s="668">
        <f t="shared" si="14"/>
        <v>100</v>
      </c>
      <c r="X44" s="1265"/>
      <c r="Y44" s="3376"/>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4"/>
      <c r="Q45" s="530">
        <f t="shared" si="11"/>
        <v>111</v>
      </c>
      <c r="R45" s="664" t="s">
        <v>14</v>
      </c>
      <c r="S45" s="665">
        <f t="shared" si="12"/>
        <v>100</v>
      </c>
      <c r="T45" s="664" t="s">
        <v>14</v>
      </c>
      <c r="U45" s="665">
        <f t="shared" si="13"/>
        <v>100</v>
      </c>
      <c r="V45" s="664" t="s">
        <v>14</v>
      </c>
      <c r="W45" s="665">
        <f t="shared" si="14"/>
        <v>100</v>
      </c>
      <c r="X45" s="666"/>
      <c r="Y45" s="337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5"/>
      <c r="Q47" s="1263">
        <f t="shared" si="11"/>
        <v>111</v>
      </c>
      <c r="R47" s="667" t="s">
        <v>14</v>
      </c>
      <c r="S47" s="668">
        <f t="shared" si="12"/>
        <v>100</v>
      </c>
      <c r="T47" s="667" t="s">
        <v>14</v>
      </c>
      <c r="U47" s="668">
        <f t="shared" si="13"/>
        <v>100</v>
      </c>
      <c r="V47" s="667" t="s">
        <v>14</v>
      </c>
      <c r="W47" s="668">
        <f t="shared" si="14"/>
        <v>100</v>
      </c>
      <c r="X47" s="1265"/>
      <c r="Y47" s="3377"/>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0" t="str">
        <f>A48</f>
        <v>成交单价（元/平方米）</v>
      </c>
      <c r="Q48" s="3369"/>
      <c r="R48" s="3370">
        <f>E48</f>
        <v>0</v>
      </c>
      <c r="S48" s="3370"/>
      <c r="T48" s="3370">
        <f>G48</f>
        <v>0</v>
      </c>
      <c r="U48" s="3370"/>
      <c r="V48" s="3370">
        <f>I48</f>
        <v>0</v>
      </c>
      <c r="W48" s="3370"/>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0" t="str">
        <f>A49</f>
        <v>比较价值（元/平方米）</v>
      </c>
      <c r="Q49" s="3369"/>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209.06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0" t="s">
        <v>1673</v>
      </c>
      <c r="D5" s="3403"/>
      <c r="E5" s="3431" t="s">
        <v>1674</v>
      </c>
      <c r="F5" s="3432"/>
      <c r="G5" s="3430" t="s">
        <v>1675</v>
      </c>
      <c r="H5" s="3403"/>
      <c r="I5" s="3430" t="s">
        <v>1676</v>
      </c>
      <c r="J5" s="3403"/>
      <c r="K5" s="537"/>
      <c r="L5" s="860"/>
      <c r="M5" s="861"/>
      <c r="N5" s="861"/>
      <c r="O5" s="861"/>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860"/>
      <c r="M6" s="861"/>
      <c r="N6" s="861"/>
      <c r="O6" s="861"/>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45911</v>
      </c>
      <c r="D7" s="355">
        <v>100</v>
      </c>
      <c r="E7" s="356"/>
      <c r="F7" s="357">
        <f>SUMIF(52:52,YEAR(E7)&amp;"-"&amp;MONTH(E7),53:53)</f>
        <v>0</v>
      </c>
      <c r="G7" s="356"/>
      <c r="H7" s="355">
        <f>SUMIF(52:52,YEAR(G7)&amp;"-"&amp;MONTH(G7),53:53)</f>
        <v>0</v>
      </c>
      <c r="I7" s="356"/>
      <c r="J7" s="355">
        <f>SUMIF(52:52,YEAR(I7)&amp;"-"&amp;MONTH(I7),53:53)</f>
        <v>0</v>
      </c>
      <c r="K7" s="38"/>
      <c r="L7" s="862"/>
      <c r="M7" s="863"/>
      <c r="N7" s="863"/>
      <c r="O7" s="863"/>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1" t="s">
        <v>1691</v>
      </c>
      <c r="Q15" s="1263" t="str">
        <f t="shared" si="6"/>
        <v>产业集聚程度</v>
      </c>
      <c r="R15" s="667" t="s">
        <v>14</v>
      </c>
      <c r="S15" s="668">
        <f t="shared" si="0"/>
        <v>100</v>
      </c>
      <c r="T15" s="667" t="s">
        <v>14</v>
      </c>
      <c r="U15" s="668">
        <f t="shared" si="1"/>
        <v>100</v>
      </c>
      <c r="V15" s="667" t="s">
        <v>14</v>
      </c>
      <c r="W15" s="668">
        <f t="shared" si="2"/>
        <v>100</v>
      </c>
      <c r="X15" s="1265"/>
      <c r="Y15" s="337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2"/>
      <c r="Q16" s="1263"/>
      <c r="R16" s="667"/>
      <c r="S16" s="668"/>
      <c r="T16" s="667"/>
      <c r="U16" s="668"/>
      <c r="V16" s="667"/>
      <c r="W16" s="668"/>
      <c r="X16" s="1265"/>
      <c r="Y16" s="337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2"/>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2"/>
      <c r="Q18" s="1263"/>
      <c r="R18" s="667"/>
      <c r="S18" s="668"/>
      <c r="T18" s="667"/>
      <c r="U18" s="668"/>
      <c r="V18" s="667"/>
      <c r="W18" s="668"/>
      <c r="X18" s="1265"/>
      <c r="Y18" s="337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2"/>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2"/>
      <c r="Q20" s="1263"/>
      <c r="R20" s="667"/>
      <c r="S20" s="668"/>
      <c r="T20" s="667"/>
      <c r="U20" s="668"/>
      <c r="V20" s="667"/>
      <c r="W20" s="668"/>
      <c r="X20" s="1265"/>
      <c r="Y20" s="337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2"/>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2"/>
      <c r="Q22" s="1263"/>
      <c r="R22" s="667"/>
      <c r="S22" s="668"/>
      <c r="T22" s="667"/>
      <c r="U22" s="668"/>
      <c r="V22" s="667"/>
      <c r="W22" s="668"/>
      <c r="X22" s="1265"/>
      <c r="Y22" s="337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2"/>
      <c r="Q23" s="1263" t="str">
        <f>B23</f>
        <v>环境质量</v>
      </c>
      <c r="R23" s="667" t="s">
        <v>14</v>
      </c>
      <c r="S23" s="668">
        <f>F23</f>
        <v>100</v>
      </c>
      <c r="T23" s="667" t="s">
        <v>14</v>
      </c>
      <c r="U23" s="668">
        <f>H23</f>
        <v>100</v>
      </c>
      <c r="V23" s="667" t="s">
        <v>14</v>
      </c>
      <c r="W23" s="668">
        <f>J23</f>
        <v>100</v>
      </c>
      <c r="X23" s="1265"/>
      <c r="Y23" s="337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2"/>
      <c r="Q24" s="1263"/>
      <c r="R24" s="667"/>
      <c r="S24" s="668"/>
      <c r="T24" s="667"/>
      <c r="U24" s="668"/>
      <c r="V24" s="667"/>
      <c r="W24" s="668"/>
      <c r="X24" s="1265"/>
      <c r="Y24" s="337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2"/>
      <c r="Q25" s="1263">
        <f>B25</f>
        <v>111</v>
      </c>
      <c r="R25" s="667" t="s">
        <v>14</v>
      </c>
      <c r="S25" s="668">
        <f>F25</f>
        <v>100</v>
      </c>
      <c r="T25" s="667" t="s">
        <v>14</v>
      </c>
      <c r="U25" s="668">
        <f>H25</f>
        <v>100</v>
      </c>
      <c r="V25" s="667" t="s">
        <v>14</v>
      </c>
      <c r="W25" s="668">
        <f>J25</f>
        <v>100</v>
      </c>
      <c r="X25" s="1265"/>
      <c r="Y25" s="337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2"/>
      <c r="Q26" s="1263">
        <f t="shared" ref="Q26:Q40" si="11">B26</f>
        <v>111</v>
      </c>
      <c r="R26" s="667" t="s">
        <v>14</v>
      </c>
      <c r="S26" s="668">
        <f>F26</f>
        <v>100</v>
      </c>
      <c r="T26" s="667" t="s">
        <v>14</v>
      </c>
      <c r="U26" s="668">
        <f>H26</f>
        <v>100</v>
      </c>
      <c r="V26" s="667" t="s">
        <v>14</v>
      </c>
      <c r="W26" s="668">
        <f>J26</f>
        <v>100</v>
      </c>
      <c r="X26" s="1265"/>
      <c r="Y26" s="337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2"/>
      <c r="Q27" s="530">
        <f t="shared" si="11"/>
        <v>111</v>
      </c>
      <c r="R27" s="664" t="s">
        <v>14</v>
      </c>
      <c r="S27" s="665">
        <f>F27</f>
        <v>100</v>
      </c>
      <c r="T27" s="664" t="s">
        <v>14</v>
      </c>
      <c r="U27" s="665">
        <f>H27</f>
        <v>100</v>
      </c>
      <c r="V27" s="664" t="s">
        <v>14</v>
      </c>
      <c r="W27" s="665">
        <f>J27</f>
        <v>100</v>
      </c>
      <c r="X27" s="666"/>
      <c r="Y27" s="337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2"/>
      <c r="Q28" s="1263">
        <f t="shared" si="11"/>
        <v>111</v>
      </c>
      <c r="R28" s="667" t="s">
        <v>14</v>
      </c>
      <c r="S28" s="668">
        <f t="shared" ref="S28:S40" si="12">F28</f>
        <v>100</v>
      </c>
      <c r="T28" s="667" t="s">
        <v>14</v>
      </c>
      <c r="U28" s="668">
        <f t="shared" ref="U28:U40" si="13">H28</f>
        <v>100</v>
      </c>
      <c r="V28" s="667" t="s">
        <v>14</v>
      </c>
      <c r="W28" s="668">
        <f t="shared" ref="W28:W40" si="14">J28</f>
        <v>100</v>
      </c>
      <c r="X28" s="1265"/>
      <c r="Y28" s="337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37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6"/>
      <c r="Q30" s="531" t="str">
        <f t="shared" si="11"/>
        <v>项目建筑规模</v>
      </c>
      <c r="R30" s="669" t="s">
        <v>14</v>
      </c>
      <c r="S30" s="670" t="e">
        <f t="shared" si="12"/>
        <v>#N/A</v>
      </c>
      <c r="T30" s="669" t="s">
        <v>14</v>
      </c>
      <c r="U30" s="670" t="e">
        <f t="shared" si="13"/>
        <v>#N/A</v>
      </c>
      <c r="V30" s="669" t="s">
        <v>14</v>
      </c>
      <c r="W30" s="670" t="e">
        <f t="shared" si="14"/>
        <v>#N/A</v>
      </c>
      <c r="X30" s="671"/>
      <c r="Y30" s="337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6"/>
      <c r="Q31" s="1263" t="str">
        <f t="shared" si="11"/>
        <v>建筑结构</v>
      </c>
      <c r="R31" s="667" t="s">
        <v>14</v>
      </c>
      <c r="S31" s="668">
        <f t="shared" si="12"/>
        <v>100</v>
      </c>
      <c r="T31" s="667" t="s">
        <v>14</v>
      </c>
      <c r="U31" s="668">
        <f t="shared" si="13"/>
        <v>100</v>
      </c>
      <c r="V31" s="667" t="s">
        <v>14</v>
      </c>
      <c r="W31" s="668">
        <f t="shared" si="14"/>
        <v>100</v>
      </c>
      <c r="X31" s="1265"/>
      <c r="Y31" s="337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6"/>
      <c r="Q32" s="1263" t="str">
        <f t="shared" si="11"/>
        <v>公共部分装修</v>
      </c>
      <c r="R32" s="667" t="s">
        <v>14</v>
      </c>
      <c r="S32" s="668">
        <f t="shared" si="12"/>
        <v>100</v>
      </c>
      <c r="T32" s="667" t="s">
        <v>14</v>
      </c>
      <c r="U32" s="668">
        <f t="shared" si="13"/>
        <v>100</v>
      </c>
      <c r="V32" s="667" t="s">
        <v>14</v>
      </c>
      <c r="W32" s="668">
        <f t="shared" si="14"/>
        <v>100</v>
      </c>
      <c r="X32" s="1265"/>
      <c r="Y32" s="337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6"/>
      <c r="Q33" s="1263" t="str">
        <f t="shared" si="11"/>
        <v>成新度</v>
      </c>
      <c r="R33" s="667" t="s">
        <v>14</v>
      </c>
      <c r="S33" s="668" t="e">
        <f t="shared" si="12"/>
        <v>#N/A</v>
      </c>
      <c r="T33" s="667" t="s">
        <v>14</v>
      </c>
      <c r="U33" s="668" t="e">
        <f t="shared" si="13"/>
        <v>#N/A</v>
      </c>
      <c r="V33" s="667" t="s">
        <v>14</v>
      </c>
      <c r="W33" s="668" t="e">
        <f t="shared" si="14"/>
        <v>#N/A</v>
      </c>
      <c r="X33" s="1265"/>
      <c r="Y33" s="337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6"/>
      <c r="Q34" s="530" t="str">
        <f t="shared" si="11"/>
        <v>物业管理</v>
      </c>
      <c r="R34" s="664" t="s">
        <v>14</v>
      </c>
      <c r="S34" s="665">
        <f t="shared" si="12"/>
        <v>100</v>
      </c>
      <c r="T34" s="664" t="s">
        <v>14</v>
      </c>
      <c r="U34" s="665">
        <f t="shared" si="13"/>
        <v>100</v>
      </c>
      <c r="V34" s="664" t="s">
        <v>14</v>
      </c>
      <c r="W34" s="665">
        <f t="shared" si="14"/>
        <v>100</v>
      </c>
      <c r="X34" s="666"/>
      <c r="Y34" s="337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6" t="s">
        <v>1696</v>
      </c>
      <c r="Q35" s="1263" t="str">
        <f t="shared" si="11"/>
        <v>市政基础设施</v>
      </c>
      <c r="R35" s="667" t="s">
        <v>14</v>
      </c>
      <c r="S35" s="668">
        <f t="shared" si="12"/>
        <v>100</v>
      </c>
      <c r="T35" s="667" t="s">
        <v>14</v>
      </c>
      <c r="U35" s="668">
        <f t="shared" si="13"/>
        <v>100</v>
      </c>
      <c r="V35" s="667" t="s">
        <v>14</v>
      </c>
      <c r="W35" s="668">
        <f t="shared" si="14"/>
        <v>100</v>
      </c>
      <c r="X35" s="1265"/>
      <c r="Y35" s="337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6"/>
      <c r="Q36" s="1263" t="str">
        <f t="shared" si="11"/>
        <v>内部装修</v>
      </c>
      <c r="R36" s="667" t="s">
        <v>14</v>
      </c>
      <c r="S36" s="668">
        <f t="shared" si="12"/>
        <v>100</v>
      </c>
      <c r="T36" s="667" t="s">
        <v>14</v>
      </c>
      <c r="U36" s="668">
        <f t="shared" si="13"/>
        <v>100</v>
      </c>
      <c r="V36" s="667" t="s">
        <v>14</v>
      </c>
      <c r="W36" s="668">
        <f t="shared" si="14"/>
        <v>100</v>
      </c>
      <c r="X36" s="1265"/>
      <c r="Y36" s="337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6"/>
      <c r="Q37" s="1263" t="str">
        <f t="shared" si="11"/>
        <v>内部装修状况</v>
      </c>
      <c r="R37" s="667" t="s">
        <v>14</v>
      </c>
      <c r="S37" s="668">
        <f t="shared" si="12"/>
        <v>100</v>
      </c>
      <c r="T37" s="667" t="s">
        <v>14</v>
      </c>
      <c r="U37" s="668">
        <f t="shared" si="13"/>
        <v>100</v>
      </c>
      <c r="V37" s="667" t="s">
        <v>14</v>
      </c>
      <c r="W37" s="668">
        <f t="shared" si="14"/>
        <v>100</v>
      </c>
      <c r="X37" s="1265"/>
      <c r="Y37" s="337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6"/>
      <c r="Q38" s="531">
        <f t="shared" si="11"/>
        <v>111</v>
      </c>
      <c r="R38" s="669" t="s">
        <v>14</v>
      </c>
      <c r="S38" s="670">
        <f t="shared" si="12"/>
        <v>100</v>
      </c>
      <c r="T38" s="669" t="s">
        <v>14</v>
      </c>
      <c r="U38" s="670">
        <f t="shared" si="13"/>
        <v>100</v>
      </c>
      <c r="V38" s="669" t="s">
        <v>14</v>
      </c>
      <c r="W38" s="670">
        <f t="shared" si="14"/>
        <v>100</v>
      </c>
      <c r="X38" s="671"/>
      <c r="Y38" s="337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6"/>
      <c r="Q39" s="1263">
        <f t="shared" si="11"/>
        <v>111</v>
      </c>
      <c r="R39" s="667" t="s">
        <v>14</v>
      </c>
      <c r="S39" s="668">
        <f t="shared" si="12"/>
        <v>100</v>
      </c>
      <c r="T39" s="667" t="s">
        <v>14</v>
      </c>
      <c r="U39" s="668">
        <f t="shared" si="13"/>
        <v>100</v>
      </c>
      <c r="V39" s="667" t="s">
        <v>14</v>
      </c>
      <c r="W39" s="668">
        <f t="shared" si="14"/>
        <v>100</v>
      </c>
      <c r="X39" s="1265"/>
      <c r="Y39" s="337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7"/>
      <c r="Q40" s="1263">
        <f t="shared" si="11"/>
        <v>111</v>
      </c>
      <c r="R40" s="667" t="s">
        <v>14</v>
      </c>
      <c r="S40" s="668">
        <f t="shared" si="12"/>
        <v>100</v>
      </c>
      <c r="T40" s="667" t="s">
        <v>14</v>
      </c>
      <c r="U40" s="668">
        <f t="shared" si="13"/>
        <v>100</v>
      </c>
      <c r="V40" s="667" t="s">
        <v>14</v>
      </c>
      <c r="W40" s="668">
        <f t="shared" si="14"/>
        <v>100</v>
      </c>
      <c r="X40" s="1265"/>
      <c r="Y40" s="337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0" t="s">
        <v>1673</v>
      </c>
      <c r="D5" s="3403"/>
      <c r="E5" s="3431" t="s">
        <v>1674</v>
      </c>
      <c r="F5" s="3432"/>
      <c r="G5" s="3430" t="s">
        <v>1675</v>
      </c>
      <c r="H5" s="3403"/>
      <c r="I5" s="3430" t="s">
        <v>1676</v>
      </c>
      <c r="J5" s="3403"/>
      <c r="K5" s="537"/>
      <c r="L5" s="2486"/>
      <c r="M5" s="2487"/>
      <c r="N5" s="2487"/>
      <c r="O5" s="2487"/>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45911</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9"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9"/>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9"/>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9"/>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9"/>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1" t="s">
        <v>1691</v>
      </c>
      <c r="Q14" s="1263" t="str">
        <f t="shared" si="6"/>
        <v>交通便捷度</v>
      </c>
      <c r="R14" s="667" t="s">
        <v>14</v>
      </c>
      <c r="S14" s="668">
        <f t="shared" si="0"/>
        <v>100</v>
      </c>
      <c r="T14" s="667" t="s">
        <v>14</v>
      </c>
      <c r="U14" s="668">
        <f t="shared" si="1"/>
        <v>100</v>
      </c>
      <c r="V14" s="667" t="s">
        <v>14</v>
      </c>
      <c r="W14" s="668">
        <f t="shared" si="2"/>
        <v>100</v>
      </c>
      <c r="X14" s="1265"/>
      <c r="Y14" s="337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2"/>
      <c r="Q15" s="1263"/>
      <c r="R15" s="667"/>
      <c r="S15" s="668"/>
      <c r="T15" s="667"/>
      <c r="U15" s="668"/>
      <c r="V15" s="667"/>
      <c r="W15" s="668"/>
      <c r="X15" s="1265"/>
      <c r="Y15" s="337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2"/>
      <c r="Q16" s="1263" t="str">
        <f>B16</f>
        <v>公共配套设施</v>
      </c>
      <c r="R16" s="667" t="s">
        <v>14</v>
      </c>
      <c r="S16" s="668">
        <f>F16</f>
        <v>100</v>
      </c>
      <c r="T16" s="667" t="s">
        <v>14</v>
      </c>
      <c r="U16" s="668">
        <f>H16</f>
        <v>100</v>
      </c>
      <c r="V16" s="667" t="s">
        <v>14</v>
      </c>
      <c r="W16" s="668">
        <f>J16</f>
        <v>100</v>
      </c>
      <c r="X16" s="1265"/>
      <c r="Y16" s="337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2"/>
      <c r="Q17" s="1263"/>
      <c r="R17" s="667"/>
      <c r="S17" s="668"/>
      <c r="T17" s="667"/>
      <c r="U17" s="668"/>
      <c r="V17" s="667"/>
      <c r="W17" s="668"/>
      <c r="X17" s="1265"/>
      <c r="Y17" s="337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2"/>
      <c r="Q18" s="1263" t="str">
        <f>B18</f>
        <v>基础设施水平</v>
      </c>
      <c r="R18" s="667" t="s">
        <v>14</v>
      </c>
      <c r="S18" s="668">
        <f>F18</f>
        <v>100</v>
      </c>
      <c r="T18" s="667" t="s">
        <v>14</v>
      </c>
      <c r="U18" s="668">
        <f>H18</f>
        <v>100</v>
      </c>
      <c r="V18" s="667" t="s">
        <v>14</v>
      </c>
      <c r="W18" s="668">
        <f>J18</f>
        <v>100</v>
      </c>
      <c r="X18" s="1265"/>
      <c r="Y18" s="337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2"/>
      <c r="Q19" s="1263"/>
      <c r="R19" s="667"/>
      <c r="S19" s="668"/>
      <c r="T19" s="667"/>
      <c r="U19" s="668"/>
      <c r="V19" s="667"/>
      <c r="W19" s="668"/>
      <c r="X19" s="1265"/>
      <c r="Y19" s="337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2"/>
      <c r="Q20" s="1263" t="str">
        <f>B20</f>
        <v>自然及人文环境</v>
      </c>
      <c r="R20" s="667" t="s">
        <v>14</v>
      </c>
      <c r="S20" s="668">
        <f>F20</f>
        <v>100</v>
      </c>
      <c r="T20" s="667" t="s">
        <v>14</v>
      </c>
      <c r="U20" s="668">
        <f>H20</f>
        <v>100</v>
      </c>
      <c r="V20" s="667" t="s">
        <v>14</v>
      </c>
      <c r="W20" s="668">
        <f>J20</f>
        <v>100</v>
      </c>
      <c r="X20" s="1265"/>
      <c r="Y20" s="337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2"/>
      <c r="Q21" s="1263"/>
      <c r="R21" s="667"/>
      <c r="S21" s="668"/>
      <c r="T21" s="667"/>
      <c r="U21" s="668"/>
      <c r="V21" s="667"/>
      <c r="W21" s="668"/>
      <c r="X21" s="1265"/>
      <c r="Y21" s="337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2"/>
      <c r="Q22" s="1263" t="str">
        <f>B22</f>
        <v>楼层</v>
      </c>
      <c r="R22" s="667" t="s">
        <v>14</v>
      </c>
      <c r="S22" s="668">
        <f>F22</f>
        <v>100</v>
      </c>
      <c r="T22" s="667" t="s">
        <v>14</v>
      </c>
      <c r="U22" s="668">
        <f>H22</f>
        <v>100</v>
      </c>
      <c r="V22" s="667" t="s">
        <v>14</v>
      </c>
      <c r="W22" s="668">
        <f>J22</f>
        <v>100</v>
      </c>
      <c r="X22" s="1265"/>
      <c r="Y22" s="337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2"/>
      <c r="Q23" s="1263">
        <f>B23</f>
        <v>111</v>
      </c>
      <c r="R23" s="667" t="s">
        <v>14</v>
      </c>
      <c r="S23" s="668">
        <f>F23</f>
        <v>100</v>
      </c>
      <c r="T23" s="667" t="s">
        <v>14</v>
      </c>
      <c r="U23" s="668">
        <f>H23</f>
        <v>100</v>
      </c>
      <c r="V23" s="667" t="s">
        <v>14</v>
      </c>
      <c r="W23" s="668">
        <f>J23</f>
        <v>100</v>
      </c>
      <c r="X23" s="1265"/>
      <c r="Y23" s="337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2"/>
      <c r="Q24" s="1263">
        <f t="shared" ref="Q24:Q36" si="11">B24</f>
        <v>111</v>
      </c>
      <c r="R24" s="667" t="s">
        <v>14</v>
      </c>
      <c r="S24" s="668">
        <f>F24</f>
        <v>100</v>
      </c>
      <c r="T24" s="667" t="s">
        <v>14</v>
      </c>
      <c r="U24" s="668">
        <f>H24</f>
        <v>100</v>
      </c>
      <c r="V24" s="667" t="s">
        <v>14</v>
      </c>
      <c r="W24" s="668">
        <f>J24</f>
        <v>100</v>
      </c>
      <c r="X24" s="1265"/>
      <c r="Y24" s="337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2"/>
      <c r="Q25" s="530">
        <f t="shared" si="11"/>
        <v>111</v>
      </c>
      <c r="R25" s="664" t="s">
        <v>14</v>
      </c>
      <c r="S25" s="665">
        <f>F25</f>
        <v>100</v>
      </c>
      <c r="T25" s="664" t="s">
        <v>14</v>
      </c>
      <c r="U25" s="665">
        <f>H25</f>
        <v>100</v>
      </c>
      <c r="V25" s="664" t="s">
        <v>14</v>
      </c>
      <c r="W25" s="665">
        <f>J25</f>
        <v>100</v>
      </c>
      <c r="X25" s="666"/>
      <c r="Y25" s="3372"/>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6"/>
      <c r="Q27" s="531" t="str">
        <f t="shared" si="11"/>
        <v>项目停车位配比</v>
      </c>
      <c r="R27" s="669" t="s">
        <v>14</v>
      </c>
      <c r="S27" s="670">
        <f t="shared" si="12"/>
        <v>100</v>
      </c>
      <c r="T27" s="669" t="s">
        <v>14</v>
      </c>
      <c r="U27" s="670">
        <f t="shared" si="13"/>
        <v>100</v>
      </c>
      <c r="V27" s="669" t="s">
        <v>14</v>
      </c>
      <c r="W27" s="670">
        <f t="shared" si="14"/>
        <v>100</v>
      </c>
      <c r="X27" s="671"/>
      <c r="Y27" s="337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6"/>
      <c r="Q28" s="1263" t="str">
        <f t="shared" si="11"/>
        <v>公共部分装修</v>
      </c>
      <c r="R28" s="667" t="s">
        <v>14</v>
      </c>
      <c r="S28" s="668">
        <f t="shared" si="12"/>
        <v>100</v>
      </c>
      <c r="T28" s="667" t="s">
        <v>14</v>
      </c>
      <c r="U28" s="668">
        <f t="shared" si="13"/>
        <v>100</v>
      </c>
      <c r="V28" s="667" t="s">
        <v>14</v>
      </c>
      <c r="W28" s="668">
        <f t="shared" si="14"/>
        <v>100</v>
      </c>
      <c r="X28" s="1265"/>
      <c r="Y28" s="337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6"/>
      <c r="Q29" s="1263" t="str">
        <f t="shared" si="11"/>
        <v>成新率</v>
      </c>
      <c r="R29" s="667" t="s">
        <v>14</v>
      </c>
      <c r="S29" s="668" t="e">
        <f t="shared" si="12"/>
        <v>#N/A</v>
      </c>
      <c r="T29" s="667" t="s">
        <v>14</v>
      </c>
      <c r="U29" s="668" t="e">
        <f t="shared" si="13"/>
        <v>#N/A</v>
      </c>
      <c r="V29" s="667" t="s">
        <v>14</v>
      </c>
      <c r="W29" s="668" t="e">
        <f t="shared" si="14"/>
        <v>#N/A</v>
      </c>
      <c r="X29" s="1265"/>
      <c r="Y29" s="337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6"/>
      <c r="Q30" s="1263" t="str">
        <f t="shared" si="11"/>
        <v>物业等级</v>
      </c>
      <c r="R30" s="667" t="s">
        <v>14</v>
      </c>
      <c r="S30" s="668">
        <f t="shared" si="12"/>
        <v>100</v>
      </c>
      <c r="T30" s="667" t="s">
        <v>14</v>
      </c>
      <c r="U30" s="668">
        <f t="shared" si="13"/>
        <v>100</v>
      </c>
      <c r="V30" s="667" t="s">
        <v>14</v>
      </c>
      <c r="W30" s="668">
        <f t="shared" si="14"/>
        <v>100</v>
      </c>
      <c r="X30" s="1265"/>
      <c r="Y30" s="337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6"/>
      <c r="Q31" s="530" t="str">
        <f t="shared" si="11"/>
        <v>停车位面积</v>
      </c>
      <c r="R31" s="664" t="s">
        <v>14</v>
      </c>
      <c r="S31" s="665" t="e">
        <f t="shared" si="12"/>
        <v>#N/A</v>
      </c>
      <c r="T31" s="664" t="s">
        <v>14</v>
      </c>
      <c r="U31" s="665" t="e">
        <f t="shared" si="13"/>
        <v>#N/A</v>
      </c>
      <c r="V31" s="664" t="s">
        <v>14</v>
      </c>
      <c r="W31" s="665" t="e">
        <f t="shared" si="14"/>
        <v>#N/A</v>
      </c>
      <c r="X31" s="666"/>
      <c r="Y31" s="337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6" t="s">
        <v>1696</v>
      </c>
      <c r="Q32" s="1263" t="str">
        <f t="shared" si="11"/>
        <v>车位类型</v>
      </c>
      <c r="R32" s="667" t="s">
        <v>14</v>
      </c>
      <c r="S32" s="668">
        <f t="shared" si="12"/>
        <v>100</v>
      </c>
      <c r="T32" s="667" t="s">
        <v>14</v>
      </c>
      <c r="U32" s="668">
        <f t="shared" si="13"/>
        <v>100</v>
      </c>
      <c r="V32" s="667" t="s">
        <v>14</v>
      </c>
      <c r="W32" s="668">
        <f t="shared" si="14"/>
        <v>100</v>
      </c>
      <c r="X32" s="1265"/>
      <c r="Y32" s="337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6"/>
      <c r="Q33" s="1263" t="str">
        <f t="shared" si="11"/>
        <v>是否直接入户</v>
      </c>
      <c r="R33" s="667" t="s">
        <v>14</v>
      </c>
      <c r="S33" s="668">
        <f t="shared" si="12"/>
        <v>100</v>
      </c>
      <c r="T33" s="667" t="s">
        <v>14</v>
      </c>
      <c r="U33" s="668">
        <f t="shared" si="13"/>
        <v>100</v>
      </c>
      <c r="V33" s="667" t="s">
        <v>14</v>
      </c>
      <c r="W33" s="668">
        <f t="shared" si="14"/>
        <v>100</v>
      </c>
      <c r="X33" s="1265"/>
      <c r="Y33" s="337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6"/>
      <c r="Q34" s="1263">
        <f t="shared" si="11"/>
        <v>111</v>
      </c>
      <c r="R34" s="667" t="s">
        <v>14</v>
      </c>
      <c r="S34" s="668">
        <f t="shared" si="12"/>
        <v>100</v>
      </c>
      <c r="T34" s="667" t="s">
        <v>14</v>
      </c>
      <c r="U34" s="668">
        <f t="shared" si="13"/>
        <v>100</v>
      </c>
      <c r="V34" s="667" t="s">
        <v>14</v>
      </c>
      <c r="W34" s="668">
        <f t="shared" si="14"/>
        <v>100</v>
      </c>
      <c r="X34" s="1265"/>
      <c r="Y34" s="337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6"/>
      <c r="Q35" s="531">
        <f t="shared" si="11"/>
        <v>111</v>
      </c>
      <c r="R35" s="669" t="s">
        <v>14</v>
      </c>
      <c r="S35" s="670">
        <f t="shared" si="12"/>
        <v>100</v>
      </c>
      <c r="T35" s="669" t="s">
        <v>14</v>
      </c>
      <c r="U35" s="670">
        <f t="shared" si="13"/>
        <v>100</v>
      </c>
      <c r="V35" s="669" t="s">
        <v>14</v>
      </c>
      <c r="W35" s="670">
        <f t="shared" si="14"/>
        <v>100</v>
      </c>
      <c r="X35" s="671"/>
      <c r="Y35" s="337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6"/>
      <c r="Q36" s="1263">
        <f t="shared" si="11"/>
        <v>111</v>
      </c>
      <c r="R36" s="667" t="s">
        <v>14</v>
      </c>
      <c r="S36" s="668">
        <f t="shared" si="12"/>
        <v>100</v>
      </c>
      <c r="T36" s="667" t="s">
        <v>14</v>
      </c>
      <c r="U36" s="668">
        <f t="shared" si="13"/>
        <v>100</v>
      </c>
      <c r="V36" s="667" t="s">
        <v>14</v>
      </c>
      <c r="W36" s="668">
        <f t="shared" si="14"/>
        <v>100</v>
      </c>
      <c r="X36" s="1265"/>
      <c r="Y36" s="3376"/>
      <c r="Z36" s="1264">
        <f t="shared" si="15"/>
        <v>111</v>
      </c>
      <c r="AA36" s="1264">
        <f t="shared" si="3"/>
        <v>1</v>
      </c>
      <c r="AB36" s="1264">
        <f t="shared" si="4"/>
        <v>1</v>
      </c>
      <c r="AC36" s="1264">
        <f t="shared" si="5"/>
        <v>1</v>
      </c>
    </row>
    <row r="37" spans="1:29" ht="15">
      <c r="A37" s="416" t="s">
        <v>1844</v>
      </c>
      <c r="B37" s="1820" t="s">
        <v>3352</v>
      </c>
      <c r="C37" s="1081" t="s">
        <v>0</v>
      </c>
      <c r="D37" s="418"/>
      <c r="E37" s="419"/>
      <c r="F37" s="420"/>
      <c r="G37" s="421"/>
      <c r="H37" s="422"/>
      <c r="I37" s="419"/>
      <c r="J37" s="422"/>
      <c r="K37" s="545"/>
      <c r="L37" s="2494"/>
      <c r="M37" s="2487"/>
      <c r="N37" s="2487"/>
      <c r="O37" s="2487"/>
      <c r="P37" s="3369" t="str">
        <f>A37</f>
        <v>成交单价</v>
      </c>
      <c r="Q37" s="3369"/>
      <c r="R37" s="3370">
        <f>E37</f>
        <v>0</v>
      </c>
      <c r="S37" s="3370"/>
      <c r="T37" s="3370">
        <f>G37</f>
        <v>0</v>
      </c>
      <c r="U37" s="3370"/>
      <c r="V37" s="3370">
        <f>I37</f>
        <v>0</v>
      </c>
      <c r="W37" s="3370"/>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66" t="str">
        <f>A39</f>
        <v>估价对象XX用房的比较价值（楼面单价，元/平方米）</v>
      </c>
      <c r="Q39" s="3367"/>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估价对象为北京市房地产,属开发建设的居住项目，该项目尚在开发建设中。根据《国有土地使用证》[]，估价对象（分摊）出让国有建设用地使用权面积为0平方米，规划建筑面积为209.06平方米。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0" t="s">
        <v>1673</v>
      </c>
      <c r="D5" s="3403"/>
      <c r="E5" s="3431" t="s">
        <v>1674</v>
      </c>
      <c r="F5" s="3432"/>
      <c r="G5" s="3430" t="s">
        <v>1675</v>
      </c>
      <c r="H5" s="3403"/>
      <c r="I5" s="3430" t="s">
        <v>1676</v>
      </c>
      <c r="J5" s="3403"/>
      <c r="K5" s="537"/>
      <c r="L5" s="2486"/>
      <c r="M5" s="2487"/>
      <c r="N5" s="2487"/>
      <c r="O5" s="2487"/>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45911</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9"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9"/>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9"/>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9"/>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1" t="s">
        <v>1691</v>
      </c>
      <c r="Q14" s="1263" t="str">
        <f t="shared" si="6"/>
        <v>交通便捷度</v>
      </c>
      <c r="R14" s="667" t="s">
        <v>14</v>
      </c>
      <c r="S14" s="668">
        <f t="shared" si="0"/>
        <v>100</v>
      </c>
      <c r="T14" s="667" t="s">
        <v>14</v>
      </c>
      <c r="U14" s="668">
        <f t="shared" si="1"/>
        <v>100</v>
      </c>
      <c r="V14" s="667" t="s">
        <v>14</v>
      </c>
      <c r="W14" s="668">
        <f t="shared" si="2"/>
        <v>100</v>
      </c>
      <c r="X14" s="1265"/>
      <c r="Y14" s="337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2"/>
      <c r="Q15" s="1263"/>
      <c r="R15" s="667"/>
      <c r="S15" s="668"/>
      <c r="T15" s="667"/>
      <c r="U15" s="668"/>
      <c r="V15" s="667"/>
      <c r="W15" s="668"/>
      <c r="X15" s="1265"/>
      <c r="Y15" s="337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2"/>
      <c r="Q16" s="1263" t="str">
        <f>B16</f>
        <v>公共配套设施</v>
      </c>
      <c r="R16" s="667" t="s">
        <v>14</v>
      </c>
      <c r="S16" s="668">
        <f>F16</f>
        <v>100</v>
      </c>
      <c r="T16" s="667" t="s">
        <v>14</v>
      </c>
      <c r="U16" s="668">
        <f>H16</f>
        <v>100</v>
      </c>
      <c r="V16" s="667" t="s">
        <v>14</v>
      </c>
      <c r="W16" s="668">
        <f>J16</f>
        <v>100</v>
      </c>
      <c r="X16" s="1265"/>
      <c r="Y16" s="337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2"/>
      <c r="Q17" s="1263"/>
      <c r="R17" s="667"/>
      <c r="S17" s="668"/>
      <c r="T17" s="667"/>
      <c r="U17" s="668"/>
      <c r="V17" s="667"/>
      <c r="W17" s="668"/>
      <c r="X17" s="1265"/>
      <c r="Y17" s="337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2"/>
      <c r="Q18" s="1263" t="str">
        <f>B18</f>
        <v>基础设施水平</v>
      </c>
      <c r="R18" s="667" t="s">
        <v>14</v>
      </c>
      <c r="S18" s="668">
        <f>F18</f>
        <v>100</v>
      </c>
      <c r="T18" s="667" t="s">
        <v>14</v>
      </c>
      <c r="U18" s="668">
        <f>H18</f>
        <v>100</v>
      </c>
      <c r="V18" s="667" t="s">
        <v>14</v>
      </c>
      <c r="W18" s="668">
        <f>J18</f>
        <v>100</v>
      </c>
      <c r="X18" s="1265"/>
      <c r="Y18" s="337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2"/>
      <c r="Q19" s="1263"/>
      <c r="R19" s="667"/>
      <c r="S19" s="668"/>
      <c r="T19" s="667"/>
      <c r="U19" s="668"/>
      <c r="V19" s="667"/>
      <c r="W19" s="668"/>
      <c r="X19" s="1265"/>
      <c r="Y19" s="337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2"/>
      <c r="Q20" s="1263" t="str">
        <f>B20</f>
        <v>自然及人文环境</v>
      </c>
      <c r="R20" s="667" t="s">
        <v>14</v>
      </c>
      <c r="S20" s="668">
        <f>F20</f>
        <v>100</v>
      </c>
      <c r="T20" s="667" t="s">
        <v>14</v>
      </c>
      <c r="U20" s="668">
        <f>H20</f>
        <v>100</v>
      </c>
      <c r="V20" s="667" t="s">
        <v>14</v>
      </c>
      <c r="W20" s="668">
        <f>J20</f>
        <v>100</v>
      </c>
      <c r="X20" s="1265"/>
      <c r="Y20" s="337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2"/>
      <c r="Q21" s="1263"/>
      <c r="R21" s="667"/>
      <c r="S21" s="668"/>
      <c r="T21" s="667"/>
      <c r="U21" s="668"/>
      <c r="V21" s="667"/>
      <c r="W21" s="668"/>
      <c r="X21" s="1265"/>
      <c r="Y21" s="337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2"/>
      <c r="Q22" s="1263" t="str">
        <f>B22</f>
        <v>楼层</v>
      </c>
      <c r="R22" s="667" t="s">
        <v>14</v>
      </c>
      <c r="S22" s="668">
        <f>F22</f>
        <v>100</v>
      </c>
      <c r="T22" s="667" t="s">
        <v>14</v>
      </c>
      <c r="U22" s="668">
        <f>H22</f>
        <v>100</v>
      </c>
      <c r="V22" s="667" t="s">
        <v>14</v>
      </c>
      <c r="W22" s="668">
        <f>J22</f>
        <v>100</v>
      </c>
      <c r="X22" s="1265"/>
      <c r="Y22" s="337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2"/>
      <c r="Q23" s="1263">
        <f>B23</f>
        <v>111</v>
      </c>
      <c r="R23" s="667" t="s">
        <v>14</v>
      </c>
      <c r="S23" s="668">
        <f>F23</f>
        <v>100</v>
      </c>
      <c r="T23" s="667" t="s">
        <v>14</v>
      </c>
      <c r="U23" s="668">
        <f>H23</f>
        <v>100</v>
      </c>
      <c r="V23" s="667" t="s">
        <v>14</v>
      </c>
      <c r="W23" s="668">
        <f>J23</f>
        <v>100</v>
      </c>
      <c r="X23" s="1265"/>
      <c r="Y23" s="337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2"/>
      <c r="Q24" s="1263">
        <f t="shared" ref="Q24:Q34" si="11">B24</f>
        <v>111</v>
      </c>
      <c r="R24" s="667" t="s">
        <v>14</v>
      </c>
      <c r="S24" s="668">
        <f>F24</f>
        <v>100</v>
      </c>
      <c r="T24" s="667" t="s">
        <v>14</v>
      </c>
      <c r="U24" s="668">
        <f>H24</f>
        <v>100</v>
      </c>
      <c r="V24" s="667" t="s">
        <v>14</v>
      </c>
      <c r="W24" s="668">
        <f>J24</f>
        <v>100</v>
      </c>
      <c r="X24" s="1265"/>
      <c r="Y24" s="3372"/>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2"/>
      <c r="Q25" s="530">
        <f t="shared" si="11"/>
        <v>111</v>
      </c>
      <c r="R25" s="664" t="s">
        <v>14</v>
      </c>
      <c r="S25" s="665">
        <f>F25</f>
        <v>100</v>
      </c>
      <c r="T25" s="664" t="s">
        <v>14</v>
      </c>
      <c r="U25" s="665">
        <f>H25</f>
        <v>100</v>
      </c>
      <c r="V25" s="664" t="s">
        <v>14</v>
      </c>
      <c r="W25" s="665">
        <f>J25</f>
        <v>100</v>
      </c>
      <c r="X25" s="666"/>
      <c r="Y25" s="337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6"/>
      <c r="Q27" s="531" t="str">
        <f t="shared" si="11"/>
        <v>成新率</v>
      </c>
      <c r="R27" s="669" t="s">
        <v>14</v>
      </c>
      <c r="S27" s="670" t="e">
        <f t="shared" si="12"/>
        <v>#N/A</v>
      </c>
      <c r="T27" s="669" t="s">
        <v>14</v>
      </c>
      <c r="U27" s="670" t="e">
        <f t="shared" si="13"/>
        <v>#N/A</v>
      </c>
      <c r="V27" s="669" t="s">
        <v>14</v>
      </c>
      <c r="W27" s="670" t="e">
        <f t="shared" si="14"/>
        <v>#N/A</v>
      </c>
      <c r="X27" s="671"/>
      <c r="Y27" s="337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6"/>
      <c r="Q28" s="1263" t="str">
        <f t="shared" si="11"/>
        <v>物业等级</v>
      </c>
      <c r="R28" s="667" t="s">
        <v>14</v>
      </c>
      <c r="S28" s="668">
        <f t="shared" si="12"/>
        <v>100</v>
      </c>
      <c r="T28" s="667" t="s">
        <v>14</v>
      </c>
      <c r="U28" s="668">
        <f t="shared" si="13"/>
        <v>100</v>
      </c>
      <c r="V28" s="667" t="s">
        <v>14</v>
      </c>
      <c r="W28" s="668">
        <f t="shared" si="14"/>
        <v>100</v>
      </c>
      <c r="X28" s="1265"/>
      <c r="Y28" s="337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6"/>
      <c r="Q29" s="1263" t="str">
        <f t="shared" si="11"/>
        <v>有无电梯</v>
      </c>
      <c r="R29" s="667" t="s">
        <v>14</v>
      </c>
      <c r="S29" s="668">
        <f t="shared" si="12"/>
        <v>100</v>
      </c>
      <c r="T29" s="667" t="s">
        <v>14</v>
      </c>
      <c r="U29" s="668">
        <f t="shared" si="13"/>
        <v>100</v>
      </c>
      <c r="V29" s="667" t="s">
        <v>14</v>
      </c>
      <c r="W29" s="668">
        <f t="shared" si="14"/>
        <v>100</v>
      </c>
      <c r="X29" s="1265"/>
      <c r="Y29" s="337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6"/>
      <c r="Q30" s="1263" t="str">
        <f t="shared" si="11"/>
        <v>建筑面积</v>
      </c>
      <c r="R30" s="667" t="s">
        <v>14</v>
      </c>
      <c r="S30" s="668" t="e">
        <f t="shared" si="12"/>
        <v>#N/A</v>
      </c>
      <c r="T30" s="667" t="s">
        <v>14</v>
      </c>
      <c r="U30" s="668" t="e">
        <f t="shared" si="13"/>
        <v>#N/A</v>
      </c>
      <c r="V30" s="667" t="s">
        <v>14</v>
      </c>
      <c r="W30" s="668" t="e">
        <f t="shared" si="14"/>
        <v>#N/A</v>
      </c>
      <c r="X30" s="1265"/>
      <c r="Y30" s="337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6"/>
      <c r="Q31" s="530" t="str">
        <f t="shared" si="11"/>
        <v>是否封闭</v>
      </c>
      <c r="R31" s="664" t="s">
        <v>14</v>
      </c>
      <c r="S31" s="665">
        <f t="shared" si="12"/>
        <v>100</v>
      </c>
      <c r="T31" s="664" t="s">
        <v>14</v>
      </c>
      <c r="U31" s="665">
        <f t="shared" si="13"/>
        <v>100</v>
      </c>
      <c r="V31" s="664" t="s">
        <v>14</v>
      </c>
      <c r="W31" s="665">
        <f t="shared" si="14"/>
        <v>100</v>
      </c>
      <c r="X31" s="666"/>
      <c r="Y31" s="337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6" t="s">
        <v>1696</v>
      </c>
      <c r="Q32" s="1263">
        <f t="shared" si="11"/>
        <v>111</v>
      </c>
      <c r="R32" s="667" t="s">
        <v>14</v>
      </c>
      <c r="S32" s="668">
        <f t="shared" si="12"/>
        <v>100</v>
      </c>
      <c r="T32" s="667" t="s">
        <v>14</v>
      </c>
      <c r="U32" s="668">
        <f t="shared" si="13"/>
        <v>100</v>
      </c>
      <c r="V32" s="667" t="s">
        <v>14</v>
      </c>
      <c r="W32" s="668">
        <f t="shared" si="14"/>
        <v>100</v>
      </c>
      <c r="X32" s="1265"/>
      <c r="Y32" s="337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6"/>
      <c r="Q33" s="1263">
        <f t="shared" si="11"/>
        <v>111</v>
      </c>
      <c r="R33" s="667" t="s">
        <v>14</v>
      </c>
      <c r="S33" s="668">
        <f t="shared" si="12"/>
        <v>100</v>
      </c>
      <c r="T33" s="667" t="s">
        <v>14</v>
      </c>
      <c r="U33" s="668">
        <f t="shared" si="13"/>
        <v>100</v>
      </c>
      <c r="V33" s="667" t="s">
        <v>14</v>
      </c>
      <c r="W33" s="668">
        <f t="shared" si="14"/>
        <v>100</v>
      </c>
      <c r="X33" s="1265"/>
      <c r="Y33" s="3376"/>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6"/>
      <c r="Q34" s="1263">
        <f t="shared" si="11"/>
        <v>111</v>
      </c>
      <c r="R34" s="667" t="s">
        <v>14</v>
      </c>
      <c r="S34" s="668">
        <f t="shared" si="12"/>
        <v>100</v>
      </c>
      <c r="T34" s="667" t="s">
        <v>14</v>
      </c>
      <c r="U34" s="668">
        <f t="shared" si="13"/>
        <v>100</v>
      </c>
      <c r="V34" s="667" t="s">
        <v>14</v>
      </c>
      <c r="W34" s="668">
        <f t="shared" si="14"/>
        <v>100</v>
      </c>
      <c r="X34" s="1265"/>
      <c r="Y34" s="337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66" t="str">
        <f>A37</f>
        <v>估价对象XX用房的比较价值（楼面单价，元/平方米）</v>
      </c>
      <c r="Q37" s="3367"/>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0" t="s">
        <v>1673</v>
      </c>
      <c r="D5" s="3403"/>
      <c r="E5" s="3431" t="s">
        <v>1674</v>
      </c>
      <c r="F5" s="3432"/>
      <c r="G5" s="3430" t="s">
        <v>1675</v>
      </c>
      <c r="H5" s="3403"/>
      <c r="I5" s="3430" t="s">
        <v>1676</v>
      </c>
      <c r="J5" s="3403"/>
      <c r="K5" s="537"/>
      <c r="L5" s="2486"/>
      <c r="M5" s="2487"/>
      <c r="N5" s="2487"/>
      <c r="O5" s="2487"/>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45911</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9"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89"/>
      <c r="M10" s="2490"/>
      <c r="N10" s="2490"/>
      <c r="O10" s="2541"/>
      <c r="P10" s="3369"/>
      <c r="Q10" s="530" t="str">
        <f t="shared" si="6"/>
        <v>土地使用年限（年）</v>
      </c>
      <c r="R10" s="664" t="s">
        <v>14</v>
      </c>
      <c r="S10" s="665">
        <f t="shared" si="0"/>
        <v>108</v>
      </c>
      <c r="T10" s="664" t="s">
        <v>14</v>
      </c>
      <c r="U10" s="665">
        <f t="shared" si="1"/>
        <v>108</v>
      </c>
      <c r="V10" s="664" t="s">
        <v>14</v>
      </c>
      <c r="W10" s="665">
        <f t="shared" si="2"/>
        <v>108</v>
      </c>
      <c r="X10" s="666"/>
      <c r="Y10" s="326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9"/>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69"/>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9"/>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1" t="s">
        <v>1691</v>
      </c>
      <c r="Q15" s="1263" t="str">
        <f t="shared" si="6"/>
        <v>居住社区成熟度</v>
      </c>
      <c r="R15" s="667" t="s">
        <v>14</v>
      </c>
      <c r="S15" s="668">
        <f t="shared" si="0"/>
        <v>100</v>
      </c>
      <c r="T15" s="667" t="s">
        <v>14</v>
      </c>
      <c r="U15" s="668">
        <f t="shared" si="1"/>
        <v>100</v>
      </c>
      <c r="V15" s="667" t="s">
        <v>14</v>
      </c>
      <c r="W15" s="668">
        <f t="shared" si="2"/>
        <v>100</v>
      </c>
      <c r="X15" s="1265"/>
      <c r="Y15" s="337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2"/>
      <c r="Q16" s="1263"/>
      <c r="R16" s="667"/>
      <c r="S16" s="668"/>
      <c r="T16" s="667"/>
      <c r="U16" s="668"/>
      <c r="V16" s="667"/>
      <c r="W16" s="668"/>
      <c r="X16" s="1265"/>
      <c r="Y16" s="3372"/>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2"/>
      <c r="Q17" s="1263" t="str">
        <f>B17</f>
        <v>商业繁华度</v>
      </c>
      <c r="R17" s="667" t="s">
        <v>14</v>
      </c>
      <c r="S17" s="668">
        <f>F17</f>
        <v>100</v>
      </c>
      <c r="T17" s="667" t="s">
        <v>14</v>
      </c>
      <c r="U17" s="668">
        <f>H17</f>
        <v>100</v>
      </c>
      <c r="V17" s="667" t="s">
        <v>14</v>
      </c>
      <c r="W17" s="668">
        <f>J17</f>
        <v>100</v>
      </c>
      <c r="X17" s="1265"/>
      <c r="Y17" s="337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2"/>
      <c r="Q18" s="1263"/>
      <c r="R18" s="667"/>
      <c r="S18" s="668"/>
      <c r="T18" s="667"/>
      <c r="U18" s="668"/>
      <c r="V18" s="667"/>
      <c r="W18" s="668"/>
      <c r="X18" s="1265"/>
      <c r="Y18" s="3372"/>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2"/>
      <c r="Q19" s="1263" t="str">
        <f>B19</f>
        <v>办公集聚程度</v>
      </c>
      <c r="R19" s="667" t="s">
        <v>14</v>
      </c>
      <c r="S19" s="668">
        <f>F19</f>
        <v>100</v>
      </c>
      <c r="T19" s="667" t="s">
        <v>14</v>
      </c>
      <c r="U19" s="668">
        <f>H19</f>
        <v>100</v>
      </c>
      <c r="V19" s="667" t="s">
        <v>14</v>
      </c>
      <c r="W19" s="668">
        <f>J19</f>
        <v>100</v>
      </c>
      <c r="X19" s="1265"/>
      <c r="Y19" s="337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2"/>
      <c r="Q20" s="1263"/>
      <c r="R20" s="667"/>
      <c r="S20" s="668"/>
      <c r="T20" s="667"/>
      <c r="U20" s="668"/>
      <c r="V20" s="667"/>
      <c r="W20" s="668"/>
      <c r="X20" s="1265"/>
      <c r="Y20" s="337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2"/>
      <c r="Q21" s="1263" t="str">
        <f>B21</f>
        <v>交通便捷度</v>
      </c>
      <c r="R21" s="667" t="s">
        <v>14</v>
      </c>
      <c r="S21" s="668">
        <f>F21</f>
        <v>100</v>
      </c>
      <c r="T21" s="667" t="s">
        <v>14</v>
      </c>
      <c r="U21" s="668">
        <f>H21</f>
        <v>100</v>
      </c>
      <c r="V21" s="667" t="s">
        <v>14</v>
      </c>
      <c r="W21" s="668">
        <f>J21</f>
        <v>100</v>
      </c>
      <c r="X21" s="1265"/>
      <c r="Y21" s="337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2"/>
      <c r="Q22" s="1263"/>
      <c r="R22" s="667"/>
      <c r="S22" s="668"/>
      <c r="T22" s="667"/>
      <c r="U22" s="668"/>
      <c r="V22" s="667"/>
      <c r="W22" s="668"/>
      <c r="X22" s="1265"/>
      <c r="Y22" s="337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2"/>
      <c r="Q23" s="1263" t="str">
        <f t="shared" ref="Q23:Q37" si="8">B23</f>
        <v>区域土地利用方向</v>
      </c>
      <c r="R23" s="667" t="s">
        <v>14</v>
      </c>
      <c r="S23" s="668">
        <f>F23</f>
        <v>100</v>
      </c>
      <c r="T23" s="667" t="s">
        <v>14</v>
      </c>
      <c r="U23" s="668">
        <f>H23</f>
        <v>100</v>
      </c>
      <c r="V23" s="667" t="s">
        <v>14</v>
      </c>
      <c r="W23" s="668">
        <f>J23</f>
        <v>100</v>
      </c>
      <c r="X23" s="1265"/>
      <c r="Y23" s="337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2"/>
      <c r="Q24" s="1263"/>
      <c r="R24" s="667"/>
      <c r="S24" s="668"/>
      <c r="T24" s="667"/>
      <c r="U24" s="668"/>
      <c r="V24" s="667"/>
      <c r="W24" s="668"/>
      <c r="X24" s="1265"/>
      <c r="Y24" s="3372"/>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2"/>
      <c r="Q25" s="1263" t="str">
        <f t="shared" si="8"/>
        <v>自然及人文环境状况</v>
      </c>
      <c r="R25" s="667" t="s">
        <v>14</v>
      </c>
      <c r="S25" s="668">
        <f>F25</f>
        <v>100</v>
      </c>
      <c r="T25" s="667" t="s">
        <v>14</v>
      </c>
      <c r="U25" s="668">
        <f>H25</f>
        <v>100</v>
      </c>
      <c r="V25" s="667" t="s">
        <v>14</v>
      </c>
      <c r="W25" s="668">
        <f>J25</f>
        <v>100</v>
      </c>
      <c r="X25" s="1265"/>
      <c r="Y25" s="337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2"/>
      <c r="Q26" s="1263"/>
      <c r="R26" s="667"/>
      <c r="S26" s="668"/>
      <c r="T26" s="667"/>
      <c r="U26" s="668"/>
      <c r="V26" s="667"/>
      <c r="W26" s="668"/>
      <c r="X26" s="1265"/>
      <c r="Y26" s="337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2"/>
      <c r="Q27" s="530" t="str">
        <f t="shared" si="8"/>
        <v>公共配套设施</v>
      </c>
      <c r="R27" s="664" t="s">
        <v>14</v>
      </c>
      <c r="S27" s="665">
        <f>F27</f>
        <v>100</v>
      </c>
      <c r="T27" s="664" t="s">
        <v>14</v>
      </c>
      <c r="U27" s="665">
        <f>H27</f>
        <v>100</v>
      </c>
      <c r="V27" s="664" t="s">
        <v>14</v>
      </c>
      <c r="W27" s="665">
        <f>J27</f>
        <v>100</v>
      </c>
      <c r="X27" s="666"/>
      <c r="Y27" s="3372"/>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372"/>
      <c r="Q28" s="530"/>
      <c r="R28" s="664"/>
      <c r="S28" s="665"/>
      <c r="T28" s="664"/>
      <c r="U28" s="665"/>
      <c r="V28" s="664"/>
      <c r="W28" s="665"/>
      <c r="X28" s="666"/>
      <c r="Y28" s="337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2"/>
      <c r="Q29" s="530" t="str">
        <f t="shared" ref="Q29" si="9">B29</f>
        <v>基础设施水平</v>
      </c>
      <c r="R29" s="664" t="s">
        <v>14</v>
      </c>
      <c r="S29" s="665">
        <f>F29</f>
        <v>100</v>
      </c>
      <c r="T29" s="664" t="s">
        <v>14</v>
      </c>
      <c r="U29" s="665">
        <f>H29</f>
        <v>100</v>
      </c>
      <c r="V29" s="664" t="s">
        <v>14</v>
      </c>
      <c r="W29" s="665">
        <f>J29</f>
        <v>100</v>
      </c>
      <c r="X29" s="666"/>
      <c r="Y29" s="3372"/>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72"/>
      <c r="Q30" s="530"/>
      <c r="R30" s="664"/>
      <c r="S30" s="665"/>
      <c r="T30" s="664"/>
      <c r="U30" s="665"/>
      <c r="V30" s="664"/>
      <c r="W30" s="665"/>
      <c r="X30" s="666"/>
      <c r="Y30" s="337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2"/>
      <c r="Q32" s="1263" t="str">
        <f t="shared" si="8"/>
        <v>毗邻道路的类型与等级</v>
      </c>
      <c r="R32" s="667" t="s">
        <v>14</v>
      </c>
      <c r="S32" s="668">
        <f t="shared" si="10"/>
        <v>100</v>
      </c>
      <c r="T32" s="667" t="s">
        <v>14</v>
      </c>
      <c r="U32" s="668">
        <f t="shared" si="11"/>
        <v>100</v>
      </c>
      <c r="V32" s="667" t="s">
        <v>14</v>
      </c>
      <c r="W32" s="668">
        <f t="shared" si="12"/>
        <v>100</v>
      </c>
      <c r="X32" s="1265"/>
      <c r="Y32" s="337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2"/>
      <c r="Q33" s="1263"/>
      <c r="R33" s="667"/>
      <c r="S33" s="668"/>
      <c r="T33" s="667"/>
      <c r="U33" s="668"/>
      <c r="V33" s="667"/>
      <c r="W33" s="668"/>
      <c r="X33" s="1265"/>
      <c r="Y33" s="337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2"/>
      <c r="Q34" s="1263" t="str">
        <f t="shared" si="8"/>
        <v>土地级别</v>
      </c>
      <c r="R34" s="667" t="s">
        <v>14</v>
      </c>
      <c r="S34" s="668">
        <f t="shared" si="10"/>
        <v>100</v>
      </c>
      <c r="T34" s="667" t="s">
        <v>14</v>
      </c>
      <c r="U34" s="668">
        <f t="shared" si="11"/>
        <v>100</v>
      </c>
      <c r="V34" s="667" t="s">
        <v>14</v>
      </c>
      <c r="W34" s="668">
        <f t="shared" si="12"/>
        <v>100</v>
      </c>
      <c r="X34" s="1265"/>
      <c r="Y34" s="337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2"/>
      <c r="Q35" s="1263">
        <f t="shared" si="8"/>
        <v>111</v>
      </c>
      <c r="R35" s="667" t="s">
        <v>14</v>
      </c>
      <c r="S35" s="668">
        <f t="shared" si="10"/>
        <v>100</v>
      </c>
      <c r="T35" s="667" t="s">
        <v>14</v>
      </c>
      <c r="U35" s="668">
        <f t="shared" si="11"/>
        <v>100</v>
      </c>
      <c r="V35" s="667" t="s">
        <v>14</v>
      </c>
      <c r="W35" s="668">
        <f t="shared" si="12"/>
        <v>100</v>
      </c>
      <c r="X35" s="1265"/>
      <c r="Y35" s="337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8" t="s">
        <v>1696</v>
      </c>
      <c r="Q36" s="1263">
        <f t="shared" si="8"/>
        <v>111</v>
      </c>
      <c r="R36" s="667" t="s">
        <v>14</v>
      </c>
      <c r="S36" s="668">
        <f t="shared" si="10"/>
        <v>100</v>
      </c>
      <c r="T36" s="667" t="s">
        <v>14</v>
      </c>
      <c r="U36" s="668">
        <f t="shared" si="11"/>
        <v>100</v>
      </c>
      <c r="V36" s="667" t="s">
        <v>14</v>
      </c>
      <c r="W36" s="668">
        <f t="shared" si="12"/>
        <v>100</v>
      </c>
      <c r="X36" s="1265"/>
      <c r="Y36" s="337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6"/>
      <c r="Q37" s="1263">
        <f t="shared" si="8"/>
        <v>111</v>
      </c>
      <c r="R37" s="669" t="s">
        <v>14</v>
      </c>
      <c r="S37" s="670">
        <f t="shared" si="10"/>
        <v>100</v>
      </c>
      <c r="T37" s="669" t="s">
        <v>14</v>
      </c>
      <c r="U37" s="670">
        <f t="shared" si="11"/>
        <v>100</v>
      </c>
      <c r="V37" s="669" t="s">
        <v>14</v>
      </c>
      <c r="W37" s="670">
        <f t="shared" si="12"/>
        <v>100</v>
      </c>
      <c r="X37" s="671"/>
      <c r="Y37" s="337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6"/>
      <c r="Q38" s="1263" t="str">
        <f>B38</f>
        <v>宗地面积</v>
      </c>
      <c r="R38" s="667" t="s">
        <v>14</v>
      </c>
      <c r="S38" s="668" t="e">
        <f t="shared" si="10"/>
        <v>#N/A</v>
      </c>
      <c r="T38" s="667" t="s">
        <v>14</v>
      </c>
      <c r="U38" s="668" t="e">
        <f t="shared" si="11"/>
        <v>#N/A</v>
      </c>
      <c r="V38" s="667" t="s">
        <v>14</v>
      </c>
      <c r="W38" s="668" t="e">
        <f t="shared" si="12"/>
        <v>#N/A</v>
      </c>
      <c r="X38" s="1265"/>
      <c r="Y38" s="337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6"/>
      <c r="Q39" s="1263" t="str">
        <f t="shared" ref="Q39:Q45" si="14">B39</f>
        <v>宗地形状</v>
      </c>
      <c r="R39" s="667" t="s">
        <v>14</v>
      </c>
      <c r="S39" s="668">
        <f t="shared" si="10"/>
        <v>100</v>
      </c>
      <c r="T39" s="667" t="s">
        <v>14</v>
      </c>
      <c r="U39" s="668">
        <f t="shared" si="11"/>
        <v>100</v>
      </c>
      <c r="V39" s="667" t="s">
        <v>14</v>
      </c>
      <c r="W39" s="668">
        <f t="shared" si="12"/>
        <v>100</v>
      </c>
      <c r="X39" s="1265"/>
      <c r="Y39" s="337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6"/>
      <c r="Q40" s="1263" t="str">
        <f t="shared" si="14"/>
        <v>临街宽度及深度</v>
      </c>
      <c r="R40" s="667" t="s">
        <v>14</v>
      </c>
      <c r="S40" s="668">
        <f t="shared" si="10"/>
        <v>100</v>
      </c>
      <c r="T40" s="667" t="s">
        <v>14</v>
      </c>
      <c r="U40" s="668">
        <f t="shared" si="11"/>
        <v>100</v>
      </c>
      <c r="V40" s="667" t="s">
        <v>14</v>
      </c>
      <c r="W40" s="668">
        <f t="shared" si="12"/>
        <v>100</v>
      </c>
      <c r="X40" s="1265"/>
      <c r="Y40" s="3376"/>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6"/>
      <c r="Q41" s="1263" t="str">
        <f t="shared" si="14"/>
        <v>宗地开发程度</v>
      </c>
      <c r="R41" s="664" t="s">
        <v>14</v>
      </c>
      <c r="S41" s="665">
        <f t="shared" si="10"/>
        <v>100</v>
      </c>
      <c r="T41" s="664" t="s">
        <v>14</v>
      </c>
      <c r="U41" s="665">
        <f t="shared" si="11"/>
        <v>100</v>
      </c>
      <c r="V41" s="664" t="s">
        <v>14</v>
      </c>
      <c r="W41" s="665">
        <f t="shared" si="12"/>
        <v>100</v>
      </c>
      <c r="X41" s="666"/>
      <c r="Y41" s="337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6" t="s">
        <v>1696</v>
      </c>
      <c r="Q42" s="1263" t="str">
        <f t="shared" si="14"/>
        <v>工程地质条件</v>
      </c>
      <c r="R42" s="667" t="s">
        <v>14</v>
      </c>
      <c r="S42" s="668">
        <f t="shared" si="10"/>
        <v>100</v>
      </c>
      <c r="T42" s="667" t="s">
        <v>14</v>
      </c>
      <c r="U42" s="668">
        <f t="shared" si="11"/>
        <v>100</v>
      </c>
      <c r="V42" s="667" t="s">
        <v>14</v>
      </c>
      <c r="W42" s="668">
        <f t="shared" si="12"/>
        <v>100</v>
      </c>
      <c r="X42" s="1265"/>
      <c r="Y42" s="337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6"/>
      <c r="Q43" s="1263">
        <f t="shared" si="14"/>
        <v>111</v>
      </c>
      <c r="R43" s="667" t="s">
        <v>14</v>
      </c>
      <c r="S43" s="668">
        <f t="shared" si="10"/>
        <v>100</v>
      </c>
      <c r="T43" s="667" t="s">
        <v>14</v>
      </c>
      <c r="U43" s="668">
        <f t="shared" si="11"/>
        <v>100</v>
      </c>
      <c r="V43" s="667" t="s">
        <v>14</v>
      </c>
      <c r="W43" s="668">
        <f t="shared" si="12"/>
        <v>100</v>
      </c>
      <c r="X43" s="1265"/>
      <c r="Y43" s="337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6"/>
      <c r="Q44" s="1263">
        <f t="shared" si="14"/>
        <v>111</v>
      </c>
      <c r="R44" s="667" t="s">
        <v>14</v>
      </c>
      <c r="S44" s="668">
        <f t="shared" si="10"/>
        <v>100</v>
      </c>
      <c r="T44" s="667" t="s">
        <v>14</v>
      </c>
      <c r="U44" s="668">
        <f t="shared" si="11"/>
        <v>100</v>
      </c>
      <c r="V44" s="667" t="s">
        <v>14</v>
      </c>
      <c r="W44" s="668">
        <f t="shared" si="12"/>
        <v>100</v>
      </c>
      <c r="X44" s="1265"/>
      <c r="Y44" s="3376"/>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6"/>
      <c r="Q45" s="1263">
        <f t="shared" si="14"/>
        <v>111</v>
      </c>
      <c r="R45" s="669" t="s">
        <v>14</v>
      </c>
      <c r="S45" s="670">
        <f t="shared" si="10"/>
        <v>100</v>
      </c>
      <c r="T45" s="669" t="s">
        <v>14</v>
      </c>
      <c r="U45" s="670">
        <f t="shared" si="11"/>
        <v>100</v>
      </c>
      <c r="V45" s="669" t="s">
        <v>14</v>
      </c>
      <c r="W45" s="670">
        <f t="shared" si="12"/>
        <v>100</v>
      </c>
      <c r="X45" s="671"/>
      <c r="Y45" s="3376"/>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69" t="str">
        <f>A46</f>
        <v>成交单价</v>
      </c>
      <c r="Q46" s="3369"/>
      <c r="R46" s="3370">
        <f>E46</f>
        <v>0</v>
      </c>
      <c r="S46" s="3370"/>
      <c r="T46" s="3370">
        <f>G46</f>
        <v>0</v>
      </c>
      <c r="U46" s="3370"/>
      <c r="V46" s="3370">
        <f>I46</f>
        <v>0</v>
      </c>
      <c r="W46" s="3370"/>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69" t="str">
        <f>A47</f>
        <v>比较价值（元/平方米）</v>
      </c>
      <c r="Q47" s="3369"/>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66" t="str">
        <f>A48</f>
        <v>估价对象XX用房的比较价值（楼面单价，元/平方米）</v>
      </c>
      <c r="Q48" s="3367"/>
      <c r="R48" s="3451" t="e">
        <f>ROUND(IF(D47="简单平均",AVERAGE(R47:W47),R47*F47+T47*H47+V47*J47),0)</f>
        <v>#DIV/0!</v>
      </c>
      <c r="S48" s="3451"/>
      <c r="T48" s="3451"/>
      <c r="U48" s="3451"/>
      <c r="V48" s="3451"/>
      <c r="W48" s="345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4" t="s">
        <v>1887</v>
      </c>
      <c r="H55" s="345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209.06</v>
      </c>
      <c r="F56" s="833" t="e">
        <f t="shared" ref="F56:F64" si="15">ROUND(B56*E56/10000,0)</f>
        <v>#DIV/0!</v>
      </c>
      <c r="G56" s="3380"/>
      <c r="H56" s="336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SUMIF(修正!A59:A70,H62,修正!G59:G70)</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209.06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0" t="s">
        <v>1673</v>
      </c>
      <c r="D5" s="3403"/>
      <c r="E5" s="3431" t="s">
        <v>1674</v>
      </c>
      <c r="F5" s="3432"/>
      <c r="G5" s="3430" t="s">
        <v>1675</v>
      </c>
      <c r="H5" s="3403"/>
      <c r="I5" s="3430" t="s">
        <v>1676</v>
      </c>
      <c r="J5" s="3403"/>
      <c r="K5" s="537"/>
      <c r="L5" s="2486"/>
      <c r="M5" s="2487"/>
      <c r="N5" s="2487"/>
      <c r="O5" s="2487"/>
      <c r="P5" s="3390"/>
      <c r="Q5" s="3391"/>
      <c r="R5" s="3396"/>
      <c r="S5" s="3397"/>
      <c r="T5" s="3396"/>
      <c r="U5" s="3397"/>
      <c r="V5" s="3370"/>
      <c r="W5" s="3370"/>
      <c r="X5" s="1265"/>
      <c r="Y5" s="3396"/>
      <c r="Z5" s="3397"/>
      <c r="AA5" s="3382"/>
      <c r="AB5" s="3382"/>
      <c r="AC5" s="3382"/>
    </row>
    <row r="6" spans="1:29" ht="15.75" thickBot="1">
      <c r="A6" s="350"/>
      <c r="B6" s="351"/>
      <c r="C6" s="3453" t="s">
        <v>1919</v>
      </c>
      <c r="D6" s="3454"/>
      <c r="E6" s="3455" t="s">
        <v>1919</v>
      </c>
      <c r="F6" s="3456"/>
      <c r="G6" s="3453" t="s">
        <v>1919</v>
      </c>
      <c r="H6" s="3454"/>
      <c r="I6" s="3453" t="s">
        <v>1919</v>
      </c>
      <c r="J6" s="3454"/>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45911</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9"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89"/>
      <c r="M10" s="2490"/>
      <c r="N10" s="2490"/>
      <c r="O10" s="2541"/>
      <c r="P10" s="3369"/>
      <c r="Q10" s="530" t="str">
        <f t="shared" si="6"/>
        <v>土地使用年限（年）</v>
      </c>
      <c r="R10" s="664" t="s">
        <v>14</v>
      </c>
      <c r="S10" s="665">
        <f t="shared" si="0"/>
        <v>108</v>
      </c>
      <c r="T10" s="664" t="s">
        <v>14</v>
      </c>
      <c r="U10" s="665">
        <f t="shared" si="1"/>
        <v>108</v>
      </c>
      <c r="V10" s="664" t="s">
        <v>14</v>
      </c>
      <c r="W10" s="665">
        <f t="shared" si="2"/>
        <v>108</v>
      </c>
      <c r="X10" s="666"/>
      <c r="Y10" s="326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9"/>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69"/>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9"/>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1" t="s">
        <v>1691</v>
      </c>
      <c r="Q15" s="1263" t="str">
        <f t="shared" si="6"/>
        <v>产业集聚程度</v>
      </c>
      <c r="R15" s="667" t="s">
        <v>14</v>
      </c>
      <c r="S15" s="668">
        <f t="shared" si="0"/>
        <v>100</v>
      </c>
      <c r="T15" s="667" t="s">
        <v>14</v>
      </c>
      <c r="U15" s="668">
        <f t="shared" si="1"/>
        <v>100</v>
      </c>
      <c r="V15" s="667" t="s">
        <v>14</v>
      </c>
      <c r="W15" s="668">
        <f t="shared" si="2"/>
        <v>100</v>
      </c>
      <c r="X15" s="1265"/>
      <c r="Y15" s="337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2"/>
      <c r="Q16" s="1263"/>
      <c r="R16" s="667"/>
      <c r="S16" s="668"/>
      <c r="T16" s="667"/>
      <c r="U16" s="668"/>
      <c r="V16" s="667"/>
      <c r="W16" s="668"/>
      <c r="X16" s="1265"/>
      <c r="Y16" s="337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2"/>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2"/>
      <c r="Q18" s="1263"/>
      <c r="R18" s="667"/>
      <c r="S18" s="668"/>
      <c r="T18" s="667"/>
      <c r="U18" s="668"/>
      <c r="V18" s="667"/>
      <c r="W18" s="668"/>
      <c r="X18" s="1265"/>
      <c r="Y18" s="337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2"/>
      <c r="Q19" s="1263" t="str">
        <f t="shared" ref="Q19:Q33" si="8">B19</f>
        <v>区域土地利用方向</v>
      </c>
      <c r="R19" s="667" t="s">
        <v>14</v>
      </c>
      <c r="S19" s="668">
        <f>F19</f>
        <v>100</v>
      </c>
      <c r="T19" s="667" t="s">
        <v>14</v>
      </c>
      <c r="U19" s="668">
        <f>H19</f>
        <v>100</v>
      </c>
      <c r="V19" s="667" t="s">
        <v>14</v>
      </c>
      <c r="W19" s="668">
        <f>J19</f>
        <v>100</v>
      </c>
      <c r="X19" s="1265"/>
      <c r="Y19" s="337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2"/>
      <c r="Q20" s="1263"/>
      <c r="R20" s="667"/>
      <c r="S20" s="668"/>
      <c r="T20" s="667"/>
      <c r="U20" s="668"/>
      <c r="V20" s="667"/>
      <c r="W20" s="668"/>
      <c r="X20" s="1265"/>
      <c r="Y20" s="337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2"/>
      <c r="Q21" s="1263" t="str">
        <f t="shared" si="8"/>
        <v>环境状况</v>
      </c>
      <c r="R21" s="667" t="s">
        <v>14</v>
      </c>
      <c r="S21" s="668">
        <f>F21</f>
        <v>100</v>
      </c>
      <c r="T21" s="667" t="s">
        <v>14</v>
      </c>
      <c r="U21" s="668">
        <f>H21</f>
        <v>100</v>
      </c>
      <c r="V21" s="667" t="s">
        <v>14</v>
      </c>
      <c r="W21" s="668">
        <f>J21</f>
        <v>100</v>
      </c>
      <c r="X21" s="1265"/>
      <c r="Y21" s="337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2"/>
      <c r="Q22" s="1263"/>
      <c r="R22" s="667"/>
      <c r="S22" s="668"/>
      <c r="T22" s="667"/>
      <c r="U22" s="668"/>
      <c r="V22" s="667"/>
      <c r="W22" s="668"/>
      <c r="X22" s="1265"/>
      <c r="Y22" s="337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2"/>
      <c r="Q23" s="530" t="str">
        <f t="shared" si="8"/>
        <v>公共配套设施</v>
      </c>
      <c r="R23" s="664" t="s">
        <v>14</v>
      </c>
      <c r="S23" s="665">
        <f>F23</f>
        <v>100</v>
      </c>
      <c r="T23" s="664" t="s">
        <v>14</v>
      </c>
      <c r="U23" s="665">
        <f>H23</f>
        <v>100</v>
      </c>
      <c r="V23" s="664" t="s">
        <v>14</v>
      </c>
      <c r="W23" s="665">
        <f>J23</f>
        <v>100</v>
      </c>
      <c r="X23" s="666"/>
      <c r="Y23" s="3372"/>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372"/>
      <c r="Q24" s="530"/>
      <c r="R24" s="664"/>
      <c r="S24" s="665"/>
      <c r="T24" s="664"/>
      <c r="U24" s="665"/>
      <c r="V24" s="664"/>
      <c r="W24" s="665"/>
      <c r="X24" s="666"/>
      <c r="Y24" s="337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2"/>
      <c r="Q25" s="530" t="str">
        <f t="shared" ref="Q25" si="9">B25</f>
        <v>基础设施水平</v>
      </c>
      <c r="R25" s="664" t="s">
        <v>14</v>
      </c>
      <c r="S25" s="665">
        <f>F25</f>
        <v>100</v>
      </c>
      <c r="T25" s="664" t="s">
        <v>14</v>
      </c>
      <c r="U25" s="665">
        <f>H25</f>
        <v>100</v>
      </c>
      <c r="V25" s="664" t="s">
        <v>14</v>
      </c>
      <c r="W25" s="665">
        <f>J25</f>
        <v>100</v>
      </c>
      <c r="X25" s="666"/>
      <c r="Y25" s="3372"/>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72"/>
      <c r="Q26" s="530"/>
      <c r="R26" s="664"/>
      <c r="S26" s="665"/>
      <c r="T26" s="664"/>
      <c r="U26" s="665"/>
      <c r="V26" s="664"/>
      <c r="W26" s="665"/>
      <c r="X26" s="666"/>
      <c r="Y26" s="337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2"/>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2"/>
      <c r="Q28" s="1263" t="str">
        <f t="shared" si="8"/>
        <v>毗邻道路的类型与等级</v>
      </c>
      <c r="R28" s="667" t="s">
        <v>14</v>
      </c>
      <c r="S28" s="668">
        <f t="shared" si="10"/>
        <v>100</v>
      </c>
      <c r="T28" s="667" t="s">
        <v>14</v>
      </c>
      <c r="U28" s="668">
        <f t="shared" si="11"/>
        <v>100</v>
      </c>
      <c r="V28" s="667" t="s">
        <v>14</v>
      </c>
      <c r="W28" s="668">
        <f t="shared" si="12"/>
        <v>100</v>
      </c>
      <c r="X28" s="1265"/>
      <c r="Y28" s="337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2"/>
      <c r="Q29" s="1263"/>
      <c r="R29" s="667"/>
      <c r="S29" s="668"/>
      <c r="T29" s="667"/>
      <c r="U29" s="668"/>
      <c r="V29" s="667"/>
      <c r="W29" s="668"/>
      <c r="X29" s="1265"/>
      <c r="Y29" s="337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2"/>
      <c r="Q30" s="1263" t="str">
        <f t="shared" si="8"/>
        <v>土地级别</v>
      </c>
      <c r="R30" s="667" t="s">
        <v>14</v>
      </c>
      <c r="S30" s="668">
        <f t="shared" si="10"/>
        <v>100</v>
      </c>
      <c r="T30" s="667" t="s">
        <v>14</v>
      </c>
      <c r="U30" s="668">
        <f t="shared" si="11"/>
        <v>100</v>
      </c>
      <c r="V30" s="667" t="s">
        <v>14</v>
      </c>
      <c r="W30" s="668">
        <f t="shared" si="12"/>
        <v>100</v>
      </c>
      <c r="X30" s="1265"/>
      <c r="Y30" s="337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2"/>
      <c r="Q31" s="1263">
        <f t="shared" si="8"/>
        <v>111</v>
      </c>
      <c r="R31" s="667" t="s">
        <v>14</v>
      </c>
      <c r="S31" s="668">
        <f t="shared" si="10"/>
        <v>100</v>
      </c>
      <c r="T31" s="667" t="s">
        <v>14</v>
      </c>
      <c r="U31" s="668">
        <f t="shared" si="11"/>
        <v>100</v>
      </c>
      <c r="V31" s="667" t="s">
        <v>14</v>
      </c>
      <c r="W31" s="668">
        <f t="shared" si="12"/>
        <v>100</v>
      </c>
      <c r="X31" s="1265"/>
      <c r="Y31" s="3372"/>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8" t="s">
        <v>1696</v>
      </c>
      <c r="Q32" s="1263">
        <f t="shared" si="8"/>
        <v>111</v>
      </c>
      <c r="R32" s="667" t="s">
        <v>14</v>
      </c>
      <c r="S32" s="668">
        <f t="shared" si="10"/>
        <v>100</v>
      </c>
      <c r="T32" s="667" t="s">
        <v>14</v>
      </c>
      <c r="U32" s="668">
        <f t="shared" si="11"/>
        <v>100</v>
      </c>
      <c r="V32" s="667" t="s">
        <v>14</v>
      </c>
      <c r="W32" s="668">
        <f t="shared" si="12"/>
        <v>100</v>
      </c>
      <c r="X32" s="1265"/>
      <c r="Y32" s="3376"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6"/>
      <c r="Q33" s="1263">
        <f t="shared" si="8"/>
        <v>111</v>
      </c>
      <c r="R33" s="669" t="s">
        <v>14</v>
      </c>
      <c r="S33" s="670">
        <f t="shared" si="10"/>
        <v>100</v>
      </c>
      <c r="T33" s="669" t="s">
        <v>14</v>
      </c>
      <c r="U33" s="670">
        <f t="shared" si="11"/>
        <v>100</v>
      </c>
      <c r="V33" s="669" t="s">
        <v>14</v>
      </c>
      <c r="W33" s="670">
        <f t="shared" si="12"/>
        <v>100</v>
      </c>
      <c r="X33" s="671"/>
      <c r="Y33" s="337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6"/>
      <c r="Q34" s="1263" t="str">
        <f>B34</f>
        <v>宗地面积</v>
      </c>
      <c r="R34" s="667" t="s">
        <v>14</v>
      </c>
      <c r="S34" s="668" t="e">
        <f t="shared" si="10"/>
        <v>#N/A</v>
      </c>
      <c r="T34" s="667" t="s">
        <v>14</v>
      </c>
      <c r="U34" s="668" t="e">
        <f t="shared" si="11"/>
        <v>#N/A</v>
      </c>
      <c r="V34" s="667" t="s">
        <v>14</v>
      </c>
      <c r="W34" s="668" t="e">
        <f t="shared" si="12"/>
        <v>#N/A</v>
      </c>
      <c r="X34" s="1265"/>
      <c r="Y34" s="337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6"/>
      <c r="Q35" s="1263" t="str">
        <f t="shared" ref="Q35:Q40" si="14">B35</f>
        <v>宗地形状</v>
      </c>
      <c r="R35" s="667" t="s">
        <v>14</v>
      </c>
      <c r="S35" s="668">
        <f t="shared" si="10"/>
        <v>100</v>
      </c>
      <c r="T35" s="667" t="s">
        <v>14</v>
      </c>
      <c r="U35" s="668">
        <f t="shared" si="11"/>
        <v>100</v>
      </c>
      <c r="V35" s="667" t="s">
        <v>14</v>
      </c>
      <c r="W35" s="668">
        <f t="shared" si="12"/>
        <v>100</v>
      </c>
      <c r="X35" s="1265"/>
      <c r="Y35" s="3376"/>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6"/>
      <c r="Q36" s="1263" t="str">
        <f t="shared" si="14"/>
        <v>宗地开发程度</v>
      </c>
      <c r="R36" s="664" t="s">
        <v>14</v>
      </c>
      <c r="S36" s="665">
        <f t="shared" si="10"/>
        <v>100</v>
      </c>
      <c r="T36" s="664" t="s">
        <v>14</v>
      </c>
      <c r="U36" s="665">
        <f t="shared" si="11"/>
        <v>100</v>
      </c>
      <c r="V36" s="664" t="s">
        <v>14</v>
      </c>
      <c r="W36" s="665">
        <f t="shared" si="12"/>
        <v>100</v>
      </c>
      <c r="X36" s="666"/>
      <c r="Y36" s="337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6" t="s">
        <v>1696</v>
      </c>
      <c r="Q37" s="1263" t="str">
        <f t="shared" si="14"/>
        <v>工程地质条件</v>
      </c>
      <c r="R37" s="667" t="s">
        <v>14</v>
      </c>
      <c r="S37" s="668">
        <f t="shared" si="10"/>
        <v>100</v>
      </c>
      <c r="T37" s="667" t="s">
        <v>14</v>
      </c>
      <c r="U37" s="668">
        <f t="shared" si="11"/>
        <v>100</v>
      </c>
      <c r="V37" s="667" t="s">
        <v>14</v>
      </c>
      <c r="W37" s="668">
        <f t="shared" si="12"/>
        <v>100</v>
      </c>
      <c r="X37" s="1265"/>
      <c r="Y37" s="337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6"/>
      <c r="Q38" s="1263">
        <f t="shared" si="14"/>
        <v>111</v>
      </c>
      <c r="R38" s="667" t="s">
        <v>14</v>
      </c>
      <c r="S38" s="668">
        <f t="shared" si="10"/>
        <v>100</v>
      </c>
      <c r="T38" s="667" t="s">
        <v>14</v>
      </c>
      <c r="U38" s="668">
        <f t="shared" si="11"/>
        <v>100</v>
      </c>
      <c r="V38" s="667" t="s">
        <v>14</v>
      </c>
      <c r="W38" s="668">
        <f t="shared" si="12"/>
        <v>100</v>
      </c>
      <c r="X38" s="1265"/>
      <c r="Y38" s="337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6"/>
      <c r="Q39" s="1263">
        <f t="shared" si="14"/>
        <v>111</v>
      </c>
      <c r="R39" s="667" t="s">
        <v>14</v>
      </c>
      <c r="S39" s="668">
        <f t="shared" si="10"/>
        <v>100</v>
      </c>
      <c r="T39" s="667" t="s">
        <v>14</v>
      </c>
      <c r="U39" s="668">
        <f t="shared" si="11"/>
        <v>100</v>
      </c>
      <c r="V39" s="667" t="s">
        <v>14</v>
      </c>
      <c r="W39" s="668">
        <f t="shared" si="12"/>
        <v>100</v>
      </c>
      <c r="X39" s="1265"/>
      <c r="Y39" s="3376"/>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6"/>
      <c r="Q40" s="1263">
        <f t="shared" si="14"/>
        <v>111</v>
      </c>
      <c r="R40" s="669" t="s">
        <v>14</v>
      </c>
      <c r="S40" s="670">
        <f t="shared" si="10"/>
        <v>100</v>
      </c>
      <c r="T40" s="669" t="s">
        <v>14</v>
      </c>
      <c r="U40" s="670">
        <f t="shared" si="11"/>
        <v>100</v>
      </c>
      <c r="V40" s="669" t="s">
        <v>14</v>
      </c>
      <c r="W40" s="670">
        <f t="shared" si="12"/>
        <v>100</v>
      </c>
      <c r="X40" s="671"/>
      <c r="Y40" s="3376"/>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69" t="str">
        <f>A41</f>
        <v>成交单价</v>
      </c>
      <c r="Q41" s="3369"/>
      <c r="R41" s="3370">
        <f>E41</f>
        <v>0</v>
      </c>
      <c r="S41" s="3370"/>
      <c r="T41" s="3370">
        <f>G41</f>
        <v>0</v>
      </c>
      <c r="U41" s="3370"/>
      <c r="V41" s="3370">
        <f>I41</f>
        <v>0</v>
      </c>
      <c r="W41" s="3370"/>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69" t="str">
        <f>A42</f>
        <v>比较价值（元/平方米）</v>
      </c>
      <c r="Q42" s="3369"/>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66" t="str">
        <f>A43</f>
        <v>估价对象XX用房的比较价值（楼面单价，元/平方米）</v>
      </c>
      <c r="Q43" s="3367"/>
      <c r="R43" s="3451" t="e">
        <f>ROUND(IF(D42="简单平均",AVERAGE(R42:W42),R42*F42+T42*H42+V42*J42),0)</f>
        <v>#DIV/0!</v>
      </c>
      <c r="S43" s="3451"/>
      <c r="T43" s="3451"/>
      <c r="U43" s="3451"/>
      <c r="V43" s="3451"/>
      <c r="W43" s="345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4" t="s">
        <v>1887</v>
      </c>
      <c r="H50" s="345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209.06</v>
      </c>
      <c r="F51" s="611" t="e">
        <f t="shared" ref="F51:F60" si="15">ROUND(B51*E51/10000,0)</f>
        <v>#DIV/0!</v>
      </c>
      <c r="G51" s="3380"/>
      <c r="H51" s="336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SUMIF(修正!A59:A70,H58,修正!G59:G70)</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475</v>
      </c>
      <c r="C2" s="1983" t="s">
        <v>2074</v>
      </c>
      <c r="D2" s="1983" t="s">
        <v>2075</v>
      </c>
      <c r="E2" s="2397">
        <f ca="1">SUMIF(E6:E13,"&lt;&gt;#ref!",E6:E13)</f>
        <v>209.06</v>
      </c>
      <c r="F2" s="2544"/>
      <c r="G2" s="2544"/>
      <c r="H2" s="2544"/>
      <c r="I2" s="2544"/>
      <c r="J2" s="2544"/>
      <c r="K2" s="2544"/>
      <c r="L2" s="2544"/>
      <c r="M2" s="2544"/>
      <c r="N2" s="2544"/>
      <c r="O2" s="2544"/>
      <c r="P2" s="2544"/>
    </row>
    <row r="3" spans="1:16" ht="15.75">
      <c r="A3" s="1983" t="s">
        <v>2076</v>
      </c>
      <c r="B3" s="2387">
        <f ca="1">ROUND(B2*10000/E2,0)</f>
        <v>22721</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475</v>
      </c>
      <c r="C6" s="1983" t="s">
        <v>2074</v>
      </c>
      <c r="D6" s="2544"/>
      <c r="E6" s="2397">
        <f ca="1">SUMIF(INDIRECT("'"&amp;A6&amp;"'"&amp;"!C:C"),"建筑面积",INDIRECT("'"&amp;A6&amp;"'"&amp;"!D:D"))</f>
        <v>209.06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1" zoomScaleNormal="60" zoomScaleSheetLayoutView="100" workbookViewId="0">
      <selection activeCell="C38" sqref="C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3404</v>
      </c>
      <c r="E1" s="3124" t="s">
        <v>3443</v>
      </c>
      <c r="F1" s="1735" t="s">
        <v>3444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583.42370000000005</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27907</v>
      </c>
      <c r="C3" s="344" t="s">
        <v>1665</v>
      </c>
      <c r="D3" s="343">
        <f>IF(D1="",'数据-汇总表'!E3,SUMIF('数据-汇总表'!$C19:$C33,D1,'数据-汇总表'!$E19:$E33))</f>
        <v>209.06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6"/>
      <c r="M4" s="2487"/>
      <c r="N4" s="2487"/>
      <c r="O4" s="2487"/>
      <c r="P4" s="3388" t="s">
        <v>1672</v>
      </c>
      <c r="Q4" s="3389"/>
      <c r="R4" s="3394" t="s">
        <v>1668</v>
      </c>
      <c r="S4" s="3395"/>
      <c r="T4" s="3394" t="s">
        <v>1669</v>
      </c>
      <c r="U4" s="3395"/>
      <c r="V4" s="3370" t="s">
        <v>1670</v>
      </c>
      <c r="W4" s="3370"/>
      <c r="X4" s="1265"/>
      <c r="Y4" s="3394" t="s">
        <v>1672</v>
      </c>
      <c r="Z4" s="3395"/>
      <c r="AA4" s="3381" t="s">
        <v>1668</v>
      </c>
      <c r="AB4" s="3381" t="s">
        <v>1669</v>
      </c>
      <c r="AC4" s="3381" t="s">
        <v>1670</v>
      </c>
    </row>
    <row r="5" spans="1:29" ht="15">
      <c r="A5" s="348"/>
      <c r="B5" s="349"/>
      <c r="C5" s="3402" t="s">
        <v>3442</v>
      </c>
      <c r="D5" s="3403"/>
      <c r="E5" s="3402" t="s">
        <v>3442</v>
      </c>
      <c r="F5" s="3403"/>
      <c r="G5" s="3402" t="s">
        <v>3442</v>
      </c>
      <c r="H5" s="3403"/>
      <c r="I5" s="3402" t="s">
        <v>3442</v>
      </c>
      <c r="J5" s="3403"/>
      <c r="K5" s="1745"/>
      <c r="L5" s="2486"/>
      <c r="M5" s="2487"/>
      <c r="N5" s="2487"/>
      <c r="O5" s="2487"/>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1745" t="s">
        <v>1678</v>
      </c>
      <c r="L6" s="2486"/>
      <c r="M6" s="2487"/>
      <c r="N6" s="2487"/>
      <c r="O6" s="2487"/>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45911</v>
      </c>
      <c r="D7" s="355">
        <v>100</v>
      </c>
      <c r="E7" s="356">
        <f>Sheet1!R26</f>
        <v>45882</v>
      </c>
      <c r="F7" s="357">
        <f>SUMIF(58:58,YEAR(E7)&amp;"-"&amp;MONTH(E7),59:59)</f>
        <v>100</v>
      </c>
      <c r="G7" s="356">
        <f>Sheet1!R27</f>
        <v>45888</v>
      </c>
      <c r="H7" s="355">
        <f>SUMIF(58:58,YEAR(G7)&amp;"-"&amp;MONTH(G7),59:59)</f>
        <v>100</v>
      </c>
      <c r="I7" s="356">
        <f>Sheet1!R28</f>
        <v>45815</v>
      </c>
      <c r="J7" s="355">
        <f>SUMIF(58:58,YEAR(I7)&amp;"-"&amp;MONTH(I7),59:59)</f>
        <v>99.8</v>
      </c>
      <c r="K7" s="1746"/>
      <c r="L7" s="2488"/>
      <c r="M7" s="2439"/>
      <c r="N7" s="2439"/>
      <c r="O7" s="2439"/>
      <c r="P7" s="3404" t="s">
        <v>1680</v>
      </c>
      <c r="Q7" s="3406"/>
      <c r="R7" s="664" t="s">
        <v>14</v>
      </c>
      <c r="S7" s="665">
        <f t="shared" ref="S7:S15" si="0">F7</f>
        <v>100</v>
      </c>
      <c r="T7" s="664" t="s">
        <v>14</v>
      </c>
      <c r="U7" s="665">
        <f t="shared" ref="U7:U15" si="1">H7</f>
        <v>100</v>
      </c>
      <c r="V7" s="664" t="s">
        <v>14</v>
      </c>
      <c r="W7" s="665">
        <f t="shared" ref="W7:W15" si="2">J7</f>
        <v>99.8</v>
      </c>
      <c r="X7" s="666"/>
      <c r="Y7" s="3404" t="s">
        <v>1680</v>
      </c>
      <c r="Z7" s="3405"/>
      <c r="AA7" s="50">
        <f>D7/F7</f>
        <v>1</v>
      </c>
      <c r="AB7" s="50">
        <f>D7/H7</f>
        <v>1</v>
      </c>
      <c r="AC7" s="50">
        <f>D7/J7</f>
        <v>1.0020040080160322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04" t="s">
        <v>1683</v>
      </c>
      <c r="Q8" s="3405"/>
      <c r="R8" s="664" t="s">
        <v>14</v>
      </c>
      <c r="S8" s="665">
        <f t="shared" si="0"/>
        <v>100</v>
      </c>
      <c r="T8" s="664" t="s">
        <v>14</v>
      </c>
      <c r="U8" s="665">
        <f t="shared" si="1"/>
        <v>100</v>
      </c>
      <c r="V8" s="664" t="s">
        <v>14</v>
      </c>
      <c r="W8" s="665">
        <f t="shared" si="2"/>
        <v>100</v>
      </c>
      <c r="X8" s="666"/>
      <c r="Y8" s="3404" t="s">
        <v>1683</v>
      </c>
      <c r="Z8" s="340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0"/>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8" t="s">
        <v>1691</v>
      </c>
      <c r="Q15" s="1263" t="str">
        <f t="shared" si="6"/>
        <v>居住社区成熟度</v>
      </c>
      <c r="R15" s="667" t="s">
        <v>14</v>
      </c>
      <c r="S15" s="668">
        <f t="shared" si="0"/>
        <v>100</v>
      </c>
      <c r="T15" s="667" t="s">
        <v>14</v>
      </c>
      <c r="U15" s="668">
        <f t="shared" si="1"/>
        <v>100</v>
      </c>
      <c r="V15" s="667" t="s">
        <v>14</v>
      </c>
      <c r="W15" s="668">
        <f t="shared" si="2"/>
        <v>100</v>
      </c>
      <c r="X15" s="1265"/>
      <c r="Y15" s="3371" t="s">
        <v>1691</v>
      </c>
      <c r="Z15" s="1264" t="str">
        <f t="shared" si="7"/>
        <v>居住社区成熟度</v>
      </c>
      <c r="AA15" s="1264">
        <f t="shared" si="3"/>
        <v>1</v>
      </c>
      <c r="AB15" s="1264">
        <f t="shared" si="4"/>
        <v>1</v>
      </c>
      <c r="AC15" s="1264">
        <f t="shared" si="5"/>
        <v>1</v>
      </c>
    </row>
    <row r="16" spans="1:29" ht="15">
      <c r="A16" s="367"/>
      <c r="B16" s="385"/>
      <c r="C16" s="386" t="s">
        <v>3455</v>
      </c>
      <c r="D16" s="387"/>
      <c r="E16" s="386" t="s">
        <v>3455</v>
      </c>
      <c r="F16" s="387"/>
      <c r="G16" s="386" t="s">
        <v>3455</v>
      </c>
      <c r="H16" s="389"/>
      <c r="I16" s="386" t="s">
        <v>3455</v>
      </c>
      <c r="J16" s="387"/>
      <c r="K16" s="1753"/>
      <c r="L16" s="2492"/>
      <c r="M16" s="2487"/>
      <c r="N16" s="2487"/>
      <c r="O16" s="2487"/>
      <c r="P16" s="3379"/>
      <c r="Q16" s="1263"/>
      <c r="R16" s="667"/>
      <c r="S16" s="668"/>
      <c r="T16" s="667"/>
      <c r="U16" s="668"/>
      <c r="V16" s="667"/>
      <c r="W16" s="668"/>
      <c r="X16" s="1265"/>
      <c r="Y16" s="337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9"/>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395"/>
      <c r="C18" s="386" t="s">
        <v>3455</v>
      </c>
      <c r="D18" s="389"/>
      <c r="E18" s="386" t="s">
        <v>3455</v>
      </c>
      <c r="F18" s="389"/>
      <c r="G18" s="386" t="s">
        <v>3455</v>
      </c>
      <c r="H18" s="387"/>
      <c r="I18" s="386" t="s">
        <v>3455</v>
      </c>
      <c r="J18" s="387"/>
      <c r="K18" s="1753"/>
      <c r="L18" s="2492"/>
      <c r="M18" s="2487"/>
      <c r="N18" s="2487"/>
      <c r="O18" s="2487"/>
      <c r="P18" s="3379"/>
      <c r="Q18" s="1263"/>
      <c r="R18" s="667"/>
      <c r="S18" s="668"/>
      <c r="T18" s="667"/>
      <c r="U18" s="668"/>
      <c r="V18" s="667"/>
      <c r="W18" s="668"/>
      <c r="X18" s="1265"/>
      <c r="Y18" s="337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9"/>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264">
        <f t="shared" si="5"/>
        <v>1</v>
      </c>
    </row>
    <row r="20" spans="1:29" ht="15">
      <c r="A20" s="367"/>
      <c r="B20" s="395"/>
      <c r="C20" s="386" t="s">
        <v>3455</v>
      </c>
      <c r="D20" s="387"/>
      <c r="E20" s="386" t="s">
        <v>3455</v>
      </c>
      <c r="F20" s="387"/>
      <c r="G20" s="386" t="s">
        <v>3455</v>
      </c>
      <c r="H20" s="387"/>
      <c r="I20" s="386" t="s">
        <v>3455</v>
      </c>
      <c r="J20" s="387"/>
      <c r="K20" s="1753"/>
      <c r="L20" s="2492"/>
      <c r="M20" s="2487"/>
      <c r="N20" s="2487"/>
      <c r="O20" s="2487"/>
      <c r="P20" s="3379"/>
      <c r="Q20" s="1263"/>
      <c r="R20" s="667"/>
      <c r="S20" s="668"/>
      <c r="T20" s="667"/>
      <c r="U20" s="668"/>
      <c r="V20" s="667"/>
      <c r="W20" s="668"/>
      <c r="X20" s="1265"/>
      <c r="Y20" s="337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1755" t="s">
        <v>3460</v>
      </c>
      <c r="F22" s="387"/>
      <c r="G22" s="1755" t="s">
        <v>3460</v>
      </c>
      <c r="H22" s="387"/>
      <c r="I22" s="1755" t="s">
        <v>3460</v>
      </c>
      <c r="J22" s="387"/>
      <c r="K22" s="1759"/>
      <c r="L22" s="2492"/>
      <c r="M22" s="2487"/>
      <c r="N22" s="2487"/>
      <c r="O22" s="2487"/>
      <c r="P22" s="3379"/>
      <c r="Q22" s="1263"/>
      <c r="R22" s="667"/>
      <c r="S22" s="668"/>
      <c r="T22" s="667"/>
      <c r="U22" s="668"/>
      <c r="V22" s="667"/>
      <c r="W22" s="668"/>
      <c r="X22" s="1265"/>
      <c r="Y22" s="337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9"/>
      <c r="Q23" s="1263" t="str">
        <f>B23</f>
        <v>自然及人文环境</v>
      </c>
      <c r="R23" s="667" t="s">
        <v>14</v>
      </c>
      <c r="S23" s="668">
        <f>F23</f>
        <v>100</v>
      </c>
      <c r="T23" s="667" t="s">
        <v>14</v>
      </c>
      <c r="U23" s="668">
        <f>H23</f>
        <v>100</v>
      </c>
      <c r="V23" s="667" t="s">
        <v>14</v>
      </c>
      <c r="W23" s="668">
        <f>J23</f>
        <v>100</v>
      </c>
      <c r="X23" s="1265"/>
      <c r="Y23" s="3372"/>
      <c r="Z23" s="1264" t="str">
        <f>Q23</f>
        <v>自然及人文环境</v>
      </c>
      <c r="AA23" s="1264">
        <f>D23/F23</f>
        <v>1</v>
      </c>
      <c r="AB23" s="1264">
        <f>D23/H23</f>
        <v>1</v>
      </c>
      <c r="AC23" s="1264">
        <f>D23/J23</f>
        <v>1</v>
      </c>
    </row>
    <row r="24" spans="1:29" ht="15">
      <c r="A24" s="367"/>
      <c r="B24" s="395"/>
      <c r="C24" s="386" t="s">
        <v>3455</v>
      </c>
      <c r="D24" s="387"/>
      <c r="E24" s="386" t="s">
        <v>3455</v>
      </c>
      <c r="F24" s="387"/>
      <c r="G24" s="386" t="s">
        <v>3455</v>
      </c>
      <c r="H24" s="387"/>
      <c r="I24" s="386" t="s">
        <v>3455</v>
      </c>
      <c r="J24" s="387"/>
      <c r="K24" s="1753"/>
      <c r="L24" s="2492"/>
      <c r="M24" s="2487"/>
      <c r="N24" s="2487"/>
      <c r="O24" s="2487"/>
      <c r="P24" s="3379"/>
      <c r="Q24" s="1263"/>
      <c r="R24" s="667"/>
      <c r="S24" s="668"/>
      <c r="T24" s="667"/>
      <c r="U24" s="668"/>
      <c r="V24" s="667"/>
      <c r="W24" s="668"/>
      <c r="X24" s="1265"/>
      <c r="Y24" s="337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9"/>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7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9"/>
      <c r="Q26" s="1263" t="str">
        <f t="shared" si="11"/>
        <v>朝向</v>
      </c>
      <c r="R26" s="667" t="s">
        <v>14</v>
      </c>
      <c r="S26" s="668">
        <f t="shared" si="12"/>
        <v>100</v>
      </c>
      <c r="T26" s="667" t="s">
        <v>14</v>
      </c>
      <c r="U26" s="668">
        <f t="shared" si="13"/>
        <v>100</v>
      </c>
      <c r="V26" s="667" t="s">
        <v>14</v>
      </c>
      <c r="W26" s="668">
        <f t="shared" si="14"/>
        <v>100</v>
      </c>
      <c r="X26" s="1265"/>
      <c r="Y26" s="337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79"/>
      <c r="Q27" s="530">
        <f t="shared" si="11"/>
        <v>111</v>
      </c>
      <c r="R27" s="664" t="s">
        <v>14</v>
      </c>
      <c r="S27" s="665">
        <f t="shared" si="12"/>
        <v>100</v>
      </c>
      <c r="T27" s="664" t="s">
        <v>14</v>
      </c>
      <c r="U27" s="665">
        <f t="shared" si="13"/>
        <v>100</v>
      </c>
      <c r="V27" s="664" t="s">
        <v>14</v>
      </c>
      <c r="W27" s="665">
        <f t="shared" si="14"/>
        <v>100</v>
      </c>
      <c r="X27" s="666"/>
      <c r="Y27" s="337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9"/>
      <c r="Q28" s="1263">
        <f t="shared" si="11"/>
        <v>111</v>
      </c>
      <c r="R28" s="667" t="s">
        <v>14</v>
      </c>
      <c r="S28" s="668">
        <f t="shared" si="12"/>
        <v>100</v>
      </c>
      <c r="T28" s="667" t="s">
        <v>14</v>
      </c>
      <c r="U28" s="668">
        <f t="shared" si="13"/>
        <v>100</v>
      </c>
      <c r="V28" s="667" t="s">
        <v>14</v>
      </c>
      <c r="W28" s="668">
        <f t="shared" si="14"/>
        <v>100</v>
      </c>
      <c r="X28" s="1265"/>
      <c r="Y28" s="337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9"/>
      <c r="Q29" s="1263">
        <f t="shared" si="11"/>
        <v>111</v>
      </c>
      <c r="R29" s="667" t="s">
        <v>14</v>
      </c>
      <c r="S29" s="668">
        <f t="shared" si="12"/>
        <v>100</v>
      </c>
      <c r="T29" s="667" t="s">
        <v>14</v>
      </c>
      <c r="U29" s="668">
        <f t="shared" si="13"/>
        <v>100</v>
      </c>
      <c r="V29" s="667" t="s">
        <v>14</v>
      </c>
      <c r="W29" s="668">
        <f t="shared" si="14"/>
        <v>100</v>
      </c>
      <c r="X29" s="1265"/>
      <c r="Y29" s="337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9"/>
      <c r="Q30" s="1263">
        <f t="shared" si="11"/>
        <v>111</v>
      </c>
      <c r="R30" s="667" t="s">
        <v>14</v>
      </c>
      <c r="S30" s="668">
        <f t="shared" si="12"/>
        <v>100</v>
      </c>
      <c r="T30" s="667" t="s">
        <v>14</v>
      </c>
      <c r="U30" s="668">
        <f t="shared" si="13"/>
        <v>100</v>
      </c>
      <c r="V30" s="667" t="s">
        <v>14</v>
      </c>
      <c r="W30" s="668">
        <f t="shared" si="14"/>
        <v>100</v>
      </c>
      <c r="X30" s="1265"/>
      <c r="Y30" s="337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9"/>
      <c r="Q31" s="1263">
        <f t="shared" si="11"/>
        <v>111</v>
      </c>
      <c r="R31" s="667" t="s">
        <v>14</v>
      </c>
      <c r="S31" s="668">
        <f t="shared" si="12"/>
        <v>100</v>
      </c>
      <c r="T31" s="667" t="s">
        <v>14</v>
      </c>
      <c r="U31" s="668">
        <f t="shared" si="13"/>
        <v>100</v>
      </c>
      <c r="V31" s="667" t="s">
        <v>14</v>
      </c>
      <c r="W31" s="668">
        <f t="shared" si="14"/>
        <v>100</v>
      </c>
      <c r="X31" s="1265"/>
      <c r="Y31" s="3372"/>
      <c r="Z31" s="1264">
        <f t="shared" si="18"/>
        <v>111</v>
      </c>
      <c r="AA31" s="1264">
        <f t="shared" si="15"/>
        <v>1</v>
      </c>
      <c r="AB31" s="1264">
        <f t="shared" si="16"/>
        <v>1</v>
      </c>
      <c r="AC31" s="1264">
        <f t="shared" si="17"/>
        <v>1</v>
      </c>
    </row>
    <row r="32" spans="1:29" ht="15">
      <c r="A32" s="379" t="s">
        <v>1694</v>
      </c>
      <c r="B32" s="60" t="s">
        <v>1695</v>
      </c>
      <c r="C32" s="1764" t="s">
        <v>3456</v>
      </c>
      <c r="D32" s="405">
        <v>100</v>
      </c>
      <c r="E32" s="1764" t="s">
        <v>3456</v>
      </c>
      <c r="F32" s="400">
        <f>SUMIF(100:100,E32,101:101)-SUMIF(100:100,C32,101:101)+100</f>
        <v>100</v>
      </c>
      <c r="G32" s="1764" t="s">
        <v>3456</v>
      </c>
      <c r="H32" s="405">
        <f>SUMIF(100:100,G32,101:101)-SUMIF(100:100,C32,101:101)+100</f>
        <v>100</v>
      </c>
      <c r="I32" s="1764" t="s">
        <v>3456</v>
      </c>
      <c r="J32" s="374">
        <f>SUMIF(100:100,I32,101:101)-SUMIF(100:100,C32,101:101)+100</f>
        <v>100</v>
      </c>
      <c r="K32" s="365"/>
      <c r="L32" s="2492"/>
      <c r="M32" s="2487"/>
      <c r="N32" s="2487"/>
      <c r="O32" s="2487"/>
      <c r="P32" s="3373" t="s">
        <v>1696</v>
      </c>
      <c r="Q32" s="1263" t="str">
        <f t="shared" si="11"/>
        <v>建筑类型</v>
      </c>
      <c r="R32" s="667" t="s">
        <v>14</v>
      </c>
      <c r="S32" s="668">
        <f t="shared" si="12"/>
        <v>100</v>
      </c>
      <c r="T32" s="667" t="s">
        <v>14</v>
      </c>
      <c r="U32" s="668">
        <f t="shared" si="13"/>
        <v>100</v>
      </c>
      <c r="V32" s="667" t="s">
        <v>14</v>
      </c>
      <c r="W32" s="668">
        <f t="shared" si="14"/>
        <v>100</v>
      </c>
      <c r="X32" s="1265"/>
      <c r="Y32" s="337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Sheet1!N26</f>
        <v>260</v>
      </c>
      <c r="F33" s="364">
        <f>LOOKUP(E33,103:103,104:104)-LOOKUP(C33,103:103,104:104)+100</f>
        <v>102</v>
      </c>
      <c r="G33" s="368">
        <f>Sheet1!N27</f>
        <v>297</v>
      </c>
      <c r="H33" s="119">
        <f>LOOKUP(G33,103:103,104:104)-LOOKUP(C33,103:103,104:104)+100</f>
        <v>102</v>
      </c>
      <c r="I33" s="369">
        <f>Sheet1!N28</f>
        <v>208</v>
      </c>
      <c r="J33" s="119">
        <f>LOOKUP(I33,103:103,104:104)-LOOKUP(C33,103:103,104:104)+100</f>
        <v>100</v>
      </c>
      <c r="K33" s="1748"/>
      <c r="L33" s="2491"/>
      <c r="M33" s="2493"/>
      <c r="N33" s="2493"/>
      <c r="O33" s="2493"/>
      <c r="P33" s="3374"/>
      <c r="Q33" s="531" t="str">
        <f t="shared" si="11"/>
        <v>项目建筑规模</v>
      </c>
      <c r="R33" s="669" t="s">
        <v>14</v>
      </c>
      <c r="S33" s="670">
        <f t="shared" si="12"/>
        <v>102</v>
      </c>
      <c r="T33" s="669" t="s">
        <v>14</v>
      </c>
      <c r="U33" s="670">
        <f t="shared" si="13"/>
        <v>102</v>
      </c>
      <c r="V33" s="669" t="s">
        <v>14</v>
      </c>
      <c r="W33" s="670">
        <f t="shared" si="14"/>
        <v>100</v>
      </c>
      <c r="X33" s="671"/>
      <c r="Y33" s="3376"/>
      <c r="Z33" s="672" t="str">
        <f t="shared" si="18"/>
        <v>项目建筑规模</v>
      </c>
      <c r="AA33" s="1264">
        <f t="shared" si="15"/>
        <v>0.98039215686274506</v>
      </c>
      <c r="AB33" s="1264">
        <f t="shared" si="16"/>
        <v>0.98039215686274506</v>
      </c>
      <c r="AC33" s="1264">
        <f t="shared" si="17"/>
        <v>1</v>
      </c>
    </row>
    <row r="34" spans="1:29" ht="15">
      <c r="A34" s="409"/>
      <c r="B34" s="364" t="s">
        <v>1698</v>
      </c>
      <c r="C34" s="399" t="s">
        <v>3458</v>
      </c>
      <c r="D34" s="374">
        <v>100</v>
      </c>
      <c r="E34" s="399" t="s">
        <v>3458</v>
      </c>
      <c r="F34" s="400">
        <f>SUMIF(105:105,E34,106:106)-SUMIF(105:105,C34,106:106)+100</f>
        <v>100</v>
      </c>
      <c r="G34" s="399" t="s">
        <v>3458</v>
      </c>
      <c r="H34" s="374">
        <f>SUMIF(105:105,G34,106:106)-SUMIF(105:105,C34,106:106)+100</f>
        <v>100</v>
      </c>
      <c r="I34" s="399" t="s">
        <v>3458</v>
      </c>
      <c r="J34" s="374">
        <f>SUMIF(105:105,I34,106:106)-SUMIF(105:105,C34,106:106)+100</f>
        <v>100</v>
      </c>
      <c r="K34" s="365"/>
      <c r="L34" s="2492"/>
      <c r="M34" s="2487"/>
      <c r="N34" s="2487"/>
      <c r="O34" s="2487"/>
      <c r="P34" s="3374"/>
      <c r="Q34" s="1263" t="str">
        <f t="shared" si="11"/>
        <v>建筑结构</v>
      </c>
      <c r="R34" s="667" t="s">
        <v>14</v>
      </c>
      <c r="S34" s="668">
        <f t="shared" si="12"/>
        <v>100</v>
      </c>
      <c r="T34" s="667" t="s">
        <v>14</v>
      </c>
      <c r="U34" s="668">
        <f t="shared" si="13"/>
        <v>100</v>
      </c>
      <c r="V34" s="667" t="s">
        <v>14</v>
      </c>
      <c r="W34" s="668">
        <f t="shared" si="14"/>
        <v>100</v>
      </c>
      <c r="X34" s="1265"/>
      <c r="Y34" s="337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4"/>
      <c r="Q35" s="1263" t="str">
        <f t="shared" si="11"/>
        <v>建筑品质</v>
      </c>
      <c r="R35" s="667" t="s">
        <v>14</v>
      </c>
      <c r="S35" s="668">
        <f t="shared" si="12"/>
        <v>100</v>
      </c>
      <c r="T35" s="667" t="s">
        <v>14</v>
      </c>
      <c r="U35" s="668">
        <f t="shared" si="13"/>
        <v>100</v>
      </c>
      <c r="V35" s="667" t="s">
        <v>14</v>
      </c>
      <c r="W35" s="668">
        <f t="shared" si="14"/>
        <v>100</v>
      </c>
      <c r="X35" s="1265"/>
      <c r="Y35" s="337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4"/>
      <c r="Q36" s="1263" t="str">
        <f t="shared" si="11"/>
        <v>公共部分装修</v>
      </c>
      <c r="R36" s="667" t="s">
        <v>14</v>
      </c>
      <c r="S36" s="668">
        <f t="shared" si="12"/>
        <v>100</v>
      </c>
      <c r="T36" s="667" t="s">
        <v>14</v>
      </c>
      <c r="U36" s="668">
        <f t="shared" si="13"/>
        <v>100</v>
      </c>
      <c r="V36" s="667" t="s">
        <v>14</v>
      </c>
      <c r="W36" s="668">
        <f t="shared" si="14"/>
        <v>100</v>
      </c>
      <c r="X36" s="1265"/>
      <c r="Y36" s="3376"/>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8"/>
      <c r="M37" s="2439"/>
      <c r="N37" s="2439"/>
      <c r="O37" s="2439"/>
      <c r="P37" s="3374"/>
      <c r="Q37" s="530" t="str">
        <f t="shared" si="11"/>
        <v>成新度</v>
      </c>
      <c r="R37" s="664" t="s">
        <v>14</v>
      </c>
      <c r="S37" s="665">
        <f t="shared" si="12"/>
        <v>100</v>
      </c>
      <c r="T37" s="664" t="s">
        <v>14</v>
      </c>
      <c r="U37" s="665">
        <f t="shared" si="13"/>
        <v>100</v>
      </c>
      <c r="V37" s="664" t="s">
        <v>14</v>
      </c>
      <c r="W37" s="665">
        <f t="shared" si="14"/>
        <v>100</v>
      </c>
      <c r="X37" s="666"/>
      <c r="Y37" s="3376"/>
      <c r="Z37" s="50" t="str">
        <f t="shared" si="18"/>
        <v>成新度</v>
      </c>
      <c r="AA37" s="50">
        <f t="shared" si="15"/>
        <v>1</v>
      </c>
      <c r="AB37" s="50">
        <f t="shared" si="16"/>
        <v>1</v>
      </c>
      <c r="AC37" s="50">
        <f t="shared" si="17"/>
        <v>1</v>
      </c>
    </row>
    <row r="38" spans="1:29" ht="15">
      <c r="A38" s="409"/>
      <c r="B38" s="364" t="s">
        <v>1702</v>
      </c>
      <c r="C38" s="1760" t="s">
        <v>3453</v>
      </c>
      <c r="D38" s="374">
        <v>100</v>
      </c>
      <c r="E38" s="1760" t="s">
        <v>3453</v>
      </c>
      <c r="F38" s="400">
        <f>SUMIF(114:114,E38,115:115)-SUMIF(114:114,C38,115:115)+100</f>
        <v>100</v>
      </c>
      <c r="G38" s="1760" t="s">
        <v>3453</v>
      </c>
      <c r="H38" s="374">
        <f>SUMIF(114:114,G38,115:115)-SUMIF(114:114,C38,115:115)+100</f>
        <v>100</v>
      </c>
      <c r="I38" s="1760" t="s">
        <v>3453</v>
      </c>
      <c r="J38" s="374">
        <f>SUMIF(114:114,I38,115:115)-SUMIF(114:114,C38,115:115)+100</f>
        <v>100</v>
      </c>
      <c r="K38" s="365"/>
      <c r="L38" s="2492"/>
      <c r="M38" s="2487"/>
      <c r="N38" s="2487"/>
      <c r="O38" s="2487"/>
      <c r="P38" s="3374" t="s">
        <v>1696</v>
      </c>
      <c r="Q38" s="1263" t="str">
        <f t="shared" si="11"/>
        <v>物业管理</v>
      </c>
      <c r="R38" s="667" t="s">
        <v>14</v>
      </c>
      <c r="S38" s="668">
        <f t="shared" si="12"/>
        <v>100</v>
      </c>
      <c r="T38" s="667" t="s">
        <v>14</v>
      </c>
      <c r="U38" s="668">
        <f t="shared" si="13"/>
        <v>100</v>
      </c>
      <c r="V38" s="667" t="s">
        <v>14</v>
      </c>
      <c r="W38" s="668">
        <f t="shared" si="14"/>
        <v>100</v>
      </c>
      <c r="X38" s="1265"/>
      <c r="Y38" s="337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4"/>
      <c r="Q39" s="1263" t="str">
        <f t="shared" si="11"/>
        <v>市政基础设施</v>
      </c>
      <c r="R39" s="667" t="s">
        <v>14</v>
      </c>
      <c r="S39" s="668">
        <f t="shared" si="12"/>
        <v>100</v>
      </c>
      <c r="T39" s="667" t="s">
        <v>14</v>
      </c>
      <c r="U39" s="668">
        <f t="shared" si="13"/>
        <v>100</v>
      </c>
      <c r="V39" s="667" t="s">
        <v>14</v>
      </c>
      <c r="W39" s="668">
        <f t="shared" si="14"/>
        <v>100</v>
      </c>
      <c r="X39" s="1265"/>
      <c r="Y39" s="337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4"/>
      <c r="Q40" s="1263" t="str">
        <f t="shared" si="11"/>
        <v>房型</v>
      </c>
      <c r="R40" s="667" t="s">
        <v>14</v>
      </c>
      <c r="S40" s="668">
        <f t="shared" si="12"/>
        <v>100</v>
      </c>
      <c r="T40" s="667" t="s">
        <v>14</v>
      </c>
      <c r="U40" s="668">
        <f t="shared" si="13"/>
        <v>100</v>
      </c>
      <c r="V40" s="667" t="s">
        <v>14</v>
      </c>
      <c r="W40" s="668">
        <f t="shared" si="14"/>
        <v>100</v>
      </c>
      <c r="X40" s="1265"/>
      <c r="Y40" s="337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4"/>
      <c r="Q41" s="531" t="str">
        <f t="shared" si="11"/>
        <v>单套/主力户型建筑面积</v>
      </c>
      <c r="R41" s="669" t="s">
        <v>14</v>
      </c>
      <c r="S41" s="670">
        <f t="shared" si="12"/>
        <v>100</v>
      </c>
      <c r="T41" s="669" t="s">
        <v>14</v>
      </c>
      <c r="U41" s="670">
        <f t="shared" si="13"/>
        <v>100</v>
      </c>
      <c r="V41" s="669" t="s">
        <v>14</v>
      </c>
      <c r="W41" s="670">
        <f t="shared" si="14"/>
        <v>100</v>
      </c>
      <c r="X41" s="671"/>
      <c r="Y41" s="3376"/>
      <c r="Z41" s="672" t="str">
        <f t="shared" si="18"/>
        <v>单套/主力户型建筑面积</v>
      </c>
      <c r="AA41" s="1264">
        <f t="shared" si="15"/>
        <v>1</v>
      </c>
      <c r="AB41" s="1264">
        <f t="shared" si="16"/>
        <v>1</v>
      </c>
      <c r="AC41" s="1264">
        <f t="shared" si="17"/>
        <v>1</v>
      </c>
    </row>
    <row r="42" spans="1:29" ht="15">
      <c r="A42" s="409"/>
      <c r="B42" s="364" t="s">
        <v>1706</v>
      </c>
      <c r="C42" s="1760" t="s">
        <v>3448</v>
      </c>
      <c r="D42" s="374">
        <v>100</v>
      </c>
      <c r="E42" s="1761" t="s">
        <v>3446</v>
      </c>
      <c r="F42" s="400">
        <f>SUMIF(122:122,E42,123:123)-SUMIF(122:122,C42,123:123)+100</f>
        <v>102</v>
      </c>
      <c r="G42" s="1761" t="s">
        <v>3446</v>
      </c>
      <c r="H42" s="374">
        <f>SUMIF(122:122,G42,123:123)-SUMIF(122:122,C42,123:123)+100</f>
        <v>102</v>
      </c>
      <c r="I42" s="1761" t="s">
        <v>3448</v>
      </c>
      <c r="J42" s="374">
        <f>SUMIF(122:122,I42,123:123)-SUMIF(122:122,C42,123:123)+100</f>
        <v>100</v>
      </c>
      <c r="K42" s="365">
        <v>2</v>
      </c>
      <c r="L42" s="2492"/>
      <c r="M42" s="2487"/>
      <c r="N42" s="2487"/>
      <c r="O42" s="2487"/>
      <c r="P42" s="3374"/>
      <c r="Q42" s="1263" t="str">
        <f t="shared" si="11"/>
        <v>内部装修</v>
      </c>
      <c r="R42" s="667" t="s">
        <v>14</v>
      </c>
      <c r="S42" s="668">
        <f t="shared" si="12"/>
        <v>102</v>
      </c>
      <c r="T42" s="667" t="s">
        <v>14</v>
      </c>
      <c r="U42" s="668">
        <f t="shared" si="13"/>
        <v>102</v>
      </c>
      <c r="V42" s="667" t="s">
        <v>14</v>
      </c>
      <c r="W42" s="668">
        <f t="shared" si="14"/>
        <v>100</v>
      </c>
      <c r="X42" s="1265"/>
      <c r="Y42" s="3376"/>
      <c r="Z42" s="1264" t="str">
        <f t="shared" si="18"/>
        <v>内部装修</v>
      </c>
      <c r="AA42" s="1264">
        <f t="shared" si="15"/>
        <v>0.98039215686274506</v>
      </c>
      <c r="AB42" s="1264">
        <f t="shared" si="16"/>
        <v>0.98039215686274506</v>
      </c>
      <c r="AC42" s="1264">
        <f t="shared" si="17"/>
        <v>1</v>
      </c>
    </row>
    <row r="43" spans="1:29" ht="15">
      <c r="A43" s="409"/>
      <c r="B43" s="364" t="s">
        <v>1707</v>
      </c>
      <c r="C43" s="1760" t="s">
        <v>3455</v>
      </c>
      <c r="D43" s="374">
        <v>100</v>
      </c>
      <c r="E43" s="1760" t="s">
        <v>3455</v>
      </c>
      <c r="F43" s="400">
        <f>SUMIF(124:124,E43,125:125)-SUMIF(124:124,C43,125:125)+100</f>
        <v>100</v>
      </c>
      <c r="G43" s="1760" t="s">
        <v>3455</v>
      </c>
      <c r="H43" s="374">
        <f>SUMIF(124:124,G43,125:125)-SUMIF(124:124,C43,125:125)+100</f>
        <v>100</v>
      </c>
      <c r="I43" s="1760" t="s">
        <v>3455</v>
      </c>
      <c r="J43" s="374">
        <f>SUMIF(124:124,I43,125:125)-SUMIF(124:124,C43,125:125)+100</f>
        <v>100</v>
      </c>
      <c r="K43" s="365"/>
      <c r="L43" s="2492"/>
      <c r="M43" s="2487"/>
      <c r="N43" s="2487"/>
      <c r="O43" s="2487"/>
      <c r="P43" s="3374"/>
      <c r="Q43" s="1263" t="str">
        <f t="shared" si="11"/>
        <v>内部装修维护情况</v>
      </c>
      <c r="R43" s="667" t="s">
        <v>14</v>
      </c>
      <c r="S43" s="668">
        <f t="shared" si="12"/>
        <v>100</v>
      </c>
      <c r="T43" s="667" t="s">
        <v>14</v>
      </c>
      <c r="U43" s="668">
        <f t="shared" si="13"/>
        <v>100</v>
      </c>
      <c r="V43" s="667" t="s">
        <v>14</v>
      </c>
      <c r="W43" s="668">
        <f t="shared" si="14"/>
        <v>100</v>
      </c>
      <c r="X43" s="1265"/>
      <c r="Y43" s="337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74"/>
      <c r="Q44" s="530">
        <f t="shared" si="11"/>
        <v>111</v>
      </c>
      <c r="R44" s="664" t="s">
        <v>14</v>
      </c>
      <c r="S44" s="665">
        <f t="shared" si="12"/>
        <v>100</v>
      </c>
      <c r="T44" s="664" t="s">
        <v>14</v>
      </c>
      <c r="U44" s="665">
        <f t="shared" si="13"/>
        <v>100</v>
      </c>
      <c r="V44" s="664" t="s">
        <v>14</v>
      </c>
      <c r="W44" s="665">
        <f t="shared" si="14"/>
        <v>100</v>
      </c>
      <c r="X44" s="666"/>
      <c r="Y44" s="337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4"/>
      <c r="Q45" s="1263">
        <f t="shared" si="11"/>
        <v>111</v>
      </c>
      <c r="R45" s="667" t="s">
        <v>14</v>
      </c>
      <c r="S45" s="668">
        <f t="shared" si="12"/>
        <v>100</v>
      </c>
      <c r="T45" s="667" t="s">
        <v>14</v>
      </c>
      <c r="U45" s="668">
        <f t="shared" si="13"/>
        <v>100</v>
      </c>
      <c r="V45" s="667" t="s">
        <v>14</v>
      </c>
      <c r="W45" s="668">
        <f t="shared" si="14"/>
        <v>100</v>
      </c>
      <c r="X45" s="1265"/>
      <c r="Y45" s="337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5"/>
      <c r="Q46" s="1263">
        <f t="shared" si="11"/>
        <v>111</v>
      </c>
      <c r="R46" s="667" t="s">
        <v>14</v>
      </c>
      <c r="S46" s="668">
        <f t="shared" si="12"/>
        <v>100</v>
      </c>
      <c r="T46" s="667" t="s">
        <v>14</v>
      </c>
      <c r="U46" s="668">
        <f t="shared" si="13"/>
        <v>100</v>
      </c>
      <c r="V46" s="667" t="s">
        <v>14</v>
      </c>
      <c r="W46" s="668">
        <f t="shared" si="14"/>
        <v>100</v>
      </c>
      <c r="X46" s="1265"/>
      <c r="Y46" s="3377"/>
      <c r="Z46" s="1264">
        <f t="shared" si="18"/>
        <v>111</v>
      </c>
      <c r="AA46" s="1264">
        <f t="shared" si="15"/>
        <v>1</v>
      </c>
      <c r="AB46" s="1264">
        <f t="shared" si="16"/>
        <v>1</v>
      </c>
      <c r="AC46" s="1264">
        <f t="shared" si="17"/>
        <v>1</v>
      </c>
    </row>
    <row r="47" spans="1:29" ht="15">
      <c r="A47" s="416" t="s">
        <v>1708</v>
      </c>
      <c r="B47" s="417"/>
      <c r="C47" s="1081" t="s">
        <v>0</v>
      </c>
      <c r="D47" s="418"/>
      <c r="E47" s="419">
        <f>Sheet1!Q26</f>
        <v>32000</v>
      </c>
      <c r="F47" s="420"/>
      <c r="G47" s="421">
        <f>Sheet1!Q27</f>
        <v>28000</v>
      </c>
      <c r="H47" s="422"/>
      <c r="I47" s="419">
        <f>Sheet1!Q28</f>
        <v>26000</v>
      </c>
      <c r="J47" s="422"/>
      <c r="K47" s="1766"/>
      <c r="L47" s="2494"/>
      <c r="M47" s="2487"/>
      <c r="N47" s="2487"/>
      <c r="O47" s="2487"/>
      <c r="P47" s="3369" t="str">
        <f>A47</f>
        <v>成交单价（元/平方米）</v>
      </c>
      <c r="Q47" s="3369"/>
      <c r="R47" s="3370">
        <f>E47</f>
        <v>32000</v>
      </c>
      <c r="S47" s="3370"/>
      <c r="T47" s="3370">
        <f>G47</f>
        <v>28000</v>
      </c>
      <c r="U47" s="3370"/>
      <c r="V47" s="3370">
        <f>I47</f>
        <v>26000</v>
      </c>
      <c r="W47" s="3370"/>
      <c r="X47" s="385"/>
      <c r="Y47" s="673"/>
      <c r="Z47" s="385"/>
      <c r="AA47" s="385"/>
      <c r="AB47" s="385"/>
      <c r="AC47" s="385"/>
    </row>
    <row r="48" spans="1:29" ht="15.75" thickBot="1">
      <c r="A48" s="423" t="s">
        <v>1709</v>
      </c>
      <c r="B48" s="424"/>
      <c r="C48" s="1082">
        <f>R49</f>
        <v>27907</v>
      </c>
      <c r="D48" s="2140" t="s">
        <v>2138</v>
      </c>
      <c r="E48" s="1083">
        <f>R48</f>
        <v>30757</v>
      </c>
      <c r="F48" s="2141"/>
      <c r="G48" s="1082">
        <f>T48</f>
        <v>26913</v>
      </c>
      <c r="H48" s="2141"/>
      <c r="I48" s="1083">
        <f>V48</f>
        <v>26052</v>
      </c>
      <c r="J48" s="2141"/>
      <c r="K48" s="2142">
        <f>F48+H48+J48</f>
        <v>0</v>
      </c>
      <c r="L48" s="2494"/>
      <c r="M48" s="2487"/>
      <c r="N48" s="2487"/>
      <c r="O48" s="2487"/>
      <c r="P48" s="3369" t="str">
        <f>A48</f>
        <v>比较价值（元/平方米）</v>
      </c>
      <c r="Q48" s="3369"/>
      <c r="R48" s="3370">
        <f>IF(F1="售价",ROUND(PRODUCT(R47,AA7:AA46),0),ROUND(PRODUCT(R47,AA7:AA46),1))</f>
        <v>30757</v>
      </c>
      <c r="S48" s="3370"/>
      <c r="T48" s="3370">
        <f>IF(F1="售价",ROUND(PRODUCT(T47,AB7:AB46),0),ROUND(PRODUCT(T47,AB7:AB46),1))</f>
        <v>26913</v>
      </c>
      <c r="U48" s="3370"/>
      <c r="V48" s="3370">
        <f>IF(F1="售价",ROUND(PRODUCT(V47,AC7:AC46),0),ROUND(PRODUCT(V47,AC7:AC46),1))</f>
        <v>26052</v>
      </c>
      <c r="W48" s="3370"/>
      <c r="X48" s="385"/>
      <c r="Y48" s="385"/>
      <c r="Z48" s="385"/>
      <c r="AA48" s="385"/>
      <c r="AB48" s="385"/>
      <c r="AC48" s="385"/>
    </row>
    <row r="49" spans="1:29" ht="15.75" thickBot="1">
      <c r="A49" s="427" t="s">
        <v>1710</v>
      </c>
      <c r="B49" s="428"/>
      <c r="C49" s="1084">
        <f>R49</f>
        <v>27907</v>
      </c>
      <c r="D49" s="351"/>
      <c r="E49" s="351"/>
      <c r="F49" s="351"/>
      <c r="G49" s="351"/>
      <c r="H49" s="351"/>
      <c r="I49" s="351"/>
      <c r="J49" s="351"/>
      <c r="K49" s="1767"/>
      <c r="L49" s="2494"/>
      <c r="M49" s="2487"/>
      <c r="N49" s="2487"/>
      <c r="O49" s="2487"/>
      <c r="P49" s="3366" t="str">
        <f>A49</f>
        <v>估价对象XX用房的比较价值（楼面单价，元/平方米）</v>
      </c>
      <c r="Q49" s="3367"/>
      <c r="R49" s="3368">
        <f>IF(F1="售价",ROUND(IF(D48="简单平均",AVERAGE(R48:V48),R48*F48+T48*H48+V48*J48),0),ROUND(IF(D48="简单平均",AVERAGE(R48:V48),R48*F48+T48*H48+V48*J48),1))</f>
        <v>27907</v>
      </c>
      <c r="S49" s="3368"/>
      <c r="T49" s="3368"/>
      <c r="U49" s="3368"/>
      <c r="V49" s="3368"/>
      <c r="W49" s="336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4.0413564391845735E-2</v>
      </c>
      <c r="F52" s="435" t="str">
        <f>IF(OR(E52&gt;=0.3,E52&lt;=-0.3),"超过30%","")</f>
        <v/>
      </c>
      <c r="G52" s="434">
        <f>IF(G47&lt;G48,G48/G47-1,G47/G48-1)</f>
        <v>4.0389402890796289E-2</v>
      </c>
      <c r="H52" s="435" t="str">
        <f>IF(OR(G52&gt;=0.3,G52&lt;=-0.3),"超过30%","")</f>
        <v/>
      </c>
      <c r="I52" s="434">
        <f>IF(I47&lt;I48,I48/I47-1,I47/I48-1)</f>
        <v>2.0000000000000018E-3</v>
      </c>
      <c r="J52" s="435" t="str">
        <f>IF(OR(I52&gt;=0.3,I52&lt;=-0.3),"超过30%","")</f>
        <v/>
      </c>
      <c r="K52" s="2499"/>
      <c r="L52" s="2495"/>
      <c r="M52" s="2487"/>
      <c r="N52" s="2487"/>
      <c r="O52" s="2487"/>
    </row>
    <row r="53" spans="1:29" ht="13.5" customHeight="1">
      <c r="A53" s="2487"/>
      <c r="B53" s="2487"/>
      <c r="C53" s="432" t="s">
        <v>1712</v>
      </c>
      <c r="D53" s="436"/>
      <c r="E53" s="434">
        <f>IF(E48&lt;G48,G48/E48-1,E48/G48-1)</f>
        <v>0.14283060231115075</v>
      </c>
      <c r="F53" s="435" t="str">
        <f>IF(OR(E53&gt;=0.2,E53&lt;=-0.2),"超过20%","")</f>
        <v/>
      </c>
      <c r="G53" s="434">
        <f>IF(G48&lt;I48,I48/G48-1,G48/I48-1)</f>
        <v>3.3049286043298043E-2</v>
      </c>
      <c r="H53" s="435" t="str">
        <f>IF(OR(G53&gt;=0.2,G53&lt;=-0.2),"超过20%","")</f>
        <v/>
      </c>
      <c r="I53" s="434">
        <f>IF(I48&lt;E48,E48/I48-1,I48/E48-1)</f>
        <v>0.18060033778596662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0.14285714285714279</v>
      </c>
      <c r="F54" s="435" t="str">
        <f>IF(OR(E54&gt;=0.3,E54&lt;=-0.3),"超过30%","")</f>
        <v/>
      </c>
      <c r="G54" s="434">
        <f>IF(G47&lt;I47,I47/G47-1,G47/I47-1)</f>
        <v>7.6923076923076872E-2</v>
      </c>
      <c r="H54" s="435" t="str">
        <f>IF(OR(G54&gt;=0.3,G54&lt;=-0.3),"超过30%","")</f>
        <v/>
      </c>
      <c r="I54" s="434">
        <f>IF(I47&lt;E47,E47/I47-1,I47/E47-1)</f>
        <v>0.23076923076923084</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1679</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99.8</v>
      </c>
      <c r="G59" s="446">
        <v>99.8</v>
      </c>
      <c r="H59" s="446">
        <v>99.8</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1681</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3" t="s">
        <v>3439</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4" t="s">
        <v>3462</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5"/>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5"/>
      <c r="Q104" s="490"/>
    </row>
    <row r="105" spans="1:17" ht="15" thickTop="1">
      <c r="A105" s="409"/>
      <c r="B105" s="469" t="s">
        <v>1738</v>
      </c>
      <c r="C105" s="3173" t="s">
        <v>3464</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3" t="s">
        <v>3463</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3" t="s">
        <v>3447</v>
      </c>
      <c r="D122" s="3173" t="s">
        <v>3449</v>
      </c>
      <c r="E122" s="3173" t="s">
        <v>3450</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733.2029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35071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4927517.0200000005</v>
      </c>
      <c r="D5" s="203" t="s">
        <v>1469</v>
      </c>
      <c r="E5" s="204" t="s">
        <v>1470</v>
      </c>
      <c r="F5" s="204" t="s">
        <v>1471</v>
      </c>
      <c r="G5" s="205"/>
    </row>
    <row r="6" spans="1:8" s="206" customFormat="1" ht="13.5" customHeight="1">
      <c r="A6" s="732" t="s">
        <v>1472</v>
      </c>
      <c r="B6" s="207" t="s">
        <v>1473</v>
      </c>
      <c r="C6" s="208">
        <f>基准地价修正!C33*基准地价修正!D33</f>
        <v>4749216.0200000005</v>
      </c>
      <c r="D6" s="209"/>
      <c r="E6" s="210"/>
      <c r="F6" s="210"/>
      <c r="G6" s="211"/>
    </row>
    <row r="7" spans="1:8" s="206" customFormat="1" ht="13.5" customHeight="1">
      <c r="A7" s="732" t="s">
        <v>1474</v>
      </c>
      <c r="B7" s="207" t="s">
        <v>1475</v>
      </c>
      <c r="C7" s="212">
        <f>ROUND(C6*F7,0)</f>
        <v>144851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33450</v>
      </c>
      <c r="D8" s="214"/>
      <c r="E8" s="212"/>
      <c r="F8" s="213"/>
      <c r="G8" s="1714" t="s">
        <v>3472</v>
      </c>
    </row>
    <row r="9" spans="1:8" s="206" customFormat="1" ht="13.5" customHeight="1">
      <c r="A9" s="733" t="s">
        <v>355</v>
      </c>
      <c r="B9" s="216" t="s">
        <v>1478</v>
      </c>
      <c r="C9" s="217">
        <f ca="1">ROUND(D9*E9,0)</f>
        <v>33450</v>
      </c>
      <c r="D9" s="795">
        <f ca="1">IF(B1="",'数据-汇总表'!E5,IF(INDIRECT("'数据-取费表'!c"&amp;$G$1)="住宅",INDIRECT("'数据-取费表'!k"&amp;$G$1),0))</f>
        <v>209.06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209.06</v>
      </c>
      <c r="E19" s="203">
        <f>'数据-取费表'!B31</f>
        <v>200</v>
      </c>
      <c r="F19" s="223"/>
      <c r="G19" s="1714" t="s">
        <v>3473</v>
      </c>
    </row>
    <row r="20" spans="1:7" s="206" customFormat="1" ht="13.5" customHeight="1">
      <c r="A20" s="247" t="s">
        <v>1574</v>
      </c>
      <c r="B20" s="202" t="s">
        <v>1575</v>
      </c>
      <c r="C20" s="224">
        <f ca="1">ROUND((C5+C19)*F20,0)</f>
        <v>49275</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314832</v>
      </c>
      <c r="D22" s="227">
        <f ca="1">C26</f>
        <v>8.9999999999999998E-4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313290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1542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746519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746519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6625856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719166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627180</v>
      </c>
      <c r="D34" s="209"/>
      <c r="E34" s="212"/>
      <c r="F34" s="249"/>
      <c r="G34" s="211"/>
    </row>
    <row r="35" spans="1:7" ht="13.5" customHeight="1">
      <c r="A35" s="734" t="s">
        <v>351</v>
      </c>
      <c r="B35" s="207" t="s">
        <v>1527</v>
      </c>
      <c r="C35" s="212">
        <f ca="1">ROUND(C34*F35,0)</f>
        <v>18815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18815</v>
      </c>
      <c r="D36" s="212"/>
      <c r="E36" s="212"/>
      <c r="F36" s="251">
        <f>'数据-取费表'!B34</f>
        <v>0.03</v>
      </c>
      <c r="G36" s="252" t="s">
        <v>1530</v>
      </c>
    </row>
    <row r="37" spans="1:7" s="250" customFormat="1" ht="13.5" customHeight="1">
      <c r="A37" s="734" t="s">
        <v>353</v>
      </c>
      <c r="B37" s="207" t="s">
        <v>1531</v>
      </c>
      <c r="C37" s="241">
        <f ca="1">ROUND(E37*D37,0)</f>
        <v>41812</v>
      </c>
      <c r="D37" s="209">
        <f ca="1">D19</f>
        <v>209.06</v>
      </c>
      <c r="E37" s="241">
        <f>'数据-取费表'!B35</f>
        <v>200</v>
      </c>
      <c r="F37" s="251"/>
      <c r="G37" s="253"/>
    </row>
    <row r="38" spans="1:7" ht="13.5" customHeight="1">
      <c r="A38" s="734" t="s">
        <v>354</v>
      </c>
      <c r="B38" s="207" t="s">
        <v>1533</v>
      </c>
      <c r="C38" s="212">
        <f ca="1">ROUND(C34*F38,0)</f>
        <v>12544</v>
      </c>
      <c r="D38" s="212"/>
      <c r="E38" s="212"/>
      <c r="F38" s="251">
        <f>'数据-取费表'!B36</f>
        <v>0.02</v>
      </c>
      <c r="G38" s="211" t="s">
        <v>1528</v>
      </c>
    </row>
    <row r="39" spans="1:7" s="206" customFormat="1" ht="13.5" customHeight="1">
      <c r="A39" s="247" t="s">
        <v>1534</v>
      </c>
      <c r="B39" s="202" t="s">
        <v>1535</v>
      </c>
      <c r="C39" s="224">
        <f ca="1">ROUND(C33*F20,0)</f>
        <v>7192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22735</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22510</v>
      </c>
      <c r="D42" s="230"/>
      <c r="E42" s="230"/>
      <c r="F42" s="231"/>
      <c r="G42" s="3358" t="s">
        <v>1591</v>
      </c>
    </row>
    <row r="43" spans="1:7" ht="13.5" customHeight="1">
      <c r="A43" s="734" t="s">
        <v>347</v>
      </c>
      <c r="B43" s="207" t="s">
        <v>1545</v>
      </c>
      <c r="C43" s="230">
        <f ca="1">ROUND(IF('数据-取费表'!B22&lt;=1,C39*F22*'数据-取费表'!B20/2,C39*(POWER((1+F22),'数据-取费表'!B20/2)-1)),0)</f>
        <v>225</v>
      </c>
      <c r="D43" s="230"/>
      <c r="E43" s="230"/>
      <c r="F43" s="231"/>
      <c r="G43" s="3359"/>
    </row>
    <row r="44" spans="1:7" ht="13.5" customHeight="1">
      <c r="A44" s="734" t="s">
        <v>348</v>
      </c>
      <c r="B44" s="207" t="s">
        <v>1546</v>
      </c>
      <c r="C44" s="230">
        <f ca="1">ROUND(IF('数据-取费表'!B22&lt;=1,C40*F22*'数据-取费表'!B20/2,C40*(POWER((1+F22),'数据-取费表'!B20/2)-1)),4)</f>
        <v>8.9999999999999998E-4</v>
      </c>
      <c r="D44" s="230"/>
      <c r="E44" s="230"/>
      <c r="F44" s="231"/>
      <c r="G44" s="3360"/>
    </row>
    <row r="45" spans="1:7" s="206" customFormat="1" ht="13.5" customHeight="1">
      <c r="A45" s="247" t="s">
        <v>1547</v>
      </c>
      <c r="B45" s="236" t="s">
        <v>1513</v>
      </c>
      <c r="C45" s="237">
        <f ca="1">C46</f>
        <v>108954</v>
      </c>
      <c r="D45" s="227">
        <f ca="1">C47</f>
        <v>4.4999999999999997E-3</v>
      </c>
      <c r="E45" s="228" t="s">
        <v>1539</v>
      </c>
      <c r="F45" s="238">
        <f ca="1">F27</f>
        <v>0.15</v>
      </c>
      <c r="G45" s="239" t="s">
        <v>1548</v>
      </c>
    </row>
    <row r="46" spans="1:7" s="206" customFormat="1" ht="13.5" customHeight="1">
      <c r="A46" s="734" t="s">
        <v>346</v>
      </c>
      <c r="B46" s="240" t="s">
        <v>1549</v>
      </c>
      <c r="C46" s="241">
        <f ca="1">ROUND((C33+C39)*F27,0)</f>
        <v>108954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941564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706173</v>
      </c>
      <c r="D51" s="224"/>
      <c r="E51" s="224"/>
      <c r="F51" s="256"/>
      <c r="G51" s="226" t="s">
        <v>1560</v>
      </c>
    </row>
    <row r="52" spans="1:7" s="200" customFormat="1" ht="16.5" thickBot="1">
      <c r="A52" s="257" t="s">
        <v>1561</v>
      </c>
      <c r="B52" s="258"/>
      <c r="C52" s="259">
        <f ca="1">C31+C51</f>
        <v>7332029</v>
      </c>
      <c r="D52" s="258"/>
      <c r="E52" s="258"/>
      <c r="F52" s="258"/>
      <c r="G52" s="260"/>
    </row>
    <row r="55" spans="1:7" ht="15">
      <c r="B55" s="262" t="s">
        <v>1562</v>
      </c>
      <c r="C55" s="263"/>
    </row>
    <row r="56" spans="1:7">
      <c r="B56" s="265" t="s">
        <v>802</v>
      </c>
      <c r="C56" s="267">
        <f ca="1">1-C57</f>
        <v>0.90400000000000003</v>
      </c>
    </row>
    <row r="57" spans="1:7">
      <c r="B57" s="265" t="s">
        <v>803</v>
      </c>
      <c r="C57" s="266">
        <f ca="1">ROUND(C51/C52,3)</f>
        <v>9.6000000000000002E-2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209.06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475</v>
      </c>
      <c r="C2" s="1845" t="s">
        <v>1935</v>
      </c>
      <c r="D2" s="162" t="s">
        <v>1936</v>
      </c>
      <c r="E2" s="3120" t="s">
        <v>3404</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27921</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22721</v>
      </c>
      <c r="C3" s="1845" t="s">
        <v>1941</v>
      </c>
      <c r="D3" s="162" t="s">
        <v>1942</v>
      </c>
      <c r="E3" s="3118" t="s">
        <v>3413</v>
      </c>
      <c r="F3" s="1847" t="s">
        <v>3466</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22007</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70"/>
      <c r="B4" s="3471"/>
      <c r="C4" s="3471"/>
      <c r="D4" s="3472"/>
      <c r="E4" s="3472"/>
      <c r="F4" s="3472"/>
      <c r="G4" s="3472"/>
      <c r="H4" s="3472"/>
      <c r="I4" s="3472"/>
      <c r="J4" s="347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18599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18709</v>
      </c>
      <c r="D5" s="1252">
        <f>ROUND(C6*C17+C20,0)</f>
        <v>14080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16404</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14100</v>
      </c>
      <c r="D6" s="1860"/>
      <c r="E6" s="1861"/>
      <c r="F6" s="1861"/>
      <c r="G6" s="1862"/>
      <c r="H6" s="1862"/>
      <c r="I6" s="1862"/>
      <c r="J6" s="1863"/>
      <c r="K6" s="1292"/>
      <c r="L6" s="1846" t="s">
        <v>1951</v>
      </c>
      <c r="M6" s="811">
        <f>SUMPRODUCT((区片价!B127:B189=I2)*(区片价!C3:G3=E2)*(区片价!C127:G189))</f>
        <v>14100</v>
      </c>
      <c r="N6" s="813">
        <f>SUMPRODUCT((因素修正幅度!B127:B189=I2)*(因素修正幅度!C3:G3=E2)*(因素修正幅度!C127:G189))</f>
        <v>0.122</v>
      </c>
      <c r="O6" s="1056"/>
      <c r="P6" s="1056"/>
      <c r="Q6" s="1056"/>
      <c r="R6" s="1129">
        <v>5</v>
      </c>
      <c r="S6" s="3063">
        <f>ROUND(SUMPRODUCT((B106:B110=R6)*(C105:N105=G2)*(C106:N110)),4)</f>
        <v>0.84799999999999998</v>
      </c>
      <c r="T6" s="3063">
        <f t="shared" si="0"/>
        <v>15764</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六级</v>
      </c>
      <c r="Y7" s="1131" t="s">
        <v>1956</v>
      </c>
      <c r="Z7" s="1132">
        <f>G3</f>
        <v>1</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69"/>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6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7" t="s">
        <v>1982</v>
      </c>
      <c r="C13" s="711">
        <f>ROUND(C16*D16*E16*F16*G16*H16*I16*J16,4)</f>
        <v>1.3283</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3468</v>
      </c>
      <c r="D15" s="1886" t="s">
        <v>3468</v>
      </c>
      <c r="E15" s="1887" t="s">
        <v>3467</v>
      </c>
      <c r="F15" s="1470" t="s">
        <v>3244</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1.05</v>
      </c>
      <c r="E16" s="3024">
        <v>1.1499999999999999</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4" t="s">
        <v>3254</v>
      </c>
      <c r="B20" s="159" t="s">
        <v>1994</v>
      </c>
      <c r="C20" s="3031">
        <f>ROUND(IF(F21="与级别开发程度一致",0,(G21-E21)/C21),0)</f>
        <v>-20</v>
      </c>
      <c r="D20" s="3046" t="s">
        <v>1998</v>
      </c>
      <c r="E20" s="3047"/>
      <c r="F20" s="3480" t="s">
        <v>1995</v>
      </c>
      <c r="G20" s="3481"/>
      <c r="H20" s="3032" t="s">
        <v>3421</v>
      </c>
      <c r="I20" s="3032" t="s">
        <v>3422</v>
      </c>
      <c r="J20" s="3033" t="s">
        <v>3423</v>
      </c>
      <c r="K20" s="1888" t="s">
        <v>3424</v>
      </c>
      <c r="L20" s="1888" t="s">
        <v>3425</v>
      </c>
      <c r="M20" s="1888" t="s">
        <v>3426</v>
      </c>
      <c r="N20" s="1888" t="s">
        <v>3427</v>
      </c>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7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3469</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5" t="s">
        <v>2002</v>
      </c>
      <c r="E23" s="717">
        <v>44197</v>
      </c>
      <c r="F23" s="1895" t="s">
        <v>2003</v>
      </c>
      <c r="G23" s="718">
        <f>'数据-取费表'!B2</f>
        <v>45911</v>
      </c>
      <c r="H23" s="3048" t="s">
        <v>3470</v>
      </c>
      <c r="I23" s="3049" t="str">
        <f>IF(H23="季度增幅（自定义）",SUMIF(N25:N28,E2,O25:O28),"")</f>
        <v/>
      </c>
      <c r="J23" s="3141" t="s">
        <v>3471</v>
      </c>
      <c r="K23" s="1061"/>
      <c r="L23" s="1896" t="s">
        <v>2004</v>
      </c>
      <c r="M23" s="1241">
        <f>ROUND(SUMIF(地价!B2:G2,E2,地价!B16:G16),0)</f>
        <v>687</v>
      </c>
      <c r="N23" s="1897"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0.92959999999999998</v>
      </c>
      <c r="D24" s="1901" t="s">
        <v>2007</v>
      </c>
      <c r="E24" s="1248">
        <f>存贷款利率!E28/100</f>
        <v>4.3499999999999997E-2</v>
      </c>
      <c r="F24" s="1901" t="s">
        <v>1999</v>
      </c>
      <c r="G24" s="724">
        <f>SUMIF(M30:Q30,E2,M33:Q33)</f>
        <v>0.05</v>
      </c>
      <c r="H24" s="1901" t="s">
        <v>2008</v>
      </c>
      <c r="I24" s="725">
        <f>SUMIF('数据-取费表'!C6:C15,E2,'数据-取费表'!F6:F15)/COUNTIF('数据-取费表'!C6:C15,E2)</f>
        <v>47</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3333</v>
      </c>
      <c r="C25" s="461">
        <f>IF(B25="容积率修正",IF(G3&lt;10,D26,J26),C27)</f>
        <v>1.222</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3255</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1" t="s">
        <v>3256</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475</v>
      </c>
      <c r="D30" s="1924"/>
      <c r="E30" s="1841"/>
      <c r="F30" s="1925"/>
      <c r="G30" s="1841"/>
      <c r="H30" s="1841"/>
      <c r="I30" s="1841"/>
      <c r="J30" s="1926"/>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22717</v>
      </c>
      <c r="D33" s="1939">
        <f>'数据-汇总表'!F19</f>
        <v>209.06</v>
      </c>
      <c r="E33" s="727">
        <f>ROUND(C33*D33/10000,0)</f>
        <v>475</v>
      </c>
      <c r="F33" s="3050" t="s">
        <v>3258</v>
      </c>
      <c r="G33" s="1940"/>
      <c r="H33" s="1940"/>
      <c r="I33" s="1940"/>
      <c r="J33" s="1941"/>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5679</v>
      </c>
      <c r="D34" s="1944"/>
      <c r="E34" s="727">
        <f>ROUND(IF(B25="楼层修正",SUM(V2:V16)*M40,C34*D34/10000),0)</f>
        <v>0</v>
      </c>
      <c r="F34" s="1945" t="s">
        <v>2032</v>
      </c>
      <c r="G34" s="1946"/>
      <c r="H34" s="1946"/>
      <c r="I34" s="1946"/>
      <c r="J34" s="1947"/>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8"/>
      <c r="B37" s="1954" t="s">
        <v>2036</v>
      </c>
      <c r="C37" s="167">
        <f>ROUND(D5*C22*C23*C24*C28*F37,0)</f>
        <v>8394</v>
      </c>
      <c r="D37" s="1939"/>
      <c r="E37" s="163">
        <f>ROUND(C37*D37/10000,0)</f>
        <v>0</v>
      </c>
      <c r="F37" s="163">
        <f>SUMIF(修正!A59:A70,G2,修正!B59:B70)</f>
        <v>0.6</v>
      </c>
      <c r="G37" s="163">
        <f>ROUND(IF(E2="工业",C37*$M$42,C37*$M$41),0)</f>
        <v>2099</v>
      </c>
      <c r="H37" s="163">
        <f>D37</f>
        <v>0</v>
      </c>
      <c r="I37" s="163">
        <f>ROUND(G37*H37/10000,0)</f>
        <v>0</v>
      </c>
      <c r="J37" s="2754"/>
      <c r="K37" s="3061" t="s">
        <v>3264</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9"/>
      <c r="B38" s="1883" t="s">
        <v>2037</v>
      </c>
      <c r="C38" s="167">
        <f>ROUND(D5*C22*C23*C24*C28*F38,0)</f>
        <v>4197</v>
      </c>
      <c r="D38" s="1939"/>
      <c r="E38" s="163">
        <f t="shared" ref="E38:E42" si="4">ROUND(C38*D38/10000,0)</f>
        <v>0</v>
      </c>
      <c r="F38" s="163">
        <f>SUMIF(修正!A59:A70,G2,修正!C59:C70)</f>
        <v>0.3</v>
      </c>
      <c r="G38" s="163">
        <f>ROUND(IF(E2="工业",C38*$M$42,C38*$M$41),0)</f>
        <v>1049</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9"/>
      <c r="B39" s="1883" t="s">
        <v>3257</v>
      </c>
      <c r="C39" s="167">
        <f>ROUND(D5*C22*C23*C24*C28*F39,0)</f>
        <v>3498</v>
      </c>
      <c r="D39" s="1939"/>
      <c r="E39" s="163">
        <f t="shared" si="4"/>
        <v>0</v>
      </c>
      <c r="F39" s="163">
        <f>SUMIF(修正!A59:A70,G2,修正!D59:D70)</f>
        <v>0.25</v>
      </c>
      <c r="G39" s="163">
        <f>ROUND(IF(E2="工业",C39*$M$42,C39*$M$41),0)</f>
        <v>875</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3498</v>
      </c>
      <c r="D40" s="1939"/>
      <c r="E40" s="163">
        <f t="shared" si="4"/>
        <v>0</v>
      </c>
      <c r="F40" s="167">
        <f>SUMIF(修正!A59:A70,G2,修正!E59:E70)</f>
        <v>0.25</v>
      </c>
      <c r="G40" s="163">
        <f>ROUND(IF(E2="工业",C40*$M$42,C40*$M$41),0)</f>
        <v>875</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9"/>
      <c r="L41" s="3062" t="s">
        <v>3265</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3267</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3267</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f>IF(E2="住宅",SUMIF(L1:L12,G2,N1:N12),"——")</f>
        <v>0.122</v>
      </c>
      <c r="G72" s="1000"/>
      <c r="H72" s="1003">
        <f t="shared" ref="H72:H80" si="18">IFERROR(ROUNDDOWN($F$72*I72/2,4),"——")</f>
        <v>1.2200000000000001E-2</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f t="shared" si="18"/>
        <v>1.5800000000000002E-2</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3267</v>
      </c>
      <c r="B74" s="1262">
        <f>估价对象房地状况!C19</f>
        <v>0</v>
      </c>
      <c r="C74" s="1886"/>
      <c r="D74" s="1002">
        <f t="shared" si="17"/>
        <v>0</v>
      </c>
      <c r="E74" s="705"/>
      <c r="F74" s="1675"/>
      <c r="G74" s="1000"/>
      <c r="H74" s="1003">
        <f t="shared" si="18"/>
        <v>6.1000000000000004E-3</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f t="shared" si="18"/>
        <v>3.0000000000000001E-3</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f t="shared" si="18"/>
        <v>4.7999999999999996E-3</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f t="shared" si="18"/>
        <v>5.4000000000000003E-3</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f t="shared" si="18"/>
        <v>3.0000000000000001E-3</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f t="shared" si="18"/>
        <v>7.3000000000000001E-3</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f t="shared" si="18"/>
        <v>3.0000000000000001E-3</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3268</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3267</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3272</v>
      </c>
      <c r="B96" s="3086" t="s">
        <v>3283</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3273</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3274</v>
      </c>
      <c r="B98" s="3087" t="s">
        <v>3284</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3275</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3276</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3277</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6" t="s">
        <v>3292</v>
      </c>
      <c r="B103" s="3476"/>
      <c r="C103" s="3476"/>
      <c r="D103" s="3476"/>
      <c r="E103" s="3476"/>
      <c r="F103" s="3476"/>
      <c r="G103" s="3476"/>
      <c r="H103" s="3476"/>
      <c r="I103" s="3476"/>
      <c r="J103" s="3476"/>
      <c r="K103" s="1667"/>
      <c r="L103" s="1667"/>
      <c r="M103" s="1667"/>
      <c r="N103" s="1667"/>
    </row>
    <row r="104" spans="1:14">
      <c r="A104" s="3477" t="s">
        <v>3293</v>
      </c>
      <c r="B104" s="3477" t="s">
        <v>3294</v>
      </c>
      <c r="C104" s="3090" t="s">
        <v>3295</v>
      </c>
      <c r="D104" s="3091"/>
      <c r="E104" s="3091"/>
      <c r="F104" s="3091"/>
      <c r="G104" s="3091"/>
      <c r="H104" s="3091"/>
      <c r="I104" s="3091"/>
      <c r="J104" s="3092"/>
      <c r="K104" s="3093"/>
      <c r="L104" s="3093"/>
      <c r="M104" s="3093"/>
      <c r="N104" s="3093"/>
    </row>
    <row r="105" spans="1:14">
      <c r="A105" s="3477"/>
      <c r="B105" s="3477"/>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3"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4"/>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6" t="s">
        <v>3309</v>
      </c>
      <c r="B113" s="3466"/>
      <c r="C113" s="3466"/>
      <c r="D113" s="3466"/>
      <c r="E113" s="3466"/>
      <c r="F113" s="3466"/>
      <c r="G113" s="3466"/>
      <c r="H113" s="3466"/>
      <c r="I113" s="3466"/>
      <c r="J113" s="346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3310</v>
      </c>
      <c r="B116" s="3114">
        <f>G3</f>
        <v>1</v>
      </c>
      <c r="C116" s="3099" t="s">
        <v>3311</v>
      </c>
      <c r="D116" s="3100">
        <f>SUMPRODUCT((A118:A122=F116)*(B117:M117=H116)*B118:M122)</f>
        <v>0.92249999999999999</v>
      </c>
      <c r="E116" s="162" t="s">
        <v>3312</v>
      </c>
      <c r="F116" s="3101" t="str">
        <f>E2</f>
        <v>住宅</v>
      </c>
      <c r="G116" s="162" t="s">
        <v>3313</v>
      </c>
      <c r="H116" s="3101" t="str">
        <f>G2</f>
        <v>六级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N7:T29"/>
  <sheetViews>
    <sheetView workbookViewId="0">
      <selection activeCell="T26" sqref="T26:T28"/>
    </sheetView>
  </sheetViews>
  <sheetFormatPr defaultRowHeight="13.5"/>
  <cols>
    <col min="18" max="18" width="10.5" bestFit="1" customWidth="1"/>
    <col min="19" max="19" width="11.625" bestFit="1" customWidth="1"/>
  </cols>
  <sheetData>
    <row r="7" spans="14:20">
      <c r="N7">
        <v>246.92</v>
      </c>
      <c r="O7" s="1405" t="s">
        <v>3437</v>
      </c>
      <c r="P7" s="1405" t="s">
        <v>3439</v>
      </c>
      <c r="Q7">
        <v>42524</v>
      </c>
      <c r="R7" s="3169">
        <v>45868</v>
      </c>
      <c r="S7" s="3170">
        <f>Q7*N7/10000</f>
        <v>1050.002608</v>
      </c>
    </row>
    <row r="8" spans="14:20">
      <c r="N8">
        <v>276.49</v>
      </c>
      <c r="O8" s="1405" t="s">
        <v>3437</v>
      </c>
      <c r="P8" s="1405" t="s">
        <v>3439</v>
      </c>
      <c r="Q8">
        <v>39061</v>
      </c>
      <c r="R8" s="3169">
        <v>45867</v>
      </c>
      <c r="S8" s="3170">
        <f t="shared" ref="S8:S15" si="0">Q8*N8/10000</f>
        <v>1079.9975890000001</v>
      </c>
    </row>
    <row r="9" spans="14:20">
      <c r="N9">
        <v>122.35</v>
      </c>
      <c r="O9" s="1405" t="s">
        <v>3437</v>
      </c>
      <c r="P9" s="1405" t="s">
        <v>3439</v>
      </c>
      <c r="Q9">
        <v>27217</v>
      </c>
      <c r="R9" s="3169">
        <v>45866</v>
      </c>
      <c r="S9" s="3170">
        <f t="shared" si="0"/>
        <v>332.99999499999996</v>
      </c>
    </row>
    <row r="10" spans="14:20">
      <c r="N10" s="3158">
        <v>216.61</v>
      </c>
      <c r="O10" s="3171" t="s">
        <v>3437</v>
      </c>
      <c r="P10" s="3171" t="s">
        <v>3439</v>
      </c>
      <c r="Q10" s="3158">
        <v>69249</v>
      </c>
      <c r="R10" s="3172">
        <v>45860</v>
      </c>
      <c r="S10" s="3161">
        <f t="shared" si="0"/>
        <v>1500.0025890000002</v>
      </c>
      <c r="T10" s="1405" t="s">
        <v>3447</v>
      </c>
    </row>
    <row r="11" spans="14:20">
      <c r="N11">
        <v>122.42</v>
      </c>
      <c r="O11" s="1405" t="s">
        <v>3437</v>
      </c>
      <c r="P11" s="1405" t="s">
        <v>3439</v>
      </c>
      <c r="Q11">
        <v>42068</v>
      </c>
      <c r="R11" s="3169">
        <v>45846</v>
      </c>
      <c r="S11" s="3170">
        <f t="shared" si="0"/>
        <v>514.99645600000008</v>
      </c>
    </row>
    <row r="12" spans="14:20">
      <c r="N12" s="3158">
        <v>209.06</v>
      </c>
      <c r="O12" s="3171" t="s">
        <v>3437</v>
      </c>
      <c r="P12" s="3171" t="s">
        <v>3439</v>
      </c>
      <c r="Q12" s="3158">
        <v>64575</v>
      </c>
      <c r="R12" s="3172">
        <v>45824</v>
      </c>
      <c r="S12" s="3161">
        <f t="shared" si="0"/>
        <v>1350.00495</v>
      </c>
      <c r="T12" s="1405" t="s">
        <v>3447</v>
      </c>
    </row>
    <row r="13" spans="14:20">
      <c r="N13">
        <v>94.02</v>
      </c>
      <c r="O13" s="1405" t="s">
        <v>3440</v>
      </c>
      <c r="P13" s="1405" t="s">
        <v>3439</v>
      </c>
      <c r="Q13">
        <v>28611</v>
      </c>
      <c r="R13" s="3169">
        <v>45813</v>
      </c>
      <c r="S13" s="3170">
        <f t="shared" si="0"/>
        <v>269.00062199999996</v>
      </c>
    </row>
    <row r="14" spans="14:20">
      <c r="N14">
        <v>332.32</v>
      </c>
      <c r="O14" s="1405" t="s">
        <v>3437</v>
      </c>
      <c r="P14" s="1405" t="s">
        <v>3439</v>
      </c>
      <c r="Q14">
        <v>40623</v>
      </c>
      <c r="R14" s="3169">
        <v>45811</v>
      </c>
      <c r="S14" s="3170">
        <f t="shared" si="0"/>
        <v>1349.983536</v>
      </c>
    </row>
    <row r="15" spans="14:20">
      <c r="N15">
        <v>143.97999999999999</v>
      </c>
      <c r="O15" s="1405" t="s">
        <v>3441</v>
      </c>
      <c r="P15" s="1405" t="s">
        <v>3439</v>
      </c>
      <c r="Q15">
        <v>31602</v>
      </c>
      <c r="R15" s="3169">
        <v>45776</v>
      </c>
      <c r="S15" s="3170">
        <f t="shared" si="0"/>
        <v>455.00559599999997</v>
      </c>
    </row>
    <row r="16" spans="14:20">
      <c r="N16" s="3158">
        <v>236.11</v>
      </c>
      <c r="O16" s="3171" t="s">
        <v>3437</v>
      </c>
      <c r="P16" s="3171" t="s">
        <v>3439</v>
      </c>
      <c r="Q16" s="3158">
        <f>ROUND(S16/N16*10000,0)</f>
        <v>58447</v>
      </c>
      <c r="R16" s="3172">
        <v>45752</v>
      </c>
      <c r="S16" s="3158">
        <v>1380</v>
      </c>
      <c r="T16" s="1405" t="s">
        <v>3447</v>
      </c>
    </row>
    <row r="26" spans="14:20">
      <c r="N26">
        <v>260</v>
      </c>
      <c r="O26" s="1405" t="s">
        <v>3437</v>
      </c>
      <c r="P26" s="1405" t="s">
        <v>3439</v>
      </c>
      <c r="Q26">
        <v>32000</v>
      </c>
      <c r="R26" s="3169">
        <v>45882</v>
      </c>
      <c r="S26">
        <f>Q26/30/N26</f>
        <v>4.1025641025641031</v>
      </c>
      <c r="T26" s="1405" t="s">
        <v>3447</v>
      </c>
    </row>
    <row r="27" spans="14:20">
      <c r="N27">
        <v>297</v>
      </c>
      <c r="O27" s="1405" t="s">
        <v>3441</v>
      </c>
      <c r="P27" s="1405" t="s">
        <v>3439</v>
      </c>
      <c r="Q27">
        <v>28000</v>
      </c>
      <c r="R27" s="3169">
        <v>45888</v>
      </c>
      <c r="S27">
        <f t="shared" ref="S27:S29" si="1">Q27/30/N27</f>
        <v>3.1425364758698091</v>
      </c>
      <c r="T27" s="1405" t="s">
        <v>3447</v>
      </c>
    </row>
    <row r="28" spans="14:20">
      <c r="N28">
        <v>208</v>
      </c>
      <c r="O28" s="1405" t="s">
        <v>3441</v>
      </c>
      <c r="P28" s="1405" t="s">
        <v>3439</v>
      </c>
      <c r="Q28">
        <v>26000</v>
      </c>
      <c r="R28" s="3169">
        <v>45815</v>
      </c>
      <c r="S28">
        <f t="shared" si="1"/>
        <v>4.1666666666666661</v>
      </c>
      <c r="T28" s="1405" t="s">
        <v>3447</v>
      </c>
    </row>
    <row r="29" spans="14:20">
      <c r="N29">
        <v>209</v>
      </c>
      <c r="O29" s="1405" t="s">
        <v>3437</v>
      </c>
      <c r="P29" s="1405" t="s">
        <v>3439</v>
      </c>
      <c r="Q29">
        <v>28000</v>
      </c>
      <c r="R29" s="3169">
        <v>45523</v>
      </c>
      <c r="S29">
        <f t="shared" si="1"/>
        <v>4.4657097288676235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3" t="s">
        <v>2607</v>
      </c>
      <c r="B20" s="3486" t="s">
        <v>2628</v>
      </c>
      <c r="C20" s="3168" t="s">
        <v>2439</v>
      </c>
      <c r="D20" s="3168"/>
      <c r="E20" s="2844">
        <v>1</v>
      </c>
      <c r="F20" s="2845" t="s">
        <v>2440</v>
      </c>
      <c r="G20" s="2845"/>
    </row>
    <row r="21" spans="1:13" ht="19.5" customHeight="1">
      <c r="A21" s="3494"/>
      <c r="B21" s="3482"/>
      <c r="C21" s="2857" t="s">
        <v>2441</v>
      </c>
      <c r="D21" s="2857"/>
      <c r="E21" s="2848">
        <v>1</v>
      </c>
      <c r="F21" s="2845" t="s">
        <v>2442</v>
      </c>
      <c r="G21" s="2845"/>
    </row>
    <row r="22" spans="1:13" ht="19.5" customHeight="1">
      <c r="A22" s="3494"/>
      <c r="B22" s="3482"/>
      <c r="C22" s="2857" t="s">
        <v>2443</v>
      </c>
      <c r="D22" s="2857"/>
      <c r="E22" s="2848">
        <v>0.9</v>
      </c>
      <c r="F22" s="2845" t="s">
        <v>2444</v>
      </c>
      <c r="G22" s="2845"/>
    </row>
    <row r="23" spans="1:13" ht="19.5" customHeight="1">
      <c r="A23" s="3494"/>
      <c r="B23" s="3482"/>
      <c r="C23" s="2857" t="s">
        <v>2445</v>
      </c>
      <c r="D23" s="2857"/>
      <c r="E23" s="2848">
        <v>0.9</v>
      </c>
      <c r="F23" s="2845" t="s">
        <v>2446</v>
      </c>
      <c r="G23" s="2845"/>
    </row>
    <row r="24" spans="1:13" ht="19.5" customHeight="1">
      <c r="A24" s="3494"/>
      <c r="B24" s="3482"/>
      <c r="C24" s="2857" t="s">
        <v>2447</v>
      </c>
      <c r="D24" s="2857"/>
      <c r="E24" s="2848">
        <v>0.8</v>
      </c>
      <c r="F24" s="2845" t="s">
        <v>2448</v>
      </c>
      <c r="G24" s="2845"/>
    </row>
    <row r="25" spans="1:13" ht="19.5" customHeight="1">
      <c r="A25" s="3494"/>
      <c r="B25" s="3482"/>
      <c r="C25" s="2857" t="s">
        <v>2449</v>
      </c>
      <c r="D25" s="2857"/>
      <c r="E25" s="2848">
        <v>0.8</v>
      </c>
      <c r="F25" s="2845"/>
      <c r="G25" s="2845"/>
    </row>
    <row r="26" spans="1:13" ht="19.5" customHeight="1">
      <c r="A26" s="3494"/>
      <c r="B26" s="3482"/>
      <c r="C26" s="2857" t="s">
        <v>3410</v>
      </c>
      <c r="D26" s="2857"/>
      <c r="E26" s="2848">
        <v>0.43</v>
      </c>
      <c r="F26" s="2845"/>
      <c r="G26" s="2845"/>
    </row>
    <row r="27" spans="1:13" ht="19.5" customHeight="1" thickBot="1">
      <c r="A27" s="3495"/>
      <c r="B27" s="3487"/>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8" t="s">
        <v>2631</v>
      </c>
      <c r="B29" s="3491" t="s">
        <v>2612</v>
      </c>
      <c r="C29" s="2842" t="s">
        <v>2452</v>
      </c>
      <c r="D29" s="2843"/>
      <c r="E29" s="2844">
        <v>1</v>
      </c>
      <c r="F29" s="2845" t="s">
        <v>2453</v>
      </c>
      <c r="G29" s="2845"/>
    </row>
    <row r="30" spans="1:13" ht="19.5" customHeight="1">
      <c r="A30" s="3489"/>
      <c r="B30" s="3485"/>
      <c r="C30" s="2846" t="s">
        <v>2454</v>
      </c>
      <c r="D30" s="2847"/>
      <c r="E30" s="2848">
        <v>1</v>
      </c>
      <c r="F30" s="2845" t="s">
        <v>2455</v>
      </c>
      <c r="G30" s="2845"/>
    </row>
    <row r="31" spans="1:13" ht="19.5" customHeight="1">
      <c r="A31" s="3489"/>
      <c r="B31" s="3485"/>
      <c r="C31" s="2846" t="s">
        <v>2456</v>
      </c>
      <c r="D31" s="2847"/>
      <c r="E31" s="2848">
        <v>0.8</v>
      </c>
      <c r="F31" s="2845" t="s">
        <v>2457</v>
      </c>
      <c r="G31" s="2845"/>
    </row>
    <row r="32" spans="1:13" ht="19.5" customHeight="1">
      <c r="A32" s="3489"/>
      <c r="B32" s="3485"/>
      <c r="C32" s="2846" t="s">
        <v>2458</v>
      </c>
      <c r="D32" s="2847"/>
      <c r="E32" s="2848">
        <v>0.8</v>
      </c>
      <c r="F32" s="2845" t="s">
        <v>2459</v>
      </c>
      <c r="G32" s="2845"/>
    </row>
    <row r="33" spans="1:7" ht="19.5" customHeight="1">
      <c r="A33" s="3489"/>
      <c r="B33" s="3485"/>
      <c r="C33" s="2846" t="s">
        <v>2460</v>
      </c>
      <c r="D33" s="2847"/>
      <c r="E33" s="2848">
        <v>0.8</v>
      </c>
      <c r="F33" s="2845" t="s">
        <v>2461</v>
      </c>
      <c r="G33" s="2845"/>
    </row>
    <row r="34" spans="1:7" ht="19.5" customHeight="1">
      <c r="A34" s="3489"/>
      <c r="B34" s="3485"/>
      <c r="C34" s="2846" t="s">
        <v>2462</v>
      </c>
      <c r="D34" s="2847"/>
      <c r="E34" s="2848">
        <v>0.7</v>
      </c>
      <c r="F34" s="2845" t="s">
        <v>2463</v>
      </c>
      <c r="G34" s="2845"/>
    </row>
    <row r="35" spans="1:7" ht="19.5" customHeight="1">
      <c r="A35" s="3489"/>
      <c r="B35" s="3485"/>
      <c r="C35" s="2846" t="s">
        <v>2464</v>
      </c>
      <c r="D35" s="2847"/>
      <c r="E35" s="2848">
        <v>0.8</v>
      </c>
      <c r="F35" s="2845" t="s">
        <v>2465</v>
      </c>
      <c r="G35" s="2845"/>
    </row>
    <row r="36" spans="1:7" ht="19.5" customHeight="1">
      <c r="A36" s="3489"/>
      <c r="B36" s="3485"/>
      <c r="C36" s="2846" t="s">
        <v>2466</v>
      </c>
      <c r="D36" s="2847"/>
      <c r="E36" s="2848">
        <v>0.6</v>
      </c>
      <c r="F36" s="2845" t="s">
        <v>2467</v>
      </c>
      <c r="G36" s="2845"/>
    </row>
    <row r="37" spans="1:7" ht="19.5" customHeight="1">
      <c r="A37" s="3489"/>
      <c r="B37" s="3485"/>
      <c r="C37" s="2846" t="s">
        <v>2468</v>
      </c>
      <c r="D37" s="2847"/>
      <c r="E37" s="2848">
        <v>0.2</v>
      </c>
      <c r="F37" s="2845" t="s">
        <v>2469</v>
      </c>
      <c r="G37" s="2845"/>
    </row>
    <row r="38" spans="1:7" ht="19.5" customHeight="1">
      <c r="A38" s="3489"/>
      <c r="B38" s="3485"/>
      <c r="C38" s="2846" t="s">
        <v>2470</v>
      </c>
      <c r="D38" s="2847"/>
      <c r="E38" s="2848">
        <v>0.2</v>
      </c>
      <c r="F38" s="2845" t="s">
        <v>2471</v>
      </c>
      <c r="G38" s="2845"/>
    </row>
    <row r="39" spans="1:7" ht="19.5" customHeight="1">
      <c r="A39" s="3489"/>
      <c r="B39" s="3483" t="s">
        <v>2632</v>
      </c>
      <c r="C39" s="2846" t="s">
        <v>2472</v>
      </c>
      <c r="D39" s="2847"/>
      <c r="E39" s="2848">
        <v>0.6</v>
      </c>
      <c r="F39" s="2845" t="s">
        <v>2473</v>
      </c>
      <c r="G39" s="2845"/>
    </row>
    <row r="40" spans="1:7" ht="19.5" customHeight="1">
      <c r="A40" s="3489"/>
      <c r="B40" s="3485"/>
      <c r="C40" s="2846" t="s">
        <v>2474</v>
      </c>
      <c r="D40" s="2847"/>
      <c r="E40" s="2848">
        <v>0.6</v>
      </c>
      <c r="F40" s="2845" t="s">
        <v>2475</v>
      </c>
      <c r="G40" s="2845"/>
    </row>
    <row r="41" spans="1:7" ht="19.5" customHeight="1" thickBot="1">
      <c r="A41" s="3490"/>
      <c r="B41" s="3492"/>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3" t="s">
        <v>2610</v>
      </c>
      <c r="B43" s="3491" t="s">
        <v>2634</v>
      </c>
      <c r="C43" s="2842" t="s">
        <v>2479</v>
      </c>
      <c r="D43" s="2843"/>
      <c r="E43" s="2844">
        <v>1</v>
      </c>
      <c r="F43" s="2845" t="s">
        <v>2480</v>
      </c>
      <c r="G43" s="2845"/>
    </row>
    <row r="44" spans="1:7" ht="19.5" customHeight="1">
      <c r="A44" s="3494"/>
      <c r="B44" s="3485"/>
      <c r="C44" s="2846" t="s">
        <v>2481</v>
      </c>
      <c r="D44" s="2847"/>
      <c r="E44" s="2848">
        <v>1</v>
      </c>
      <c r="F44" s="2845" t="s">
        <v>2482</v>
      </c>
      <c r="G44" s="2845"/>
    </row>
    <row r="45" spans="1:7" ht="19.5" customHeight="1">
      <c r="A45" s="3494"/>
      <c r="B45" s="3484"/>
      <c r="C45" s="2846" t="s">
        <v>2483</v>
      </c>
      <c r="D45" s="2847"/>
      <c r="E45" s="2848">
        <v>1.5</v>
      </c>
      <c r="F45" s="2845" t="s">
        <v>2484</v>
      </c>
      <c r="G45" s="2845"/>
    </row>
    <row r="46" spans="1:7" ht="19.5" customHeight="1">
      <c r="A46" s="3494"/>
      <c r="B46" s="2857" t="s">
        <v>2635</v>
      </c>
      <c r="C46" s="2846" t="s">
        <v>2636</v>
      </c>
      <c r="D46" s="2847"/>
      <c r="E46" s="2848">
        <v>2</v>
      </c>
      <c r="F46" s="2845" t="s">
        <v>2485</v>
      </c>
      <c r="G46" s="2845"/>
    </row>
    <row r="47" spans="1:7" ht="19.5" customHeight="1">
      <c r="A47" s="3494"/>
      <c r="B47" s="3483" t="s">
        <v>2637</v>
      </c>
      <c r="C47" s="2846" t="s">
        <v>2486</v>
      </c>
      <c r="D47" s="2847"/>
      <c r="E47" s="2848">
        <v>1</v>
      </c>
      <c r="F47" s="2845" t="s">
        <v>2487</v>
      </c>
      <c r="G47" s="2845"/>
    </row>
    <row r="48" spans="1:7" ht="19.5" customHeight="1">
      <c r="A48" s="3494"/>
      <c r="B48" s="3485"/>
      <c r="C48" s="2846" t="s">
        <v>2488</v>
      </c>
      <c r="D48" s="2847"/>
      <c r="E48" s="2848">
        <v>1</v>
      </c>
      <c r="F48" s="2845" t="s">
        <v>2489</v>
      </c>
      <c r="G48" s="2845"/>
    </row>
    <row r="49" spans="1:7" ht="19.5" customHeight="1">
      <c r="A49" s="3494"/>
      <c r="B49" s="3485"/>
      <c r="C49" s="2846" t="s">
        <v>2490</v>
      </c>
      <c r="D49" s="2847"/>
      <c r="E49" s="2848">
        <v>1</v>
      </c>
      <c r="F49" s="2845" t="s">
        <v>2491</v>
      </c>
      <c r="G49" s="2845"/>
    </row>
    <row r="50" spans="1:7" ht="19.5" customHeight="1">
      <c r="A50" s="3494"/>
      <c r="B50" s="3485"/>
      <c r="C50" s="2846" t="s">
        <v>2492</v>
      </c>
      <c r="D50" s="2847"/>
      <c r="E50" s="2848">
        <v>1</v>
      </c>
      <c r="F50" s="2845" t="s">
        <v>2493</v>
      </c>
      <c r="G50" s="2845"/>
    </row>
    <row r="51" spans="1:7" ht="19.5" customHeight="1">
      <c r="A51" s="3494"/>
      <c r="B51" s="3485"/>
      <c r="C51" s="2846" t="s">
        <v>2494</v>
      </c>
      <c r="D51" s="2847"/>
      <c r="E51" s="2848">
        <v>1</v>
      </c>
      <c r="F51" s="2845" t="s">
        <v>2495</v>
      </c>
      <c r="G51" s="2845"/>
    </row>
    <row r="52" spans="1:7" ht="19.5" customHeight="1">
      <c r="A52" s="3494"/>
      <c r="B52" s="3485"/>
      <c r="C52" s="2846" t="s">
        <v>2496</v>
      </c>
      <c r="D52" s="2847"/>
      <c r="E52" s="2848">
        <v>1</v>
      </c>
      <c r="F52" s="2845" t="s">
        <v>2497</v>
      </c>
      <c r="G52" s="2845"/>
    </row>
    <row r="53" spans="1:7" ht="19.5" customHeight="1" thickBot="1">
      <c r="A53" s="3495"/>
      <c r="B53" s="3492"/>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483" t="s">
        <v>2651</v>
      </c>
      <c r="C75" s="2831" t="s">
        <v>2652</v>
      </c>
      <c r="D75" s="2831" t="s">
        <v>2653</v>
      </c>
      <c r="E75" s="2857">
        <v>0.2</v>
      </c>
      <c r="F75" s="2857">
        <v>25</v>
      </c>
    </row>
    <row r="76" spans="1:7" ht="24">
      <c r="A76" s="2857">
        <v>2</v>
      </c>
      <c r="B76" s="3485"/>
      <c r="C76" s="2831" t="s">
        <v>2654</v>
      </c>
      <c r="D76" s="2831" t="s">
        <v>2655</v>
      </c>
      <c r="E76" s="2857">
        <v>0.2</v>
      </c>
      <c r="F76" s="2857">
        <v>25</v>
      </c>
    </row>
    <row r="77" spans="1:7" ht="24">
      <c r="A77" s="2857">
        <v>3</v>
      </c>
      <c r="B77" s="3485"/>
      <c r="C77" s="2831" t="s">
        <v>2656</v>
      </c>
      <c r="D77" s="2831" t="s">
        <v>2657</v>
      </c>
      <c r="E77" s="2857">
        <v>0.2</v>
      </c>
      <c r="F77" s="2857">
        <v>25</v>
      </c>
    </row>
    <row r="78" spans="1:7" ht="13.5">
      <c r="A78" s="2857">
        <v>4</v>
      </c>
      <c r="B78" s="3485"/>
      <c r="C78" s="2831" t="s">
        <v>2658</v>
      </c>
      <c r="D78" s="2831" t="s">
        <v>2659</v>
      </c>
      <c r="E78" s="2857">
        <v>0.15</v>
      </c>
      <c r="F78" s="2857">
        <v>20</v>
      </c>
    </row>
    <row r="79" spans="1:7" ht="24">
      <c r="A79" s="2857">
        <v>5</v>
      </c>
      <c r="B79" s="3485"/>
      <c r="C79" s="2831" t="s">
        <v>2660</v>
      </c>
      <c r="D79" s="2831" t="s">
        <v>2661</v>
      </c>
      <c r="E79" s="2857">
        <v>0.15</v>
      </c>
      <c r="F79" s="2857">
        <v>20</v>
      </c>
    </row>
    <row r="80" spans="1:7" ht="24">
      <c r="A80" s="2857">
        <v>6</v>
      </c>
      <c r="B80" s="3485"/>
      <c r="C80" s="2831" t="s">
        <v>2662</v>
      </c>
      <c r="D80" s="2831" t="s">
        <v>2663</v>
      </c>
      <c r="E80" s="2857">
        <v>0.15</v>
      </c>
      <c r="F80" s="2857">
        <v>20</v>
      </c>
    </row>
    <row r="81" spans="1:6" ht="24">
      <c r="A81" s="2857">
        <v>7</v>
      </c>
      <c r="B81" s="3485"/>
      <c r="C81" s="2831" t="s">
        <v>2664</v>
      </c>
      <c r="D81" s="2831" t="s">
        <v>2665</v>
      </c>
      <c r="E81" s="2857">
        <v>0.15</v>
      </c>
      <c r="F81" s="2857">
        <v>20</v>
      </c>
    </row>
    <row r="82" spans="1:6" ht="24">
      <c r="A82" s="2857">
        <v>8</v>
      </c>
      <c r="B82" s="3485"/>
      <c r="C82" s="2831" t="s">
        <v>2666</v>
      </c>
      <c r="D82" s="2831" t="s">
        <v>2667</v>
      </c>
      <c r="E82" s="2857">
        <v>0.1</v>
      </c>
      <c r="F82" s="2857">
        <v>15</v>
      </c>
    </row>
    <row r="83" spans="1:6" ht="24">
      <c r="A83" s="2857">
        <v>9</v>
      </c>
      <c r="B83" s="3485"/>
      <c r="C83" s="2831" t="s">
        <v>2668</v>
      </c>
      <c r="D83" s="2831" t="s">
        <v>2669</v>
      </c>
      <c r="E83" s="2857">
        <v>0.1</v>
      </c>
      <c r="F83" s="2857">
        <v>15</v>
      </c>
    </row>
    <row r="84" spans="1:6" ht="24">
      <c r="A84" s="2857">
        <v>10</v>
      </c>
      <c r="B84" s="3485"/>
      <c r="C84" s="2831" t="s">
        <v>2670</v>
      </c>
      <c r="D84" s="2831" t="s">
        <v>2671</v>
      </c>
      <c r="E84" s="2857">
        <v>0.1</v>
      </c>
      <c r="F84" s="2857">
        <v>15</v>
      </c>
    </row>
    <row r="85" spans="1:6" ht="24">
      <c r="A85" s="2857">
        <v>11</v>
      </c>
      <c r="B85" s="3485"/>
      <c r="C85" s="2831" t="s">
        <v>2672</v>
      </c>
      <c r="D85" s="2831" t="s">
        <v>2673</v>
      </c>
      <c r="E85" s="2857">
        <v>0.1</v>
      </c>
      <c r="F85" s="2857">
        <v>15</v>
      </c>
    </row>
    <row r="86" spans="1:6" ht="24">
      <c r="A86" s="2857">
        <v>12</v>
      </c>
      <c r="B86" s="3485"/>
      <c r="C86" s="2831" t="s">
        <v>2674</v>
      </c>
      <c r="D86" s="2831" t="s">
        <v>2675</v>
      </c>
      <c r="E86" s="2857">
        <v>0.1</v>
      </c>
      <c r="F86" s="2857">
        <v>15</v>
      </c>
    </row>
    <row r="87" spans="1:6" ht="13.5">
      <c r="A87" s="2857">
        <v>13</v>
      </c>
      <c r="B87" s="3485"/>
      <c r="C87" s="2831" t="s">
        <v>2676</v>
      </c>
      <c r="D87" s="2831" t="s">
        <v>2677</v>
      </c>
      <c r="E87" s="2857">
        <v>0.1</v>
      </c>
      <c r="F87" s="2857">
        <v>15</v>
      </c>
    </row>
    <row r="88" spans="1:6" ht="13.5">
      <c r="A88" s="2857">
        <v>14</v>
      </c>
      <c r="B88" s="3485"/>
      <c r="C88" s="2831" t="s">
        <v>2678</v>
      </c>
      <c r="D88" s="2831" t="s">
        <v>2679</v>
      </c>
      <c r="E88" s="2857">
        <v>0.1</v>
      </c>
      <c r="F88" s="2857">
        <v>15</v>
      </c>
    </row>
    <row r="89" spans="1:6" ht="13.5">
      <c r="A89" s="2857">
        <v>15</v>
      </c>
      <c r="B89" s="3485"/>
      <c r="C89" s="2831" t="s">
        <v>2680</v>
      </c>
      <c r="D89" s="2831" t="s">
        <v>2681</v>
      </c>
      <c r="E89" s="2857">
        <v>0.1</v>
      </c>
      <c r="F89" s="2857">
        <v>15</v>
      </c>
    </row>
    <row r="90" spans="1:6" ht="24">
      <c r="A90" s="2857">
        <v>16</v>
      </c>
      <c r="B90" s="3485"/>
      <c r="C90" s="2831" t="s">
        <v>2682</v>
      </c>
      <c r="D90" s="2831" t="s">
        <v>2683</v>
      </c>
      <c r="E90" s="2857">
        <v>0.1</v>
      </c>
      <c r="F90" s="2857">
        <v>15</v>
      </c>
    </row>
    <row r="91" spans="1:6" ht="24">
      <c r="A91" s="2857">
        <v>17</v>
      </c>
      <c r="B91" s="3484"/>
      <c r="C91" s="2831" t="s">
        <v>2684</v>
      </c>
      <c r="D91" s="2831" t="s">
        <v>2685</v>
      </c>
      <c r="E91" s="2857">
        <v>0.1</v>
      </c>
      <c r="F91" s="2857">
        <v>15</v>
      </c>
    </row>
    <row r="92" spans="1:6" ht="13.5">
      <c r="A92" s="2857">
        <v>18</v>
      </c>
      <c r="B92" s="3483" t="s">
        <v>2686</v>
      </c>
      <c r="C92" s="2831" t="s">
        <v>2687</v>
      </c>
      <c r="D92" s="2831" t="s">
        <v>2688</v>
      </c>
      <c r="E92" s="2857">
        <v>0.2</v>
      </c>
      <c r="F92" s="2857">
        <v>25</v>
      </c>
    </row>
    <row r="93" spans="1:6" ht="24">
      <c r="A93" s="2857">
        <v>19</v>
      </c>
      <c r="B93" s="3485"/>
      <c r="C93" s="2831" t="s">
        <v>2689</v>
      </c>
      <c r="D93" s="2831" t="s">
        <v>2690</v>
      </c>
      <c r="E93" s="2857">
        <v>0.2</v>
      </c>
      <c r="F93" s="2857">
        <v>25</v>
      </c>
    </row>
    <row r="94" spans="1:6" ht="13.5">
      <c r="A94" s="2857">
        <v>20</v>
      </c>
      <c r="B94" s="3485"/>
      <c r="C94" s="2831" t="s">
        <v>2691</v>
      </c>
      <c r="D94" s="2831" t="s">
        <v>2692</v>
      </c>
      <c r="E94" s="2857">
        <v>0.15</v>
      </c>
      <c r="F94" s="2857">
        <v>20</v>
      </c>
    </row>
    <row r="95" spans="1:6" ht="13.5">
      <c r="A95" s="2857">
        <v>21</v>
      </c>
      <c r="B95" s="3485"/>
      <c r="C95" s="2831" t="s">
        <v>2693</v>
      </c>
      <c r="D95" s="2831" t="s">
        <v>2694</v>
      </c>
      <c r="E95" s="2857">
        <v>0.15</v>
      </c>
      <c r="F95" s="2857">
        <v>20</v>
      </c>
    </row>
    <row r="96" spans="1:6" ht="13.5">
      <c r="A96" s="2857">
        <v>22</v>
      </c>
      <c r="B96" s="3485"/>
      <c r="C96" s="2831" t="s">
        <v>2695</v>
      </c>
      <c r="D96" s="2831" t="s">
        <v>2696</v>
      </c>
      <c r="E96" s="2857">
        <v>0.15</v>
      </c>
      <c r="F96" s="2857">
        <v>20</v>
      </c>
    </row>
    <row r="97" spans="1:6" ht="36">
      <c r="A97" s="2857">
        <v>23</v>
      </c>
      <c r="B97" s="3485"/>
      <c r="C97" s="2831" t="s">
        <v>2697</v>
      </c>
      <c r="D97" s="2831" t="s">
        <v>2698</v>
      </c>
      <c r="E97" s="2857">
        <v>0.15</v>
      </c>
      <c r="F97" s="2857">
        <v>20</v>
      </c>
    </row>
    <row r="98" spans="1:6" ht="13.5">
      <c r="A98" s="2857">
        <v>24</v>
      </c>
      <c r="B98" s="3485"/>
      <c r="C98" s="2831" t="s">
        <v>2699</v>
      </c>
      <c r="D98" s="2831" t="s">
        <v>2700</v>
      </c>
      <c r="E98" s="2857">
        <v>0.1</v>
      </c>
      <c r="F98" s="2857">
        <v>15</v>
      </c>
    </row>
    <row r="99" spans="1:6" ht="13.5">
      <c r="A99" s="2857">
        <v>25</v>
      </c>
      <c r="B99" s="3485"/>
      <c r="C99" s="2831" t="s">
        <v>2701</v>
      </c>
      <c r="D99" s="2831" t="s">
        <v>2702</v>
      </c>
      <c r="E99" s="2857">
        <v>0.1</v>
      </c>
      <c r="F99" s="2857">
        <v>15</v>
      </c>
    </row>
    <row r="100" spans="1:6" ht="24">
      <c r="A100" s="2857">
        <v>26</v>
      </c>
      <c r="B100" s="3485"/>
      <c r="C100" s="2831" t="s">
        <v>2703</v>
      </c>
      <c r="D100" s="2831" t="s">
        <v>2704</v>
      </c>
      <c r="E100" s="2857">
        <v>0.1</v>
      </c>
      <c r="F100" s="2857">
        <v>15</v>
      </c>
    </row>
    <row r="101" spans="1:6" ht="24">
      <c r="A101" s="2857">
        <v>27</v>
      </c>
      <c r="B101" s="3485"/>
      <c r="C101" s="2831" t="s">
        <v>2705</v>
      </c>
      <c r="D101" s="2831" t="s">
        <v>2706</v>
      </c>
      <c r="E101" s="2857">
        <v>0.1</v>
      </c>
      <c r="F101" s="2857">
        <v>15</v>
      </c>
    </row>
    <row r="102" spans="1:6" ht="13.5">
      <c r="A102" s="2857">
        <v>28</v>
      </c>
      <c r="B102" s="3485"/>
      <c r="C102" s="2831" t="s">
        <v>2707</v>
      </c>
      <c r="D102" s="2831" t="s">
        <v>2708</v>
      </c>
      <c r="E102" s="2857">
        <v>0.1</v>
      </c>
      <c r="F102" s="2857">
        <v>15</v>
      </c>
    </row>
    <row r="103" spans="1:6" ht="13.5">
      <c r="A103" s="2857">
        <v>29</v>
      </c>
      <c r="B103" s="3485"/>
      <c r="C103" s="2831" t="s">
        <v>2709</v>
      </c>
      <c r="D103" s="2831" t="s">
        <v>2710</v>
      </c>
      <c r="E103" s="2857">
        <v>0.1</v>
      </c>
      <c r="F103" s="2857">
        <v>15</v>
      </c>
    </row>
    <row r="104" spans="1:6" ht="13.5">
      <c r="A104" s="2857">
        <v>30</v>
      </c>
      <c r="B104" s="3485"/>
      <c r="C104" s="2831" t="s">
        <v>2711</v>
      </c>
      <c r="D104" s="2831" t="s">
        <v>2712</v>
      </c>
      <c r="E104" s="2857">
        <v>0.1</v>
      </c>
      <c r="F104" s="2857">
        <v>15</v>
      </c>
    </row>
    <row r="105" spans="1:6" ht="24">
      <c r="A105" s="2857">
        <v>31</v>
      </c>
      <c r="B105" s="3485"/>
      <c r="C105" s="2831" t="s">
        <v>2713</v>
      </c>
      <c r="D105" s="2831" t="s">
        <v>2714</v>
      </c>
      <c r="E105" s="2857">
        <v>0.1</v>
      </c>
      <c r="F105" s="2857">
        <v>15</v>
      </c>
    </row>
    <row r="106" spans="1:6" ht="24">
      <c r="A106" s="2857">
        <v>32</v>
      </c>
      <c r="B106" s="3485"/>
      <c r="C106" s="2831" t="s">
        <v>2715</v>
      </c>
      <c r="D106" s="2831" t="s">
        <v>2716</v>
      </c>
      <c r="E106" s="2857">
        <v>0.1</v>
      </c>
      <c r="F106" s="2857">
        <v>15</v>
      </c>
    </row>
    <row r="107" spans="1:6" ht="24">
      <c r="A107" s="2857">
        <v>33</v>
      </c>
      <c r="B107" s="3485"/>
      <c r="C107" s="2831" t="s">
        <v>2717</v>
      </c>
      <c r="D107" s="2831" t="s">
        <v>2718</v>
      </c>
      <c r="E107" s="2857">
        <v>0.1</v>
      </c>
      <c r="F107" s="2857">
        <v>15</v>
      </c>
    </row>
    <row r="108" spans="1:6" ht="24">
      <c r="A108" s="2857">
        <v>34</v>
      </c>
      <c r="B108" s="3484"/>
      <c r="C108" s="2831" t="s">
        <v>2719</v>
      </c>
      <c r="D108" s="2831" t="s">
        <v>2720</v>
      </c>
      <c r="E108" s="2857">
        <v>0.1</v>
      </c>
      <c r="F108" s="2857">
        <v>15</v>
      </c>
    </row>
    <row r="109" spans="1:6" ht="24">
      <c r="A109" s="2857">
        <v>35</v>
      </c>
      <c r="B109" s="3483" t="s">
        <v>2721</v>
      </c>
      <c r="C109" s="2857" t="s">
        <v>2722</v>
      </c>
      <c r="D109" s="2831" t="s">
        <v>2723</v>
      </c>
      <c r="E109" s="2857">
        <v>0.15</v>
      </c>
      <c r="F109" s="2857">
        <v>20</v>
      </c>
    </row>
    <row r="110" spans="1:6" ht="13.5">
      <c r="A110" s="2857">
        <v>36</v>
      </c>
      <c r="B110" s="3485"/>
      <c r="C110" s="2857" t="s">
        <v>2724</v>
      </c>
      <c r="D110" s="2831" t="s">
        <v>2725</v>
      </c>
      <c r="E110" s="2857">
        <v>0.15</v>
      </c>
      <c r="F110" s="2857">
        <v>20</v>
      </c>
    </row>
    <row r="111" spans="1:6" ht="13.5">
      <c r="A111" s="2857">
        <v>37</v>
      </c>
      <c r="B111" s="3485"/>
      <c r="C111" s="2857" t="s">
        <v>2726</v>
      </c>
      <c r="D111" s="2831" t="s">
        <v>2727</v>
      </c>
      <c r="E111" s="2857">
        <v>0.15</v>
      </c>
      <c r="F111" s="2857">
        <v>20</v>
      </c>
    </row>
    <row r="112" spans="1:6" ht="13.5">
      <c r="A112" s="2857">
        <v>38</v>
      </c>
      <c r="B112" s="3485"/>
      <c r="C112" s="2857" t="s">
        <v>2728</v>
      </c>
      <c r="D112" s="2831" t="s">
        <v>2729</v>
      </c>
      <c r="E112" s="2857">
        <v>0.1</v>
      </c>
      <c r="F112" s="2857">
        <v>15</v>
      </c>
    </row>
    <row r="113" spans="1:6" ht="24">
      <c r="A113" s="2857">
        <v>39</v>
      </c>
      <c r="B113" s="3485"/>
      <c r="C113" s="2857" t="s">
        <v>2730</v>
      </c>
      <c r="D113" s="2831" t="s">
        <v>2731</v>
      </c>
      <c r="E113" s="2857">
        <v>0.1</v>
      </c>
      <c r="F113" s="2857">
        <v>15</v>
      </c>
    </row>
    <row r="114" spans="1:6" ht="24">
      <c r="A114" s="2857">
        <v>40</v>
      </c>
      <c r="B114" s="3484"/>
      <c r="C114" s="2857" t="s">
        <v>2732</v>
      </c>
      <c r="D114" s="2831" t="s">
        <v>2733</v>
      </c>
      <c r="E114" s="2857">
        <v>0.1</v>
      </c>
      <c r="F114" s="2857">
        <v>15</v>
      </c>
    </row>
    <row r="115" spans="1:6" ht="13.5">
      <c r="A115" s="2857">
        <v>41</v>
      </c>
      <c r="B115" s="3482" t="s">
        <v>2734</v>
      </c>
      <c r="C115" s="2857" t="s">
        <v>2735</v>
      </c>
      <c r="D115" s="2831" t="s">
        <v>2736</v>
      </c>
      <c r="E115" s="2857">
        <v>0.1</v>
      </c>
      <c r="F115" s="2857">
        <v>15</v>
      </c>
    </row>
    <row r="116" spans="1:6" ht="13.5">
      <c r="A116" s="2857">
        <v>42</v>
      </c>
      <c r="B116" s="3482"/>
      <c r="C116" s="2857" t="s">
        <v>2737</v>
      </c>
      <c r="D116" s="2831" t="s">
        <v>2738</v>
      </c>
      <c r="E116" s="2857">
        <v>0.1</v>
      </c>
      <c r="F116" s="2857">
        <v>15</v>
      </c>
    </row>
    <row r="117" spans="1:6" ht="24">
      <c r="A117" s="2857">
        <v>43</v>
      </c>
      <c r="B117" s="3482"/>
      <c r="C117" s="2857" t="s">
        <v>2739</v>
      </c>
      <c r="D117" s="2831" t="s">
        <v>2740</v>
      </c>
      <c r="E117" s="2857">
        <v>0.1</v>
      </c>
      <c r="F117" s="2857">
        <v>15</v>
      </c>
    </row>
    <row r="118" spans="1:6" ht="13.5">
      <c r="A118" s="2857">
        <v>44</v>
      </c>
      <c r="B118" s="3483" t="s">
        <v>2741</v>
      </c>
      <c r="C118" s="2857" t="s">
        <v>2742</v>
      </c>
      <c r="D118" s="2831" t="s">
        <v>2743</v>
      </c>
      <c r="E118" s="2857">
        <v>0.1</v>
      </c>
      <c r="F118" s="2857">
        <v>15</v>
      </c>
    </row>
    <row r="119" spans="1:6" ht="24">
      <c r="A119" s="2857">
        <v>45</v>
      </c>
      <c r="B119" s="3484"/>
      <c r="C119" s="2831" t="s">
        <v>2744</v>
      </c>
      <c r="D119" s="2831" t="s">
        <v>2745</v>
      </c>
      <c r="E119" s="2857">
        <v>0.1</v>
      </c>
      <c r="F119" s="2857">
        <v>15</v>
      </c>
    </row>
    <row r="120" spans="1:6" ht="24">
      <c r="A120" s="2857">
        <v>46</v>
      </c>
      <c r="B120" s="3483" t="s">
        <v>2746</v>
      </c>
      <c r="C120" s="2857" t="s">
        <v>2747</v>
      </c>
      <c r="D120" s="2831" t="s">
        <v>2748</v>
      </c>
      <c r="E120" s="2857">
        <v>0.1</v>
      </c>
      <c r="F120" s="2857">
        <v>15</v>
      </c>
    </row>
    <row r="121" spans="1:6" ht="24">
      <c r="A121" s="2857">
        <v>47</v>
      </c>
      <c r="B121" s="3484"/>
      <c r="C121" s="2857" t="s">
        <v>2749</v>
      </c>
      <c r="D121" s="2831" t="s">
        <v>2750</v>
      </c>
      <c r="E121" s="2857">
        <v>0.1</v>
      </c>
      <c r="F121" s="2857">
        <v>15</v>
      </c>
    </row>
    <row r="122" spans="1:6" ht="13.5">
      <c r="A122" s="2857">
        <v>48</v>
      </c>
      <c r="B122" s="3483" t="s">
        <v>2751</v>
      </c>
      <c r="C122" s="2857" t="s">
        <v>2752</v>
      </c>
      <c r="D122" s="2831" t="s">
        <v>2753</v>
      </c>
      <c r="E122" s="2857">
        <v>0.1</v>
      </c>
      <c r="F122" s="2857">
        <v>15</v>
      </c>
    </row>
    <row r="123" spans="1:6" ht="13.5">
      <c r="A123" s="2857">
        <v>49</v>
      </c>
      <c r="B123" s="3484"/>
      <c r="C123" s="2857" t="s">
        <v>2754</v>
      </c>
      <c r="D123" s="2831" t="s">
        <v>2755</v>
      </c>
      <c r="E123" s="2857">
        <v>0.1</v>
      </c>
      <c r="F123" s="2857">
        <v>15</v>
      </c>
    </row>
    <row r="124" spans="1:6" ht="24">
      <c r="A124" s="2857">
        <v>50</v>
      </c>
      <c r="B124" s="3482" t="s">
        <v>2756</v>
      </c>
      <c r="C124" s="2857" t="s">
        <v>2757</v>
      </c>
      <c r="D124" s="2831" t="s">
        <v>2758</v>
      </c>
      <c r="E124" s="2857">
        <v>0.1</v>
      </c>
      <c r="F124" s="2857">
        <v>15</v>
      </c>
    </row>
    <row r="125" spans="1:6" ht="24">
      <c r="A125" s="2857">
        <v>51</v>
      </c>
      <c r="B125" s="3482"/>
      <c r="C125" s="2857" t="s">
        <v>2759</v>
      </c>
      <c r="D125" s="2831" t="s">
        <v>2760</v>
      </c>
      <c r="E125" s="2857">
        <v>0.1</v>
      </c>
      <c r="F125" s="2857">
        <v>15</v>
      </c>
    </row>
    <row r="126" spans="1:6" ht="24">
      <c r="A126" s="2857">
        <v>52</v>
      </c>
      <c r="B126" s="3482" t="s">
        <v>2761</v>
      </c>
      <c r="C126" s="2857" t="s">
        <v>2762</v>
      </c>
      <c r="D126" s="2831" t="s">
        <v>2763</v>
      </c>
      <c r="E126" s="2857">
        <v>0.1</v>
      </c>
      <c r="F126" s="2857">
        <v>15</v>
      </c>
    </row>
    <row r="127" spans="1:6" ht="24">
      <c r="A127" s="2857">
        <v>53</v>
      </c>
      <c r="B127" s="3482"/>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482" t="s">
        <v>2769</v>
      </c>
      <c r="C129" s="2857" t="s">
        <v>2770</v>
      </c>
      <c r="D129" s="2831" t="s">
        <v>2771</v>
      </c>
      <c r="E129" s="2857">
        <v>0.1</v>
      </c>
      <c r="F129" s="2857">
        <v>15</v>
      </c>
    </row>
    <row r="130" spans="1:6" ht="13.5">
      <c r="A130" s="2857">
        <v>56</v>
      </c>
      <c r="B130" s="3482"/>
      <c r="C130" s="2857" t="s">
        <v>2772</v>
      </c>
      <c r="D130" s="2831" t="s">
        <v>2773</v>
      </c>
      <c r="E130" s="2857">
        <v>0.1</v>
      </c>
      <c r="F130" s="2857">
        <v>15</v>
      </c>
    </row>
    <row r="131" spans="1:6" ht="24">
      <c r="A131" s="2857">
        <v>57</v>
      </c>
      <c r="B131" s="3482"/>
      <c r="C131" s="2857" t="s">
        <v>2774</v>
      </c>
      <c r="D131" s="2831" t="s">
        <v>2775</v>
      </c>
      <c r="E131" s="2857">
        <v>0.1</v>
      </c>
      <c r="F131" s="2857">
        <v>15</v>
      </c>
    </row>
    <row r="132" spans="1:6" ht="24">
      <c r="A132" s="2857">
        <v>58</v>
      </c>
      <c r="B132" s="3482" t="s">
        <v>2776</v>
      </c>
      <c r="C132" s="2857" t="s">
        <v>2777</v>
      </c>
      <c r="D132" s="2831" t="s">
        <v>2778</v>
      </c>
      <c r="E132" s="2857">
        <v>0.1</v>
      </c>
      <c r="F132" s="2857">
        <v>15</v>
      </c>
    </row>
    <row r="133" spans="1:6" ht="13.5">
      <c r="A133" s="2857">
        <v>59</v>
      </c>
      <c r="B133" s="3482"/>
      <c r="C133" s="2857" t="s">
        <v>2779</v>
      </c>
      <c r="D133" s="2831" t="s">
        <v>2780</v>
      </c>
      <c r="E133" s="2857">
        <v>0.1</v>
      </c>
      <c r="F133" s="2857">
        <v>15</v>
      </c>
    </row>
    <row r="134" spans="1:6" ht="13.5">
      <c r="A134" s="2857">
        <v>60</v>
      </c>
      <c r="B134" s="3483" t="s">
        <v>2781</v>
      </c>
      <c r="C134" s="2857" t="s">
        <v>2782</v>
      </c>
      <c r="D134" s="2831" t="s">
        <v>2783</v>
      </c>
      <c r="E134" s="2857">
        <v>0.1</v>
      </c>
      <c r="F134" s="2857">
        <v>15</v>
      </c>
    </row>
    <row r="135" spans="1:6" ht="13.5">
      <c r="A135" s="2857">
        <v>61</v>
      </c>
      <c r="B135" s="3484"/>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482" t="s">
        <v>2789</v>
      </c>
      <c r="C137" s="2857" t="s">
        <v>2790</v>
      </c>
      <c r="D137" s="2831" t="s">
        <v>2791</v>
      </c>
      <c r="E137" s="2857">
        <v>0.1</v>
      </c>
      <c r="F137" s="2857">
        <v>15</v>
      </c>
    </row>
    <row r="138" spans="1:6" ht="13.5">
      <c r="A138" s="2857">
        <v>64</v>
      </c>
      <c r="B138" s="3482"/>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估价结果一览表（市场价值不需“结果表-1”）</v>
      </c>
      <c r="B3" s="3182"/>
      <c r="C3" s="3182"/>
      <c r="D3" s="3182"/>
      <c r="E3" s="3182"/>
    </row>
    <row r="4" spans="1:5" ht="19.5" thickBot="1">
      <c r="A4" s="1391"/>
      <c r="B4" s="3180" t="s">
        <v>917</v>
      </c>
      <c r="C4" s="3180"/>
      <c r="D4" s="3180"/>
      <c r="E4" s="1391"/>
    </row>
    <row r="5" spans="1:5" ht="16.5" thickTop="1">
      <c r="B5" s="3178" t="s">
        <v>909</v>
      </c>
      <c r="C5" s="1392" t="s">
        <v>910</v>
      </c>
      <c r="D5" s="797" t="e">
        <f ca="1">结果表!H101</f>
        <v>#REF!</v>
      </c>
    </row>
    <row r="6" spans="1:5" ht="15.75">
      <c r="B6" s="3178"/>
      <c r="C6" s="1392" t="s">
        <v>911</v>
      </c>
      <c r="D6" s="797" t="e">
        <f ca="1">NUMBERSTRING(INT(D5*10000),2)&amp;"元整"</f>
        <v>#REF!</v>
      </c>
    </row>
    <row r="7" spans="1:5" ht="15.75">
      <c r="B7" s="3183"/>
      <c r="C7" s="1393" t="s">
        <v>912</v>
      </c>
      <c r="D7" s="798" t="e">
        <f ca="1">结果表!H102</f>
        <v>#REF!</v>
      </c>
    </row>
    <row r="8" spans="1:5" ht="15.75">
      <c r="B8" s="3184" t="str">
        <f>结果表!E103</f>
        <v>2.估价师知悉的法定优先受偿款</v>
      </c>
      <c r="C8" s="1394" t="s">
        <v>913</v>
      </c>
      <c r="D8" s="798">
        <f>结果表!H103</f>
        <v>0</v>
      </c>
    </row>
    <row r="9" spans="1:5" ht="15.75">
      <c r="B9" s="318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7" t="str">
        <f>结果表!E107</f>
        <v>3.房地产抵押价值</v>
      </c>
      <c r="C13" s="1397" t="s">
        <v>910</v>
      </c>
      <c r="D13" s="800" t="e">
        <f ca="1">结果表!H107</f>
        <v>#REF!</v>
      </c>
    </row>
    <row r="14" spans="1:5" ht="15.75">
      <c r="B14" s="3178"/>
      <c r="C14" s="1392" t="s">
        <v>911</v>
      </c>
      <c r="D14" s="797" t="e">
        <f ca="1">NUMBERSTRING(INT(D13*10000),2)&amp;"元整"</f>
        <v>#REF!</v>
      </c>
    </row>
    <row r="15" spans="1:5" ht="15">
      <c r="B15" s="3183"/>
      <c r="C15" s="1393" t="s">
        <v>921</v>
      </c>
      <c r="D15" s="806" t="e">
        <f ca="1">结果表!H108</f>
        <v>#REF!</v>
      </c>
    </row>
    <row r="16" spans="1:5" ht="15">
      <c r="B16" s="3184" t="str">
        <f>结果表!E109</f>
        <v>——</v>
      </c>
      <c r="C16" s="1397" t="s">
        <v>922</v>
      </c>
      <c r="D16" s="1398" t="str">
        <f>结果表!H109</f>
        <v>——</v>
      </c>
    </row>
    <row r="17" spans="1:5" ht="15.75">
      <c r="B17" s="3185"/>
      <c r="C17" s="1392" t="s">
        <v>923</v>
      </c>
      <c r="D17" s="797" t="e">
        <f>NUMBERSTRING(INT(D16*10000),2)&amp;"元整"</f>
        <v>#VALUE!</v>
      </c>
    </row>
    <row r="18" spans="1:5" ht="15">
      <c r="B18" s="3186"/>
      <c r="C18" s="1393" t="s">
        <v>912</v>
      </c>
      <c r="D18" s="806" t="str">
        <f>结果表!H110</f>
        <v>——</v>
      </c>
    </row>
    <row r="19" spans="1:5" ht="15.75">
      <c r="B19" s="3177" t="str">
        <f>结果表!E111</f>
        <v>——</v>
      </c>
      <c r="C19" s="1397" t="s">
        <v>910</v>
      </c>
      <c r="D19" s="798" t="str">
        <f>结果表!H111</f>
        <v>——</v>
      </c>
    </row>
    <row r="20" spans="1:5" ht="15.75">
      <c r="B20" s="3178"/>
      <c r="C20" s="1392" t="s">
        <v>923</v>
      </c>
      <c r="D20" s="797" t="e">
        <f>NUMBERSTRING(INT(D19*10000),2)&amp;"元整"</f>
        <v>#VALUE!</v>
      </c>
    </row>
    <row r="21" spans="1:5" ht="15.75" thickBot="1">
      <c r="B21" s="317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1.2158</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1.1565000000000001</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27790</v>
      </c>
      <c r="C2" s="2" t="s">
        <v>106</v>
      </c>
      <c r="D2" s="191"/>
      <c r="E2" s="191"/>
      <c r="F2" s="191"/>
      <c r="G2" s="191"/>
    </row>
    <row r="3" spans="1:7" s="192" customFormat="1" ht="18" customHeight="1" thickBot="1">
      <c r="A3" s="195" t="s">
        <v>58</v>
      </c>
      <c r="B3" s="196">
        <f ca="1">ROUND(B2*10000/'数据-汇总表'!E3,0)</f>
        <v>1329283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209.06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209.06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1316</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0.03</v>
      </c>
      <c r="G36" s="252" t="s">
        <v>35</v>
      </c>
    </row>
    <row r="37" spans="1:7" s="250" customFormat="1" ht="13.5" customHeight="1">
      <c r="A37" s="734" t="s">
        <v>353</v>
      </c>
      <c r="B37" s="207" t="s">
        <v>91</v>
      </c>
      <c r="C37" s="241">
        <f>ROUND(E37*D37*F34/10000,0)</f>
        <v>4</v>
      </c>
      <c r="D37" s="209">
        <f>'数据-汇总表'!E3</f>
        <v>209.06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8.9999999999999998E-4</v>
      </c>
      <c r="D44" s="230"/>
      <c r="E44" s="230"/>
      <c r="F44" s="231"/>
      <c r="G44" s="3360"/>
    </row>
    <row r="45" spans="1:7" s="206" customFormat="1" ht="13.5" customHeight="1">
      <c r="A45" s="731" t="s">
        <v>341</v>
      </c>
      <c r="B45" s="236" t="s">
        <v>85</v>
      </c>
      <c r="C45" s="237">
        <f>C46</f>
        <v>11</v>
      </c>
      <c r="D45" s="227">
        <f>C47</f>
        <v>4.4999999999999997E-3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71</v>
      </c>
      <c r="D51" s="224"/>
      <c r="E51" s="224"/>
      <c r="F51" s="256"/>
      <c r="G51" s="226" t="s">
        <v>37</v>
      </c>
    </row>
    <row r="52" spans="1:7" s="200" customFormat="1" ht="16.5" thickBot="1">
      <c r="A52" s="257" t="s">
        <v>38</v>
      </c>
      <c r="B52" s="258"/>
      <c r="C52" s="259">
        <f ca="1">C31+C51</f>
        <v>27790</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6" t="s">
        <v>3181</v>
      </c>
      <c r="B1" s="3496"/>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97" t="s">
        <v>3232</v>
      </c>
      <c r="B1" s="3497"/>
      <c r="C1" s="3497"/>
      <c r="D1" s="3497"/>
      <c r="E1" s="3497"/>
      <c r="F1" s="3498"/>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45911</v>
      </c>
      <c r="B1" s="2929" t="s">
        <v>3376</v>
      </c>
      <c r="C1" s="2930"/>
      <c r="D1" s="2930"/>
      <c r="E1" s="2930"/>
      <c r="F1" s="2930"/>
      <c r="G1" s="2930"/>
      <c r="H1" s="2930"/>
      <c r="I1" s="2930"/>
      <c r="J1" s="2896"/>
      <c r="K1" s="2930" t="s">
        <v>454</v>
      </c>
      <c r="L1" s="2930"/>
      <c r="M1" s="2930"/>
      <c r="N1" s="2930"/>
      <c r="O1" s="2930"/>
      <c r="P1" s="2930"/>
      <c r="Q1" s="2896"/>
      <c r="R1" s="3499" t="s">
        <v>456</v>
      </c>
      <c r="S1" s="3500"/>
      <c r="T1" s="3500"/>
      <c r="U1" s="3500"/>
      <c r="V1" s="3500"/>
      <c r="W1" s="3500"/>
      <c r="X1" s="2896"/>
      <c r="Y1" s="3499" t="s">
        <v>457</v>
      </c>
      <c r="Z1" s="3500"/>
      <c r="AA1" s="3500"/>
      <c r="AB1" s="3500"/>
      <c r="AC1" s="3500"/>
      <c r="AD1" s="3500"/>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6" customFormat="1" ht="12.75">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3401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3407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3379</v>
      </c>
    </row>
    <row r="27" spans="1:44">
      <c r="I27" s="1405" t="s">
        <v>2825</v>
      </c>
    </row>
    <row r="29" spans="1:44" s="2008" customFormat="1" ht="12.75">
      <c r="B29" s="2929" t="s">
        <v>3377</v>
      </c>
      <c r="C29" s="2930"/>
      <c r="D29" s="2930"/>
      <c r="E29" s="2930"/>
      <c r="F29" s="2930"/>
      <c r="G29" s="2930"/>
      <c r="H29" s="2930"/>
      <c r="I29" s="2930"/>
      <c r="J29" s="2896"/>
      <c r="K29" s="2930" t="s">
        <v>2826</v>
      </c>
      <c r="L29" s="2930"/>
      <c r="M29" s="2930"/>
      <c r="N29" s="2930"/>
      <c r="O29" s="2930"/>
      <c r="P29" s="2930"/>
      <c r="Q29" s="2896"/>
      <c r="R29" s="3499" t="s">
        <v>2827</v>
      </c>
      <c r="S29" s="3500"/>
      <c r="T29" s="3500"/>
      <c r="U29" s="3500"/>
      <c r="V29" s="3500"/>
      <c r="W29" s="3500"/>
      <c r="X29" s="2896"/>
      <c r="Y29" s="3499" t="s">
        <v>2828</v>
      </c>
      <c r="Z29" s="3500"/>
      <c r="AA29" s="3500"/>
      <c r="AB29" s="3500"/>
      <c r="AC29" s="3500"/>
      <c r="AD29" s="3500"/>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6" customFormat="1" ht="12.75">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3401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3407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2" t="s">
        <v>2839</v>
      </c>
      <c r="B1" s="3512"/>
      <c r="C1" s="3512"/>
      <c r="D1" s="3512"/>
      <c r="E1" s="3512"/>
      <c r="F1" s="3512"/>
      <c r="G1" s="3513"/>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0"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11"/>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房地产市场价值</v>
      </c>
      <c r="I2" s="3195"/>
    </row>
    <row r="3" spans="1:9" ht="15">
      <c r="A3" s="3190"/>
      <c r="B3" s="3190"/>
      <c r="C3" s="3190"/>
      <c r="D3" s="801" t="s">
        <v>925</v>
      </c>
      <c r="E3" s="801" t="s">
        <v>931</v>
      </c>
      <c r="F3" s="801" t="s">
        <v>925</v>
      </c>
      <c r="G3" s="801" t="s">
        <v>926</v>
      </c>
      <c r="H3" s="801" t="s">
        <v>925</v>
      </c>
      <c r="I3" s="801" t="s">
        <v>926</v>
      </c>
    </row>
    <row r="4" spans="1:9" ht="15">
      <c r="A4" s="1403" t="str">
        <f>项目基本情况!S2</f>
        <v>北京市房地产</v>
      </c>
      <c r="B4" s="801">
        <f>项目基本情况!C17</f>
        <v>209.06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75">
      <c r="A6" s="3189" t="str">
        <f>结果表!A120</f>
        <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75">
      <c r="A8" s="3189" t="str">
        <f>结果表!A122</f>
        <v/>
      </c>
      <c r="B8" s="3189"/>
      <c r="C8" s="3189"/>
      <c r="D8" s="3189" t="e">
        <f ca="1">结果表!D122</f>
        <v>#REF!</v>
      </c>
      <c r="E8" s="3189"/>
      <c r="F8" s="3189"/>
      <c r="G8" s="3189"/>
      <c r="H8" s="3189"/>
      <c r="I8" s="3189"/>
    </row>
    <row r="9" spans="1:9" ht="15">
      <c r="A9" s="3190" t="s">
        <v>927</v>
      </c>
      <c r="B9" s="3190"/>
      <c r="C9" s="3190"/>
      <c r="D9" s="3190" t="e">
        <f ca="1">结果表!D123</f>
        <v>#REF!</v>
      </c>
      <c r="E9" s="3190"/>
      <c r="F9" s="3190"/>
      <c r="G9" s="3190"/>
      <c r="H9" s="3190"/>
      <c r="I9" s="3190"/>
    </row>
    <row r="10" spans="1:9" ht="15.75">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75">
      <c r="A12" s="3189" t="str">
        <f>结果表!A126</f>
        <v/>
      </c>
      <c r="B12" s="3189"/>
      <c r="C12" s="3189"/>
      <c r="D12" s="3189" t="str">
        <f>结果表!D126</f>
        <v>——</v>
      </c>
      <c r="E12" s="3189"/>
      <c r="F12" s="3189"/>
      <c r="G12" s="3189"/>
      <c r="H12" s="3189"/>
      <c r="I12" s="3189"/>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4"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1"/>
      <c r="C12" s="3201"/>
      <c r="D12" s="3201"/>
    </row>
    <row r="13" spans="1:4" ht="30" customHeight="1">
      <c r="A13" s="3196" t="str">
        <f>IF(项目基本情况!B8="抵押","3.抵押双方在办理抵押登记手续时，应使用本公司出具的正式《房地产评估报告》，特提醒报告使用者注意。","——")</f>
        <v>——</v>
      </c>
      <c r="B13" s="3201"/>
      <c r="C13" s="3201"/>
      <c r="D13" s="3201"/>
    </row>
    <row r="14" spans="1:4" ht="15.75" customHeight="1">
      <c r="A14" s="3196" t="str">
        <f>IF(项目基本情况!B8="抵押","4.本次评估估价师所知悉的法定优先受偿款情况说明如下：","——")</f>
        <v>——</v>
      </c>
      <c r="B14" s="3201"/>
      <c r="C14" s="3201"/>
      <c r="D14" s="3201"/>
    </row>
    <row r="15" spans="1:4" ht="42" customHeight="1">
      <c r="A15" s="3196" t="str">
        <f>IF(项目基本情况!B8="抵押","（1）"&amp;CONCATENATE(项目基本情况!L20,项目基本情况!L21,项目基本情况!L22),"——")</f>
        <v>——</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0" t="s">
        <v>956</v>
      </c>
      <c r="B15" s="3205" t="s">
        <v>109</v>
      </c>
      <c r="C15" s="3206"/>
    </row>
    <row r="16" spans="1:7" ht="13.5">
      <c r="A16" s="3211"/>
      <c r="B16" s="3205" t="s">
        <v>42</v>
      </c>
      <c r="C16" s="3206"/>
    </row>
    <row r="17" spans="1:3" ht="13.5">
      <c r="A17" s="3211"/>
      <c r="B17" s="3208" t="s">
        <v>957</v>
      </c>
      <c r="C17" s="1429" t="s">
        <v>956</v>
      </c>
    </row>
    <row r="18" spans="1:3" ht="13.5">
      <c r="A18" s="3211"/>
      <c r="B18" s="3208"/>
      <c r="C18" s="1429" t="s">
        <v>958</v>
      </c>
    </row>
    <row r="19" spans="1:3" ht="13.5">
      <c r="A19" s="3211"/>
      <c r="B19" s="3208"/>
      <c r="C19" s="1429" t="s">
        <v>959</v>
      </c>
    </row>
    <row r="20" spans="1:3" ht="13.5">
      <c r="A20" s="3212"/>
      <c r="B20" s="3207" t="s">
        <v>960</v>
      </c>
      <c r="C20" s="3206"/>
    </row>
    <row r="21" spans="1:3" ht="13.5">
      <c r="A21" s="1430" t="s">
        <v>961</v>
      </c>
      <c r="B21" s="1431"/>
      <c r="C21" s="1432"/>
    </row>
    <row r="22" spans="1:3" ht="13.5">
      <c r="A22" s="3209" t="s">
        <v>962</v>
      </c>
      <c r="B22" s="3207" t="s">
        <v>963</v>
      </c>
      <c r="C22" s="3206"/>
    </row>
    <row r="23" spans="1:3" ht="13.5">
      <c r="A23" s="3209"/>
      <c r="B23" s="3207" t="s">
        <v>964</v>
      </c>
      <c r="C23" s="3206"/>
    </row>
    <row r="24" spans="1:3" ht="13.5">
      <c r="A24" s="3209"/>
      <c r="B24" s="3207" t="s">
        <v>965</v>
      </c>
      <c r="C24" s="3206"/>
    </row>
    <row r="25" spans="1:3" ht="13.5">
      <c r="A25" s="3209"/>
      <c r="B25" s="3208" t="s">
        <v>966</v>
      </c>
      <c r="C25" s="1429" t="s">
        <v>967</v>
      </c>
    </row>
    <row r="26" spans="1:3" ht="13.5">
      <c r="A26" s="3209"/>
      <c r="B26" s="3208"/>
      <c r="C26" s="1429" t="s">
        <v>968</v>
      </c>
    </row>
    <row r="27" spans="1:3" ht="13.5">
      <c r="A27" s="3209"/>
      <c r="B27" s="3208"/>
      <c r="C27" s="1429" t="s">
        <v>969</v>
      </c>
    </row>
    <row r="28" spans="1:3" ht="13.5">
      <c r="A28" s="3209"/>
      <c r="B28" s="3208"/>
      <c r="C28" s="1429" t="s">
        <v>970</v>
      </c>
    </row>
    <row r="29" spans="1:3" ht="13.5">
      <c r="A29" s="3209"/>
      <c r="B29" s="3208"/>
      <c r="C29" s="1429" t="s">
        <v>971</v>
      </c>
    </row>
    <row r="30" spans="1:3" ht="13.5">
      <c r="A30" s="3209"/>
      <c r="B30" s="3208"/>
      <c r="C30" s="1429" t="s">
        <v>972</v>
      </c>
    </row>
    <row r="31" spans="1:3" ht="13.5">
      <c r="A31" s="3209"/>
      <c r="B31" s="3208"/>
      <c r="C31" s="1429" t="s">
        <v>973</v>
      </c>
    </row>
    <row r="32" spans="1:3" ht="13.5">
      <c r="A32" s="3209"/>
      <c r="B32" s="3208"/>
      <c r="C32" s="1429" t="s">
        <v>974</v>
      </c>
    </row>
    <row r="33" spans="1:3" ht="13.5">
      <c r="A33" s="3209"/>
      <c r="B33" s="320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45916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9"/>
      <c r="E18" s="3215" t="s">
        <v>2162</v>
      </c>
      <c r="F18" s="3214"/>
      <c r="G18" s="321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2025-09-16T02:32:22Z</dcterms:modified>
</cp:coreProperties>
</file>