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F6" i="61"/>
  <c r="F4" i="61"/>
  <c r="D3" i="61"/>
  <c r="D4" i="61"/>
  <c r="D6" i="61"/>
  <c r="F5" i="61"/>
  <c r="D5"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E2" i="36"/>
  <c r="E2" i="35"/>
  <c r="E2" i="37"/>
  <c r="E2" i="34"/>
  <c r="C20" i="57"/>
  <c r="E2" i="33"/>
  <c r="C19" i="57"/>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<sst xmlns="http://schemas.openxmlformats.org/spreadsheetml/2006/main" count="6913" uniqueCount="2935">
  <si>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</si>
  <si>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</si>
  <si>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</si>
  <si>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</si>
  <si>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</si>
  <si>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</si>
  <si>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</si>
  <si>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</si>
  <si>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</si>
  <si>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</si>
  <si>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</si>
  <si>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</si>
  <si>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</si>
  <si>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</si>
  <si>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</si>
  <si>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</si>
  <si>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</si>
  <si>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</si>
  <si>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</si>
  <si>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</si>
  <si>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</si>
  <si>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</si>
  <si>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</si>
  <si>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</si>
  <si>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</si>
  <si>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</si>
  <si>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</si>
  <si>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</si>
  <si>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</si>
  <si>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</si>
  <si>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</si>
  <si>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</si>
  <si>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</si>
  <si>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</si>
  <si>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</si>
  <si>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</si>
  <si>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</si>
  <si>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</si>
  <si>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</si>
  <si>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</si>
  <si>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</si>
  <si>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</si>
  <si>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</si>
  <si>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</si>
  <si>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</si>
  <si>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</si>
  <si>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</si>
  <si>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</si>
  <si>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</si>
  <si>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</si>
  <si>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</si>
  <si>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</si>
  <si>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</si>
  <si>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</si>
  <si>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</si>
  <si>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</si>
  <si>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</si>
  <si>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</si>
  <si>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</si>
  <si>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</si>
  <si>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</si>
  <si>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</si>
  <si>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</si>
  <si>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</si>
  <si>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</si>
  <si>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</si>
  <si>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</si>
  <si>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</si>
  <si>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</si>
  <si>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</si>
  <si>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</si>
  <si>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</si>
  <si>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</si>
  <si>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</si>
  <si>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</si>
  <si>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</si>
  <si>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</si>
  <si>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</si>
  <si>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</si>
  <si>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</si>
  <si>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</si>
  <si>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</si>
  <si>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</si>
  <si>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</si>
  <si>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</si>
  <si>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</si>
  <si>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</si>
  <si>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</si>
  <si>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</si>
  <si>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</si>
  <si>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</si>
  <si>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</si>
  <si>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</si>
  <si>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</si>
  <si>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</si>
  <si>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</si>
  <si>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</si>
  <si>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</si>
  <si>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</si>
  <si>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</si>
  <si>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</si>
  <si>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</si>
  <si>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</si>
  <si>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</si>
  <si>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</si>
  <si>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</si>
  <si>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</si>
  <si>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</si>
  <si>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</si>
  <si>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</si>
  <si>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</si>
  <si>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</si>
  <si>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</si>
  <si>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</si>
  <si>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</si>
  <si>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</si>
  <si>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</si>
  <si>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</si>
  <si>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</si>
  <si>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</si>
  <si>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</si>
  <si>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</si>
  <si>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</si>
  <si>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</si>
  <si>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</si>
  <si>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</si>
  <si>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</si>
  <si>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</si>
  <si>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</si>
  <si>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</si>
  <si>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</si>
  <si>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</si>
  <si>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</si>
  <si>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</si>
  <si>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</si>
  <si>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</si>
  <si>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</si>
  <si>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</si>
  <si>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</si>
  <si>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</si>
  <si>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</si>
  <si>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</si>
  <si>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</si>
  <si>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</si>
  <si>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</si>
  <si>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</si>
  <si>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</si>
  <si>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</si>
  <si>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</si>
  <si>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</si>
  <si>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</si>
  <si>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</si>
  <si>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</si>
  <si>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</si>
  <si>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</si>
  <si>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</si>
  <si>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</si>
  <si>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</si>
  <si>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</si>
  <si>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</si>
  <si>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</si>
  <si>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</si>
  <si>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</si>
  <si>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</si>
  <si>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</si>
  <si>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</si>
  <si>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</si>
  <si>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</si>
  <si>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</si>
  <si>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</si>
  <si>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</si>
  <si>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</si>
  <si>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</si>
  <si>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</si>
  <si>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</si>
  <si>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</si>
  <si>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</si>
  <si>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</si>
  <si>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</si>
  <si>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</si>
  <si>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</si>
  <si>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</si>
  <si>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</si>
  <si>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</si>
  <si>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</si>
  <si>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</si>
  <si>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</si>
  <si>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</si>
  <si>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</si>
  <si>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</si>
  <si>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</si>
  <si>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</si>
  <si>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</si>
  <si>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</si>
  <si>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</si>
  <si>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</si>
  <si>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</si>
  <si>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</si>
  <si>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</si>
  <si>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</si>
  <si>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</si>
  <si>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</si>
  <si>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</si>
  <si>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</si>
  <si>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</si>
  <si>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</si>
  <si>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</si>
  <si>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</si>
  <si>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</si>
  <si>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</si>
  <si>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</si>
  <si>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</si>
  <si>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</si>
  <si>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</si>
  <si>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</si>
  <si>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</si>
  <si>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</si>
  <si>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</si>
  <si>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</si>
  <si>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</si>
  <si>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</si>
  <si>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</si>
  <si>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</si>
  <si>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</si>
  <si>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</si>
  <si>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</si>
  <si>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</si>
  <si>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</si>
  <si>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</si>
  <si>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</si>
  <si>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</si>
  <si>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</si>
  <si>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</si>
  <si>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</si>
  <si>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</si>
  <si>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</si>
  <si>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</si>
  <si>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</si>
  <si>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</si>
  <si>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</si>
  <si>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</si>
  <si>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</si>
  <si>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</si>
  <si>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</si>
  <si>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</si>
  <si>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</si>
  <si>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</si>
  <si>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</si>
  <si>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</si>
  <si>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</si>
  <si>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</si>
  <si>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</si>
  <si>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</si>
  <si>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</si>
  <si>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</si>
  <si>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</si>
  <si>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</si>
  <si>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</si>
  <si>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</si>
  <si>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</si>
  <si>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</si>
  <si>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</si>
  <si>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</si>
  <si>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</si>
  <si>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</si>
  <si>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</si>
  <si>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</si>
  <si>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</si>
  <si>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</si>
  <si>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</si>
  <si>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</si>
  <si>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</si>
  <si>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</si>
  <si>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</si>
  <si>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</si>
  <si>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</si>
  <si>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</si>
  <si>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</si>
  <si>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</si>
  <si>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</si>
  <si>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</si>
  <si>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</si>
  <si>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</si>
  <si>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</si>
  <si>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</si>
  <si>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</si>
  <si>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</si>
  <si>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</si>
  <si>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</si>
  <si>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</si>
  <si>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</si>
  <si>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</si>
  <si>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</si>
  <si>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</si>
  <si>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</si>
  <si>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</si>
  <si>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</si>
  <si>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</si>
  <si>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</si>
  <si>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</si>
  <si>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</si>
  <si>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</si>
  <si>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</si>
  <si>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</si>
  <si>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</si>
  <si>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</si>
  <si>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</si>
  <si>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</si>
  <si>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</si>
  <si>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</si>
  <si>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</si>
  <si>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</si>
  <si>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</si>
  <si>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</si>
  <si>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</si>
  <si>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</si>
  <si>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</si>
  <si>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</si>
  <si>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</si>
  <si>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</si>
  <si>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</si>
  <si>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</si>
  <si>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</si>
  <si>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</si>
  <si>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</si>
  <si>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</si>
  <si>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</si>
  <si>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</si>
  <si>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</si>
  <si>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</si>
  <si>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</si>
  <si>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</si>
  <si>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</si>
  <si>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</si>
  <si>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</si>
  <si>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</si>
  <si>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</si>
  <si>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</si>
  <si>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</si>
  <si>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</si>
  <si>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</si>
  <si>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</si>
  <si>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</si>
  <si>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</si>
  <si>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</si>
  <si>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</si>
  <si>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</si>
  <si>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</si>
  <si>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</si>
  <si>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</si>
  <si>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</si>
  <si>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</si>
  <si>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</si>
  <si>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</si>
  <si>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</si>
  <si>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</si>
  <si>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</si>
  <si>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</si>
  <si>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</si>
  <si>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</si>
  <si>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</si>
  <si>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</si>
  <si>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</si>
  <si>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</si>
  <si>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</si>
  <si>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</si>
  <si>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</si>
  <si>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</si>
  <si>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</si>
  <si>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</si>
  <si>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</si>
  <si>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</si>
  <si>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</si>
  <si>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</si>
  <si>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</si>
  <si>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</si>
  <si>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</si>
  <si>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</si>
  <si>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</si>
  <si>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</si>
  <si>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</si>
  <si>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</si>
  <si>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</si>
  <si>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</si>
  <si>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</si>
  <si>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</si>
  <si>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</si>
  <si>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</si>
  <si>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</si>
  <si>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</si>
  <si>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</si>
  <si>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</si>
  <si>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</si>
  <si>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</si>
  <si>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</si>
  <si>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</si>
  <si>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</si>
  <si>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</si>
  <si>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</si>
  <si>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</si>
  <si>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</si>
  <si>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</si>
  <si>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</si>
  <si>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</si>
  <si>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</si>
  <si>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</si>
  <si>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</si>
  <si>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</si>
  <si>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</si>
  <si>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</si>
  <si>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</si>
  <si>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</si>
  <si>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</si>
  <si>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</si>
  <si>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</si>
  <si>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</si>
  <si>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</si>
  <si>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</si>
  <si>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</si>
  <si>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</si>
  <si>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</si>
  <si>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</si>
  <si>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</si>
  <si>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</si>
  <si>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</si>
  <si>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</si>
  <si>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</si>
  <si>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</si>
  <si>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</si>
  <si>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</si>
  <si>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</si>
  <si>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</si>
  <si>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</si>
  <si>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</si>
  <si>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</si>
  <si>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</si>
  <si>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</si>
  <si>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</si>
  <si>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</si>
  <si>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</si>
  <si>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</si>
  <si>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</si>
  <si>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</si>
  <si>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</si>
  <si>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</si>
  <si>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</si>
  <si>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</si>
  <si>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</si>
  <si>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</si>
  <si>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</si>
  <si>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</si>
  <si>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</si>
  <si>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</si>
  <si>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</si>
  <si>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</si>
  <si>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</si>
  <si>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</si>
  <si>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</si>
  <si>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</si>
  <si>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</si>
  <si>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</si>
  <si>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</si>
  <si>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</si>
  <si>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</si>
  <si>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</si>
  <si>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</si>
  <si>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</si>
  <si>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</si>
  <si>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</si>
  <si>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</si>
  <si>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</si>
  <si>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</si>
  <si>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</si>
  <si>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</si>
  <si>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</si>
  <si>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</si>
  <si>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</si>
  <si>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</si>
  <si>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</si>
  <si>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</si>
  <si>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</si>
  <si>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</si>
  <si>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</si>
  <si>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</si>
  <si>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</si>
  <si>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</si>
  <si>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</si>
  <si>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</si>
  <si>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</si>
  <si>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</si>
  <si>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</si>
  <si>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</si>
  <si>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</si>
  <si>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</si>
  <si>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</si>
  <si>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</si>
  <si>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</si>
  <si>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</si>
  <si>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</si>
  <si>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</si>
  <si>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</si>
  <si>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</si>
  <si>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</si>
  <si>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</si>
  <si>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</si>
  <si>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</si>
  <si>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</si>
  <si>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</si>
  <si>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</si>
  <si>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</si>
  <si>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</si>
  <si>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</si>
  <si>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</si>
  <si>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</si>
  <si>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</si>
  <si>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</si>
  <si>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</si>
  <si>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</si>
  <si>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</si>
  <si>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</si>
  <si>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</si>
  <si>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</si>
  <si>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</si>
  <si>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</si>
  <si>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</si>
  <si>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</si>
  <si>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</si>
  <si>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</si>
  <si>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</si>
  <si>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</si>
  <si>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</si>
  <si>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</si>
  <si>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</si>
  <si>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</si>
  <si>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</si>
  <si>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</si>
  <si>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</si>
  <si>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</si>
  <si>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</si>
  <si>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</si>
  <si>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</si>
  <si>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</si>
  <si>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</si>
  <si>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</si>
  <si>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</si>
  <si>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</si>
  <si>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</si>
  <si>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</si>
  <si>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</si>
  <si>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</si>
  <si>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</si>
  <si>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</si>
  <si>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</si>
  <si>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</si>
  <si>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</si>
  <si>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</si>
  <si>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</si>
  <si>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</si>
  <si>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</si>
  <si>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</si>
  <si>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</si>
  <si>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</si>
  <si>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</si>
  <si>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</si>
  <si>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</si>
  <si>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</si>
  <si>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</si>
  <si>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</si>
  <si>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</si>
  <si>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</si>
  <si>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</si>
  <si>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</si>
  <si>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</si>
  <si>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</si>
  <si>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</si>
  <si>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</si>
  <si>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</si>
  <si>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</si>
  <si>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</si>
  <si>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</si>
  <si>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</si>
  <si>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</si>
  <si>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</si>
  <si>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</si>
  <si>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</si>
  <si>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</si>
  <si>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</si>
  <si>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</si>
  <si>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</si>
  <si>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</si>
  <si>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</si>
  <si>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</si>
  <si>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</si>
  <si>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</si>
  <si>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</si>
  <si>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</si>
  <si>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</si>
  <si>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</si>
  <si>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</si>
  <si>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</si>
  <si>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</si>
  <si>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</si>
  <si>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</si>
  <si>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</si>
  <si>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</si>
  <si>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</si>
  <si>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</si>
  <si>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</si>
  <si>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</si>
  <si>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</si>
  <si>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</si>
  <si>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</si>
  <si>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</si>
  <si>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</si>
  <si>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</si>
  <si>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</si>
  <si>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</si>
  <si>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</si>
  <si>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</si>
  <si>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</si>
  <si>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</si>
  <si>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</si>
  <si>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</si>
  <si>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</si>
  <si>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</si>
  <si>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</si>
  <si>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</si>
  <si>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</si>
  <si>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</si>
  <si>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</si>
  <si>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</si>
  <si>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</si>
  <si>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</si>
  <si>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</si>
  <si>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</si>
  <si>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</si>
  <si>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</si>
  <si>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</si>
  <si>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</si>
  <si>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</si>
  <si>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</si>
  <si>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</si>
  <si>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</si>
  <si>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</si>
  <si>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</si>
  <si>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</si>
  <si>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</si>
  <si>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</si>
  <si>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</si>
  <si>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</si>
  <si>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</si>
  <si>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</si>
  <si>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</si>
  <si>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</si>
  <si>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</si>
  <si>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</si>
  <si>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</si>
  <si>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</si>
  <si>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</si>
  <si>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</si>
  <si>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</si>
  <si>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</si>
  <si>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</si>
  <si>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</si>
  <si>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</si>
  <si>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</si>
  <si>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</si>
  <si>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</si>
  <si>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</si>
  <si>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</si>
  <si>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</si>
  <si>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</si>
  <si>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</si>
  <si>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</si>
  <si>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</si>
  <si>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</si>
  <si>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</si>
  <si>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</si>
  <si>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</si>
  <si>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</si>
  <si>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</si>
  <si>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</si>
  <si>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</si>
  <si>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</si>
  <si>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</si>
  <si>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</si>
  <si>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</si>
  <si>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</si>
  <si>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</si>
  <si>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</si>
  <si>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</si>
  <si>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</si>
  <si>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</si>
  <si>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</si>
  <si>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</si>
  <si>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</si>
  <si>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</si>
  <si>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</si>
  <si>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</si>
  <si>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</si>
  <si>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</si>
  <si>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</si>
  <si>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</si>
  <si>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</si>
  <si>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</si>
  <si>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</si>
  <si>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</si>
  <si>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</si>
  <si>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</si>
  <si>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</si>
  <si>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</si>
  <si>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</si>
  <si>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</si>
  <si>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</si>
  <si>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</si>
  <si>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</si>
  <si>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</si>
  <si>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</si>
  <si>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</si>
  <si>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</si>
  <si>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</si>
  <si>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</si>
  <si>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</si>
  <si>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</si>
  <si>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</si>
  <si>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</si>
  <si>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</si>
  <si>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</si>
  <si>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</si>
  <si>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</si>
  <si>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</si>
  <si>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</si>
  <si>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</si>
  <si>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</si>
  <si>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</si>
  <si>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</si>
  <si>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</si>
  <si>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</si>
  <si>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</si>
  <si>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</si>
  <si>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</si>
  <si>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</si>
  <si>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</si>
  <si>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</si>
  <si>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</si>
  <si>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</si>
  <si>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</si>
  <si>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</si>
  <si>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</si>
  <si>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</si>
  <si>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</si>
  <si>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</si>
  <si>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</si>
  <si>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</si>
  <si>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</si>
  <si>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</si>
  <si>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</si>
  <si>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</si>
  <si>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</si>
  <si>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</si>
  <si>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</si>
  <si>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</si>
  <si>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</si>
  <si>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</si>
  <si>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</si>
  <si>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</si>
  <si>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</si>
  <si>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</si>
  <si>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</si>
  <si>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</si>
  <si>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</si>
  <si>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</si>
  <si>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</si>
  <si>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</si>
  <si>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</si>
  <si>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</si>
  <si>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</si>
  <si>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</si>
  <si>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</si>
  <si>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</si>
  <si>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</si>
  <si>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</si>
  <si>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</si>
  <si>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</si>
  <si>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</si>
  <si>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</si>
  <si>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</si>
  <si>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</si>
  <si>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</si>
  <si>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</si>
  <si>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</si>
  <si>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</si>
  <si>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</si>
  <si>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</si>
  <si>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</si>
  <si>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</si>
  <si>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</si>
  <si>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</si>
  <si>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</si>
  <si>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</si>
  <si>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</si>
  <si>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</si>
  <si>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</si>
  <si>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</si>
  <si>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</si>
  <si>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</si>
  <si>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</si>
  <si>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</si>
  <si>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</si>
  <si>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</si>
  <si>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</si>
  <si>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</si>
  <si>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</si>
  <si>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</si>
  <si>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</si>
  <si>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</si>
  <si>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</si>
  <si>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</si>
  <si>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</si>
  <si>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</si>
  <si>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</si>
  <si>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</si>
  <si>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</si>
  <si>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</si>
  <si>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</si>
  <si>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</si>
  <si>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</si>
  <si>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</si>
  <si>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</si>
  <si>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</si>
  <si>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</si>
  <si>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</si>
  <si>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</si>
  <si>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</si>
  <si>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</si>
  <si>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</si>
  <si>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</si>
  <si>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</si>
  <si>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</si>
  <si>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</si>
  <si>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</si>
  <si>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</si>
  <si>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</si>
  <si>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</si>
  <si>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</si>
  <si>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</si>
  <si>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</si>
  <si>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</si>
  <si>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</si>
  <si>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</si>
  <si>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</si>
  <si>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</si>
  <si>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</si>
  <si>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</si>
  <si>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</si>
  <si>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</si>
  <si>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</si>
  <si>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</si>
  <si>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</si>
  <si>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</si>
  <si>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</si>
  <si>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</si>
  <si>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</si>
  <si>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</si>
  <si>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</si>
  <si>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</si>
  <si>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</si>
  <si>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</si>
  <si>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</si>
  <si>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</si>
  <si>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</si>
  <si>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</si>
  <si>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</si>
  <si>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</si>
  <si>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</si>
  <si>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</si>
  <si>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</si>
  <si>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</si>
  <si>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</si>
  <si>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</si>
  <si>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</si>
  <si>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</si>
  <si>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</si>
  <si>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</si>
  <si>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</si>
  <si>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</si>
  <si>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</si>
  <si>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</si>
  <si>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</si>
  <si>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</si>
  <si>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</si>
  <si>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</si>
  <si>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</si>
  <si>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</si>
  <si>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</si>
  <si>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</si>
  <si>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</si>
  <si>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</si>
  <si>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</si>
  <si>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</si>
  <si>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</si>
  <si>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</si>
  <si>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</si>
  <si>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</si>
  <si>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</si>
  <si>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</si>
  <si>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</si>
  <si>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</si>
  <si>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</si>
  <si>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</si>
  <si>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</si>
  <si>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</si>
  <si>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</si>
  <si>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</si>
  <si>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</si>
  <si>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</si>
  <si>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</si>
  <si>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</si>
  <si>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</si>
  <si>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</si>
  <si>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</si>
  <si>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</si>
  <si>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</si>
  <si>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</si>
  <si>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</si>
  <si>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</si>
  <si>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</si>
  <si>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</si>
  <si>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</si>
  <si>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</si>
  <si>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</si>
  <si>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</si>
  <si>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</si>
  <si>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</si>
  <si>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</si>
  <si>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</si>
  <si>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</si>
  <si>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</si>
  <si>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</si>
  <si>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</si>
  <si>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</si>
  <si>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</si>
  <si>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</si>
  <si>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</si>
  <si>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</si>
  <si>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</si>
  <si>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</si>
  <si>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</si>
  <si>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</si>
  <si>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</si>
  <si>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</si>
  <si>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</si>
  <si>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</si>
  <si>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</si>
  <si>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</si>
  <si>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</si>
  <si>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</si>
  <si>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</si>
  <si>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</si>
  <si>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</si>
  <si>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</si>
  <si>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</si>
  <si>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</si>
  <si>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</si>
  <si>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</si>
  <si>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</si>
  <si>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</si>
  <si>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</si>
  <si>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</si>
  <si>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</si>
  <si>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</si>
  <si>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</si>
  <si>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</si>
  <si>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</si>
  <si>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</si>
  <si>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</si>
  <si>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</si>
  <si>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</si>
  <si>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</si>
  <si>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</si>
  <si>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</si>
  <si>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</si>
  <si>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</si>
  <si>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</si>
  <si>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</si>
  <si>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</si>
  <si>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</si>
  <si>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</si>
  <si>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</si>
  <si>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</si>
  <si>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</si>
  <si>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</si>
  <si>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</si>
  <si>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</si>
  <si>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</si>
  <si>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</si>
  <si>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</si>
  <si>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</si>
  <si>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</si>
  <si>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</si>
  <si>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</si>
  <si>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</si>
  <si>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</si>
  <si>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</si>
  <si>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</si>
  <si>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</si>
  <si>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</si>
  <si>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</si>
  <si>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</si>
  <si>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</si>
  <si>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</si>
  <si>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</si>
  <si>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</si>
  <si>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</si>
  <si>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</si>
  <si>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</si>
  <si>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</si>
  <si>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</si>
  <si>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</si>
  <si>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</si>
  <si>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</si>
  <si>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</si>
  <si>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</si>
  <si>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</si>
  <si>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</si>
  <si>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</si>
  <si>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</si>
  <si>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</si>
  <si>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</si>
  <si>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</si>
  <si>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</si>
  <si>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</si>
  <si>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</si>
  <si>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</si>
  <si>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</si>
  <si>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</si>
  <si>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</si>
  <si>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</si>
  <si>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</si>
  <si>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</si>
  <si>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</si>
  <si>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</si>
  <si>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</si>
  <si>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</si>
  <si>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</si>
  <si>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</si>
  <si>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</si>
  <si>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</si>
  <si>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</si>
  <si>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</si>
  <si>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</si>
  <si>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</si>
  <si>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</si>
  <si>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</si>
  <si>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</si>
  <si>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</si>
  <si>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</si>
  <si>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</si>
  <si>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</si>
  <si>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</si>
  <si>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</si>
  <si>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</si>
  <si>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</si>
  <si>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</si>
  <si>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</si>
  <si>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</si>
  <si>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</si>
  <si>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</si>
  <si>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</si>
  <si>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</si>
  <si>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</si>
  <si>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</si>
  <si>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</si>
  <si>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</si>
  <si>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</si>
  <si>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</si>
  <si>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</si>
  <si>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</si>
  <si>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</si>
  <si>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</si>
  <si>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</si>
  <si>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</si>
  <si>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</si>
  <si>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</si>
  <si>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</si>
  <si>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</si>
  <si>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</si>
  <si>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</si>
  <si>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</si>
  <si>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</si>
  <si>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</si>
  <si>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</si>
  <si>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</si>
  <si>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</si>
  <si>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</si>
  <si>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</si>
  <si>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</si>
  <si>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</si>
  <si>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</si>
  <si>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</si>
  <si>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</si>
  <si>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</si>
  <si>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</si>
  <si>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</si>
  <si>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</si>
  <si>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</si>
  <si>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</si>
  <si>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</si>
  <si>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</si>
  <si>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</si>
  <si>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</si>
  <si>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</si>
  <si>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</si>
  <si>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</si>
  <si>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</si>
  <si>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</si>
  <si>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</si>
  <si>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</si>
  <si>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</si>
  <si>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</si>
  <si>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</si>
  <si>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</si>
  <si>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</si>
  <si>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</si>
  <si>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</si>
  <si>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</si>
  <si>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</si>
  <si>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</si>
  <si>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</si>
  <si>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</si>
  <si>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</si>
  <si>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</si>
  <si>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</si>
  <si>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</si>
  <si>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</si>
  <si>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</si>
  <si>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</si>
  <si>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</si>
  <si>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</si>
  <si>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</si>
  <si>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</si>
  <si>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</si>
  <si>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</si>
  <si>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</si>
  <si>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</si>
  <si>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</si>
  <si>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</si>
  <si>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</si>
  <si>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</si>
  <si>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</si>
  <si>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</si>
  <si>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</si>
  <si>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</si>
  <si>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</si>
  <si>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</si>
  <si>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</si>
  <si>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</si>
  <si>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</si>
  <si>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</si>
  <si>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</si>
  <si>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</si>
  <si>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</si>
  <si>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</si>
  <si>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</si>
  <si>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</si>
  <si>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</si>
  <si>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</si>
  <si>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</si>
  <si>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</si>
  <si>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</si>
  <si>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</si>
  <si>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</si>
  <si>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</si>
  <si>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</si>
  <si>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</si>
  <si>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</si>
  <si>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</si>
  <si>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</si>
  <si>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</si>
  <si>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</si>
  <si>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</si>
  <si>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</si>
  <si>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</si>
  <si>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</si>
  <si>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</si>
  <si>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</si>
  <si>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</si>
  <si>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</si>
  <si>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</si>
  <si>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</si>
  <si>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</si>
  <si>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</si>
  <si>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</si>
  <si>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</si>
  <si>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</si>
  <si>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</si>
  <si>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</si>
  <si>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</si>
  <si>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</si>
  <si>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</si>
  <si>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</si>
  <si>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</si>
  <si>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</si>
  <si>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</si>
  <si>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</si>
  <si>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</si>
  <si>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</si>
  <si>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</si>
  <si>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</si>
  <si>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</si>
  <si>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</si>
  <si>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</si>
  <si>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</si>
  <si>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</si>
  <si>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</si>
  <si>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</si>
  <si>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</si>
  <si>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</si>
  <si>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</si>
  <si>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</si>
  <si>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</si>
  <si>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</si>
  <si>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</si>
  <si>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</si>
  <si>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</si>
  <si>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</si>
  <si>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</si>
  <si>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</si>
  <si>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</si>
  <si>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</si>
  <si>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</si>
  <si>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</si>
  <si>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</si>
  <si>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</si>
  <si>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</si>
  <si>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</si>
  <si>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</si>
  <si>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</si>
  <si>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</si>
  <si>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</si>
  <si>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</si>
  <si>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</si>
  <si>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</si>
  <si>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</si>
  <si>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</si>
  <si>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</si>
  <si>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</si>
  <si>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</si>
  <si>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</si>
  <si>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</si>
  <si>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</si>
  <si>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</si>
  <si>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</si>
  <si>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</si>
  <si>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</si>
  <si>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</si>
  <si>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</si>
  <si>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</si>
  <si>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</si>
  <si>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</si>
  <si>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</si>
  <si>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</si>
  <si>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</si>
  <si>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</si>
  <si>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</si>
  <si>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</si>
  <si>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</si>
  <si>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</si>
  <si>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</si>
  <si>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</si>
  <si>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</si>
  <si>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</si>
  <si>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</si>
  <si>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</si>
  <si>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</si>
  <si>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</si>
  <si>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</si>
  <si>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</si>
  <si>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</si>
  <si>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</si>
  <si>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</si>
  <si>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</si>
  <si>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</si>
  <si>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</si>
  <si>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</si>
  <si>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</si>
  <si>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</si>
  <si>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</si>
  <si>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</si>
  <si>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</si>
  <si>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</si>
  <si>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</si>
  <si>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</si>
  <si>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</si>
  <si>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</si>
  <si>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</si>
  <si>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</si>
  <si>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</si>
  <si>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</si>
  <si>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</si>
  <si>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</si>
  <si>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</si>
  <si>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</si>
  <si>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</si>
  <si>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</si>
  <si>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</si>
  <si>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</si>
  <si>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</si>
  <si>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</si>
  <si>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</si>
  <si>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</si>
  <si>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</si>
  <si>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</si>
  <si>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</si>
  <si>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</si>
  <si>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</si>
  <si>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</si>
  <si>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</si>
  <si>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</si>
  <si>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</si>
  <si>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</si>
  <si>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</si>
  <si>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</si>
  <si>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</si>
  <si>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</si>
  <si>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</si>
  <si>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</si>
  <si>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</si>
  <si>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</si>
  <si>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</si>
  <si>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</si>
  <si>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</si>
  <si>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</si>
  <si>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</si>
  <si>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</si>
  <si>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</si>
  <si>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</si>
  <si>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</si>
  <si>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</si>
  <si>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</si>
  <si>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</si>
  <si>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</si>
  <si>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</si>
  <si>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</si>
  <si>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</si>
  <si>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</si>
  <si>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</si>
  <si>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</si>
  <si>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</si>
  <si>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</si>
  <si>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</si>
  <si>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</si>
  <si>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</si>
  <si>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</si>
  <si>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</si>
  <si>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</si>
  <si>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</si>
  <si>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</si>
  <si>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</si>
  <si>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</si>
  <si>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</si>
  <si>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</si>
  <si>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</si>
  <si>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</si>
  <si>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</si>
  <si>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</si>
  <si>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</si>
  <si>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</si>
  <si>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</si>
  <si>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</si>
  <si>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</si>
  <si>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</si>
  <si>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</si>
  <si>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</si>
  <si>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</si>
  <si>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</si>
  <si>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</si>
  <si>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</si>
  <si>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</si>
  <si>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</si>
  <si>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</si>
  <si>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</si>
  <si>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</si>
  <si>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</si>
  <si>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</si>
  <si>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</si>
  <si>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</si>
  <si>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</si>
  <si>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</si>
  <si>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</si>
  <si>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</si>
  <si>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</si>
  <si>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</si>
  <si>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</si>
  <si>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</si>
  <si>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</si>
  <si>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</si>
  <si>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</si>
  <si>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</si>
  <si>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</si>
  <si>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</si>
  <si>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</si>
  <si>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</si>
  <si>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</si>
  <si>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</si>
  <si>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</si>
  <si>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</si>
  <si>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</si>
  <si>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</si>
  <si>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</si>
  <si>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</si>
  <si>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</si>
  <si>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</si>
  <si>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</si>
  <si>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</si>
  <si>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</si>
  <si>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</si>
  <si>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</si>
  <si>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</si>
  <si>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</si>
  <si>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</si>
  <si>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</si>
  <si>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</si>
  <si>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</si>
  <si>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</si>
  <si>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</si>
  <si>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</si>
  <si>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</si>
  <si>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</si>
  <si>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</si>
  <si>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</si>
  <si>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</si>
  <si>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</si>
  <si>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</si>
  <si>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</si>
  <si>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</si>
  <si>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</si>
  <si>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</si>
  <si>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</si>
  <si>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</si>
  <si>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</si>
  <si>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</si>
  <si>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</si>
  <si>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</si>
  <si>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</si>
  <si>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</si>
  <si>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</si>
  <si>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</si>
  <si>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</si>
  <si>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</si>
  <si>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</si>
  <si>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</si>
  <si>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</si>
  <si>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</si>
  <si>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</si>
  <si>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</si>
  <si>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</si>
  <si>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</si>
  <si>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</si>
  <si>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</si>
  <si>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</si>
  <si>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</si>
  <si>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</si>
  <si>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</si>
  <si>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</si>
  <si>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</si>
  <si>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</si>
  <si>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</si>
  <si>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</si>
  <si>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</si>
  <si>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</si>
  <si>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</si>
  <si>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</si>
  <si>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</si>
  <si>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</si>
  <si>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</si>
  <si>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</si>
  <si>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</si>
  <si>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</si>
  <si>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</si>
  <si>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</si>
  <si>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</si>
  <si>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</si>
  <si>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</si>
  <si>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</si>
  <si>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</si>
  <si>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</si>
  <si>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</si>
  <si>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</si>
  <si>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</si>
  <si>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</si>
  <si>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</si>
  <si>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</si>
  <si>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</si>
  <si>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</si>
  <si>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</si>
  <si>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</si>
  <si>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</si>
  <si>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</si>
  <si>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</si>
  <si>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</si>
  <si>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</si>
  <si>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</si>
  <si>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</si>
  <si>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</si>
  <si>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</si>
  <si>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</si>
  <si>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</si>
  <si>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</si>
  <si>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</si>
  <si>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</si>
  <si>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</si>
  <si>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</si>
  <si>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</si>
  <si>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</si>
  <si>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</si>
  <si>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</si>
  <si>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</si>
  <si>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</si>
  <si>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</si>
  <si>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</si>
  <si>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</si>
  <si>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</si>
  <si>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</si>
  <si>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</si>
  <si>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</si>
  <si>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</si>
  <si>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</si>
  <si>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</si>
  <si>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</si>
  <si>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</si>
  <si>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</si>
  <si>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</si>
  <si>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</si>
  <si>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</si>
  <si>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</si>
  <si>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</si>
  <si>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</si>
  <si>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</si>
  <si>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</si>
  <si>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</si>
  <si>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</si>
  <si>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</si>
  <si>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</si>
  <si>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</si>
  <si>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</si>
  <si>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</si>
  <si>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</si>
  <si>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</si>
  <si>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</si>
  <si>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</si>
  <si>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</si>
  <si>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</si>
  <si>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</si>
  <si>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</si>
  <si>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</si>
  <si>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</si>
  <si>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</si>
  <si>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</si>
  <si>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</si>
  <si>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</si>
  <si>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</si>
  <si>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</si>
  <si>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</si>
  <si>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</si>
  <si>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</si>
  <si>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</si>
  <si>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</si>
  <si>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</si>
  <si>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</si>
  <si>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</si>
  <si>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</si>
  <si>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</si>
  <si>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</si>
  <si>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</si>
  <si>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</si>
  <si>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</si>
  <si>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</si>
  <si>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</si>
  <si>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</si>
  <si>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</si>
  <si>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</si>
  <si>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</si>
  <si>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</si>
  <si>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</si>
  <si>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</si>
  <si>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</si>
  <si>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</si>
  <si>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</si>
  <si>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</si>
  <si>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</si>
  <si>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</si>
  <si>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</si>
  <si>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</si>
  <si>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</si>
  <si>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</si>
  <si>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</si>
  <si>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</si>
  <si>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</si>
  <si>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</si>
  <si>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</si>
  <si>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</si>
  <si>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</si>
  <si>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</si>
  <si>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</si>
  <si>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</si>
  <si>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</si>
  <si>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</si>
  <si>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</si>
  <si>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</si>
  <si>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</si>
  <si>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</si>
  <si>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</si>
  <si>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</si>
  <si>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</si>
  <si>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</si>
  <si>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</si>
  <si>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</si>
  <si>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</si>
  <si>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</si>
  <si>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</si>
  <si>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</si>
  <si>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</si>
  <si>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</si>
  <si>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</si>
  <si>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</si>
  <si>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</si>
  <si>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</si>
  <si>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</si>
  <si>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</si>
  <si>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</si>
  <si>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</si>
  <si>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</si>
  <si>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</si>
  <si>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</si>
  <si>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</si>
  <si>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</si>
  <si>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</si>
  <si>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</si>
  <si>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</si>
  <si>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</si>
  <si>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</si>
  <si>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</si>
  <si>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</si>
  <si>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</si>
  <si>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</si>
  <si>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</si>
  <si>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</si>
  <si>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</si>
  <si>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</si>
  <si>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</si>
  <si>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</si>
  <si>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</si>
  <si>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</si>
  <si>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</si>
  <si>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</si>
  <si>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</si>
  <si>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</si>
  <si>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</si>
  <si>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</si>
  <si>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</si>
  <si>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</si>
  <si>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</si>
  <si>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</si>
  <si>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</si>
  <si>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</si>
  <si>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</si>
  <si>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</si>
  <si>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</si>
  <si>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</si>
  <si>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</si>
  <si>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</si>
  <si>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</si>
  <si>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</si>
  <si>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</si>
  <si>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</si>
  <si>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</si>
  <si>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</si>
  <si>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</si>
  <si>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</si>
  <si>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</si>
  <si>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</si>
  <si>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</si>
  <si>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</si>
  <si>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</si>
  <si>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</si>
  <si>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</si>
  <si>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</si>
  <si>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</si>
  <si>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</si>
  <si>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</si>
  <si>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</si>
  <si>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</si>
  <si>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</si>
  <si>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</si>
  <si>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</si>
  <si>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</si>
  <si>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</si>
  <si>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</si>
  <si>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</si>
  <si>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</si>
  <si>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</si>
  <si>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</si>
  <si>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</si>
  <si>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</si>
  <si>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</si>
  <si>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</si>
  <si>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</si>
  <si>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</si>
  <si>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</si>
  <si>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</si>
  <si>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</si>
  <si>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</si>
  <si>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</si>
  <si>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</si>
  <si>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</si>
  <si>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</si>
  <si>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</si>
  <si>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</si>
  <si>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</si>
  <si>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</si>
  <si>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</si>
  <si>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</si>
  <si>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</si>
  <si>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</si>
  <si>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</si>
  <si>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</si>
  <si>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</si>
  <si>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</si>
  <si>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</si>
  <si>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</si>
  <si>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</si>
  <si>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</si>
  <si>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</si>
  <si>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</si>
  <si>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</si>
  <si>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</si>
  <si>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</si>
  <si>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</si>
  <si>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</si>
  <si>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</si>
  <si>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</si>
  <si>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</si>
  <si>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</si>
  <si>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</si>
  <si>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</si>
  <si>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</si>
  <si>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</si>
  <si>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</si>
  <si>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</si>
  <si>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</si>
  <si>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</si>
  <si>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</si>
  <si>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</si>
  <si>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</si>
  <si>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</si>
  <si>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</si>
  <si>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</si>
  <si>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</si>
  <si>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</si>
  <si>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</si>
  <si>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</si>
  <si>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</si>
  <si>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</si>
  <si>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</si>
  <si>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</si>
  <si>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</si>
  <si>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</si>
  <si>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</si>
  <si>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</si>
  <si>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</si>
  <si>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</si>
  <si>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</si>
  <si>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</si>
  <si>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</si>
  <si>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</si>
  <si>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</si>
  <si>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</si>
  <si>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</si>
  <si>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</si>
  <si>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</si>
  <si>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</si>
  <si>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</si>
  <si>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</si>
  <si>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</si>
  <si>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</si>
  <si>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</si>
  <si>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</si>
  <si>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</si>
  <si>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</si>
  <si>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</si>
  <si>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</si>
  <si>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</si>
  <si>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</si>
  <si>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</si>
  <si>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</si>
  <si>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</si>
  <si>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</si>
  <si>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</si>
  <si>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</si>
  <si>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</si>
  <si>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</si>
  <si>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</si>
  <si>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</si>
  <si>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</si>
  <si>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</si>
  <si>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</si>
  <si>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</si>
  <si>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</si>
  <si>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</si>
  <si>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</si>
  <si>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</si>
  <si>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</si>
  <si>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</si>
  <si>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</si>
  <si>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</si>
  <si>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</si>
  <si>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</si>
  <si>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</si>
  <si>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</si>
  <si>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</si>
  <si>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</si>
  <si>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</si>
  <si>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</si>
  <si>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</si>
  <si>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</si>
  <si>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</si>
  <si>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</si>
  <si>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</si>
  <si>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</si>
  <si>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</si>
  <si>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</si>
  <si>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</si>
  <si>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</si>
  <si>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</si>
  <si>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</si>
  <si>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</si>
  <si>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</si>
  <si>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</si>
  <si>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</si>
  <si>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</si>
  <si>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</si>
  <si>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</si>
  <si>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</si>
  <si>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</si>
  <si>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</si>
  <si>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</si>
  <si>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</si>
  <si>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</si>
  <si>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</si>
  <si>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</si>
  <si>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</si>
  <si>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</si>
  <si>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</si>
  <si>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</si>
  <si>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</si>
  <si>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</si>
  <si>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</si>
  <si>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</si>
  <si>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</si>
  <si>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</si>
  <si>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</si>
  <si>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</si>
  <si>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</si>
  <si>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</si>
  <si>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</si>
  <si>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</si>
  <si>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</si>
  <si>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</si>
  <si>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</si>
  <si>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</si>
  <si>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</si>
  <si>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</si>
  <si>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</si>
  <si>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</si>
  <si>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</si>
  <si>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</si>
  <si>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</si>
  <si>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</si>
  <si>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</si>
  <si>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</si>
  <si>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</si>
  <si>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</si>
  <si>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</si>
  <si>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</si>
  <si>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</si>
  <si>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</si>
  <si>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</si>
  <si>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</si>
  <si>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</si>
  <si>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</si>
  <si>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</si>
  <si>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</si>
  <si>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</si>
  <si>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</si>
  <si>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</si>
  <si>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</si>
  <si>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</si>
  <si>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</si>
  <si>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</si>
  <si>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</si>
  <si>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</si>
  <si>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</si>
  <si>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</si>
  <si>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</si>
  <si>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</si>
  <si>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</si>
  <si>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</si>
  <si>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</si>
  <si>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</si>
  <si>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</si>
  <si>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</si>
  <si>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</si>
  <si>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</si>
  <si>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</si>
  <si>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</si>
  <si>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</si>
  <si>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</si>
  <si>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</si>
  <si>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</si>
  <si>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</si>
  <si>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</si>
  <si>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</si>
  <si>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</si>
  <si>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</si>
  <si>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</si>
  <si>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</si>
  <si>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</si>
  <si>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</si>
  <si>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</si>
  <si>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</si>
  <si>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</si>
  <si>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</si>
  <si>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</si>
  <si>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</si>
  <si>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</si>
  <si>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</si>
  <si>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</si>
  <si>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</si>
  <si>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</si>
  <si>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</si>
  <si>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</si>
  <si>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</si>
  <si>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</si>
  <si>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</si>
  <si>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</si>
  <si>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</si>
  <si>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</si>
  <si>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</si>
  <si>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</si>
  <si>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</si>
  <si>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</si>
  <si>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</si>
  <si>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</si>
  <si>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</si>
  <si>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</si>
  <si>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</si>
  <si>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</si>
  <si>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</si>
  <si>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</si>
  <si>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</si>
  <si>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</si>
  <si>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</si>
  <si>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</si>
  <si>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</si>
  <si>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</si>
  <si>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</si>
  <si>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</si>
  <si>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</si>
  <si>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</si>
  <si>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</si>
  <si>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</si>
  <si>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</si>
  <si>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</si>
  <si>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</si>
  <si>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</si>
  <si>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</si>
  <si>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</si>
  <si>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</si>
  <si>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</si>
  <si>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</si>
  <si>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</si>
  <si>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</si>
  <si>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</si>
  <si>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</si>
  <si>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</si>
  <si>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</si>
  <si>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</si>
  <si>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</si>
  <si>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</si>
  <si>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</si>
  <si>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</si>
  <si>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</si>
  <si>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</si>
  <si>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</si>
  <si>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</si>
  <si>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</si>
  <si>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</si>
  <si>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</si>
  <si>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</si>
  <si>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</si>
  <si>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</si>
  <si>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</si>
  <si>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</si>
  <si>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</si>
  <si>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</si>
  <si>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</si>
  <si>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</si>
  <si>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</si>
  <si>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</si>
  <si>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</si>
  <si>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</si>
  <si>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</si>
  <si>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</si>
  <si>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</si>
  <si>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</si>
  <si>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</si>
  <si>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</si>
  <si>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</si>
  <si>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</si>
  <si>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</si>
  <si>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</si>
  <si>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</si>
  <si>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</si>
  <si>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</si>
  <si>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</si>
  <si>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</si>
  <si>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</si>
  <si>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</si>
  <si>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</si>
  <si>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</si>
  <si>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</si>
  <si>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</si>
  <si>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</si>
  <si>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</si>
  <si>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</si>
  <si>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</si>
  <si>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</si>
  <si>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</si>
  <si>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</si>
  <si>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</si>
  <si>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</si>
  <si>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</si>
  <si>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</si>
  <si>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</si>
  <si>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</si>
  <si>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</si>
  <si>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</si>
  <si>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</si>
  <si>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</si>
  <si>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</si>
  <si>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</si>
  <si>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</si>
  <si>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</si>
  <si>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</si>
  <si>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</si>
  <si>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</si>
  <si>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</si>
  <si>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</si>
  <si>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</si>
  <si>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</si>
  <si>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</si>
  <si>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</si>
  <si>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</si>
  <si>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</si>
  <si>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</si>
  <si>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</si>
  <si>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</si>
  <si>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</si>
  <si>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</si>
  <si>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</si>
  <si>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</si>
  <si>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</si>
  <si>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</si>
  <si>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</si>
  <si>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</si>
  <si>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</si>
  <si>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</si>
  <si>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</si>
  <si>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</si>
  <si>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</si>
  <si>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</si>
  <si>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</si>
  <si>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</si>
  <si>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</si>
  <si>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</si>
  <si>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</si>
  <si>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</si>
  <si>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</si>
  <si>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</si>
  <si>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</si>
  <si>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</si>
  <si>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</si>
  <si>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</si>
  <si>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</si>
  <si>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</si>
  <si>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</si>
  <si>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</si>
  <si>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</si>
  <si>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</si>
  <si>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</si>
  <si>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</si>
  <si>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</si>
  <si>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</si>
  <si>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</si>
  <si>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</si>
  <si>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</si>
  <si>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</si>
  <si>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</si>
  <si>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</si>
  <si>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</si>
  <si>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</si>
  <si>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</si>
  <si>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</si>
  <si>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</si>
  <si>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</si>
  <si>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</si>
  <si>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</si>
  <si>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</si>
  <si>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</si>
  <si>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</si>
  <si>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</si>
  <si>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</si>
  <si>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</si>
  <si>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</si>
  <si>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</si>
  <si>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</si>
  <si>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</si>
  <si>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</si>
  <si>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</si>
  <si>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</si>
  <si>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</si>
  <si>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</si>
  <si>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</si>
  <si>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</si>
  <si>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</si>
  <si>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</si>
  <si>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</si>
  <si>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</si>
  <si>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</si>
  <si>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</si>
  <si>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</si>
  <si>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</si>
  <si>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</si>
  <si>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</si>
  <si>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</si>
  <si>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</si>
  <si>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</si>
  <si>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</si>
  <si>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</si>
  <si>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</si>
  <si>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</si>
  <si>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</si>
  <si>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</si>
  <si>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</si>
  <si>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</si>
  <si>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</si>
  <si>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</si>
  <si>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</si>
  <si>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</si>
  <si>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</si>
  <si>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</si>
  <si>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</si>
  <si>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</si>
  <si>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</si>
  <si>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</si>
  <si>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</si>
  <si>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</si>
  <si>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</si>
  <si>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</si>
  <si>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</si>
  <si>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</si>
  <si>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</si>
  <si>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</si>
  <si>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</si>
  <si>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</si>
  <si>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</si>
  <si>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</si>
  <si>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</si>
  <si>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</si>
  <si>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</si>
  <si>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</si>
  <si>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</si>
  <si>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</si>
  <si>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</si>
  <si>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</si>
  <si>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</si>
  <si>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</si>
  <si>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</si>
  <si>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</si>
  <si>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</si>
  <si>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</si>
  <si>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</si>
  <si>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</si>
  <si>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</si>
  <si>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</si>
  <si>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</si>
  <si>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</si>
  <si>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</si>
  <si>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</si>
  <si>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</si>
  <si>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</si>
  <si>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</si>
  <si>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</si>
  <si>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</si>
  <si>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</si>
  <si>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</si>
  <si>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</si>
  <si>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</si>
  <si>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</si>
  <si>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</si>
  <si>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</si>
  <si>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</si>
  <si>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</si>
  <si>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</si>
  <si>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</si>
  <si>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</si>
  <si>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</si>
  <si>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</si>
  <si>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</si>
  <si>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</si>
  <si>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</si>
  <si>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</si>
  <si>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</si>
  <si>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</si>
  <si>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</si>
  <si>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</si>
  <si>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</si>
  <si>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</si>
  <si>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</si>
  <si>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</si>
  <si>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</si>
  <si>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</si>
  <si>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</si>
  <si>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</si>
  <si>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</si>
  <si>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</si>
  <si>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</si>
  <si>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</si>
  <si>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</si>
  <si>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</si>
  <si>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</si>
  <si>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</si>
  <si>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</si>
  <si>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</si>
  <si>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</si>
  <si>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</si>
  <si>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</si>
  <si>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</si>
  <si>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</si>
  <si>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</si>
  <si>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</si>
  <si>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</si>
  <si>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</si>
  <si>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</si>
  <si>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</si>
  <si>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</si>
  <si>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</si>
  <si>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</si>
  <si>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</si>
  <si>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</si>
  <si>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</si>
  <si>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</si>
  <si>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</si>
  <si>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</si>
  <si>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</si>
  <si>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</si>
  <si>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</si>
  <si>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</si>
  <si>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</si>
  <si>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</si>
  <si>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</si>
  <si>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</si>
  <si>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</si>
  <si>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</si>
  <si>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</si>
  <si>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</si>
  <si>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</si>
  <si>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</si>
  <si>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</si>
  <si>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</si>
  <si>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</si>
  <si>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</si>
  <si>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</si>
  <si>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</si>
  <si>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</si>
  <si>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</si>
  <si>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</si>
  <si>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</si>
  <si>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</si>
  <si>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</si>
  <si>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</si>
  <si>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</si>
  <si>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</si>
  <si>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</si>
  <si>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</si>
  <si>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</si>
  <si>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</si>
  <si>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</si>
  <si>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</si>
  <si>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</si>
  <si>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</si>
  <si>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</si>
  <si>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</si>
  <si>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</si>
  <si>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</si>
  <si>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</si>
  <si>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</si>
  <si>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</si>
  <si>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</si>
  <si>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</si>
  <si>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</si>
  <si>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</si>
  <si>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</si>
  <si>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</si>
  <si>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</si>
  <si>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</si>
  <si>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</si>
  <si>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</si>
  <si>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</si>
  <si>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</si>
  <si>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</si>
  <si>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</si>
  <si>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</si>
  <si>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</si>
  <si>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</si>
  <si>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</si>
  <si>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</si>
  <si>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</si>
  <si>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</si>
  <si>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</si>
  <si>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</si>
  <si>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</si>
  <si>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</si>
  <si>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</si>
  <si>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</si>
  <si>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</si>
  <si>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</si>
  <si>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</si>
  <si>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</si>
  <si>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</si>
  <si>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</si>
  <si>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</si>
  <si>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</si>
  <si>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</si>
  <si>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</si>
  <si>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</si>
  <si>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</si>
  <si>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</si>
  <si>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</si>
  <si>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</si>
  <si>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</si>
  <si>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</si>
  <si>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</si>
  <si>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</si>
  <si>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</si>
  <si>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</si>
  <si>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</si>
  <si>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</si>
  <si>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</si>
  <si>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</si>
  <si>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</si>
  <si>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</si>
  <si>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</si>
  <si>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</si>
  <si>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</si>
  <si>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</si>
  <si>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</si>
  <si>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</si>
  <si>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</si>
  <si>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</si>
  <si>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</si>
  <si>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</si>
  <si>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</si>
  <si>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</si>
  <si>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</si>
  <si>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</si>
  <si>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</si>
  <si>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</si>
  <si>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</si>
  <si>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</si>
  <si>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</si>
  <si>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</si>
  <si>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</si>
  <si>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</si>
  <si>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</si>
  <si>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</si>
  <si>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</si>
  <si>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</si>
  <si>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</si>
  <si>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</si>
  <si>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</si>
  <si>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</si>
  <si>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</si>
  <si>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</si>
  <si>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</si>
  <si>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</si>
  <si>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</si>
  <si>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</si>
  <si>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</si>
  <si>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</si>
  <si>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</si>
  <si>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</si>
  <si>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</si>
  <si>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</si>
  <si>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</si>
  <si>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</si>
  <si>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</si>
  <si>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</si>
  <si>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</si>
  <si>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</si>
  <si>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</si>
  <si>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</si>
  <si>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</si>
  <si>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</si>
  <si>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</si>
  <si>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</si>
  <si>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</si>
  <si>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</si>
  <si>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</si>
  <si>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</si>
  <si>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</si>
  <si>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</si>
  <si>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</si>
  <si>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</si>
  <si>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</si>
  <si>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</si>
  <si>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</si>
  <si>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</si>
  <si>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</si>
  <si>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</si>
  <si>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</si>
  <si>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</si>
  <si>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</si>
  <si>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</si>
  <si>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</si>
  <si>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</si>
  <si>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</si>
  <si>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</si>
  <si>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</si>
  <si>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</si>
  <si>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</si>
  <si>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</si>
  <si>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</si>
  <si>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</si>
  <si>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</si>
  <si>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</si>
  <si>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</si>
  <si>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</si>
  <si>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</si>
  <si>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</si>
  <si>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</si>
  <si>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</si>
  <si>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</si>
  <si>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</si>
  <si>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</si>
  <si>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</si>
  <si>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</si>
  <si>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</si>
  <si>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</si>
  <si>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</si>
  <si>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</si>
  <si>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</si>
  <si>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</si>
  <si>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</si>
  <si>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</si>
  <si>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</si>
  <si>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</si>
  <si>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</si>
  <si>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</si>
  <si>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</si>
  <si>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</si>
  <si>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</si>
  <si>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</si>
  <si>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</si>
  <si>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</si>
  <si>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</si>
  <si>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</si>
  <si>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</si>
  <si>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</si>
  <si>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</si>
  <si>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</si>
  <si>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</si>
  <si>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</si>
  <si>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</si>
  <si>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</si>
  <si>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</si>
  <si>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</si>
  <si>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</si>
  <si>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</si>
  <si>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</si>
  <si>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</si>
  <si>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</si>
  <si>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</si>
  <si>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</si>
  <si>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</si>
  <si>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</si>
  <si>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</si>
  <si>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</si>
  <si>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</si>
  <si>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</si>
  <si>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</si>
  <si>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</si>
  <si>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</si>
  <si>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</si>
  <si>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</si>
  <si>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</si>
  <si>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</si>
  <si>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</si>
  <si>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</si>
  <si>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</si>
  <si>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</si>
  <si>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</si>
  <si>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</si>
  <si>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</si>
  <si>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</si>
  <si>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</si>
  <si>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</si>
  <si>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</si>
  <si>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</si>
  <si>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</si>
  <si>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</si>
  <si>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</si>
  <si>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</si>
  <si>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</si>
  <si>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</si>
  <si>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</si>
  <si>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</si>
  <si>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</si>
  <si>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</si>
  <si>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</si>
  <si>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</si>
  <si>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</si>
  <si>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</si>
  <si>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</si>
  <si>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</si>
  <si>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</si>
  <si>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</si>
  <si>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</si>
  <si>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</si>
  <si>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</si>
  <si>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</si>
  <si>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</si>
  <si>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</si>
  <si>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</si>
  <si>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</si>
  <si>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</si>
  <si>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</si>
  <si>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</si>
  <si>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</si>
  <si>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</si>
  <si>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</si>
  <si>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</si>
  <si>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</si>
  <si>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</si>
  <si>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</si>
  <si>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</si>
  <si>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</si>
  <si>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</si>
  <si>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</si>
  <si>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</si>
  <si>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</si>
  <si>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</si>
  <si>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</si>
  <si>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</si>
  <si>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</si>
  <si>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</si>
  <si>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</si>
  <si>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</si>
  <si>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</si>
  <si>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</si>
  <si>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</si>
  <si>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</si>
  <si>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</si>
  <si>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</si>
  <si>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</si>
  <si>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</si>
  <si>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</si>
  <si>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</si>
  <si>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</si>
  <si>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</si>
  <si>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</si>
  <si>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</si>
  <si>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</si>
  <si>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</si>
  <si>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</si>
  <si>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</si>
  <si>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</si>
  <si>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</si>
  <si>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</si>
  <si>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</si>
  <si>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</si>
  <si>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</si>
  <si>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</si>
  <si>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</si>
  <si>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</si>
  <si>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</si>
  <si>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</si>
  <si>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</si>
  <si>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</si>
  <si>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</si>
  <si>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</si>
  <si>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</si>
  <si>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</si>
  <si>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</si>
  <si>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</si>
  <si>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</si>
  <si>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</si>
  <si>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</si>
  <si>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</si>
  <si>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</si>
  <si>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</si>
  <si>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</si>
  <si>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</si>
  <si>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</si>
  <si>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</si>
  <si>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</si>
  <si>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</si>
  <si>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</si>
  <si>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</si>
  <si>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</si>
  <si>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</si>
  <si>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</si>
  <si>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</si>
  <si>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</si>
  <si>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</si>
  <si>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</si>
  <si>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</si>
  <si>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</si>
  <si>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</si>
  <si>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</si>
  <si>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</si>
  <si>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</si>
  <si>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</si>
  <si>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</si>
  <si>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</si>
  <si>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</si>
  <si>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</si>
  <si>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</si>
  <si>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</si>
  <si>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</si>
  <si>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</si>
  <si>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</si>
  <si>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</si>
  <si>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</si>
  <si>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</si>
  <si>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</si>
  <si>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</si>
  <si>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</si>
  <si>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</si>
  <si>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</si>
  <si>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</si>
  <si>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</si>
  <si>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</si>
  <si>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</si>
  <si>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</si>
  <si>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</si>
  <si>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</si>
  <si>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</si>
  <si>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</si>
  <si>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</si>
  <si>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</si>
  <si>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</si>
  <si>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</si>
  <si>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</si>
  <si>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</si>
  <si>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</si>
  <si>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</si>
  <si>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</si>
  <si>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</si>
  <si>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</si>
  <si>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</si>
  <si>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</si>
  <si>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</si>
  <si>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</si>
  <si>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</si>
  <si>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</si>
  <si>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</si>
  <si>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</si>
  <si>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</si>
  <si>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</si>
  <si>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</si>
  <si>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</si>
  <si>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</si>
  <si>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</si>
  <si>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</si>
  <si>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</si>
  <si>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</si>
  <si>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</si>
  <si>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</si>
  <si>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</si>
  <si>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</si>
  <si>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</si>
  <si>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</si>
  <si>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</si>
  <si>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</si>
  <si>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</si>
  <si>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</si>
  <si>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</si>
  <si>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</si>
  <si>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</si>
  <si>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</si>
  <si>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</si>
  <si>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</si>
  <si>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</si>
  <si>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</si>
  <si>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</si>
  <si>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</si>
  <si>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</si>
  <si>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</si>
  <si>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</si>
  <si>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</si>
  <si>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</si>
  <si>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</si>
  <si>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</si>
  <si>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</si>
  <si>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</si>
  <si>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</si>
  <si>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</si>
  <si>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</si>
  <si>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</si>
  <si>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</si>
  <si>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</si>
  <si>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</si>
  <si>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</si>
  <si>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</si>
  <si>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</si>
  <si>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</si>
  <si>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</si>
  <si>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</si>
  <si>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</si>
  <si>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</si>
  <si>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</si>
  <si>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</si>
  <si>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</si>
  <si>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</si>
  <si>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</si>
  <si>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</si>
  <si>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</si>
  <si>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</si>
  <si>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</si>
  <si>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</si>
  <si>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</si>
  <si>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</si>
  <si>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</si>
  <si>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</si>
  <si>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</si>
  <si>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</si>
  <si>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</si>
  <si>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</si>
  <si>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</si>
  <si>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</si>
  <si>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</si>
  <si>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</si>
  <si>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</si>
  <si>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</si>
  <si>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</si>
  <si>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</si>
  <si>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</si>
  <si>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</si>
  <si>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</si>
  <si>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</si>
  <si>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</si>
  <si>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</si>
  <si>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</si>
  <si>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</si>
  <si>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</si>
  <si>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</si>
  <si>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</si>
  <si>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</si>
  <si>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</si>
  <si>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</si>
  <si>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</si>
  <si>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</si>
  <si>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</si>
  <si>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</si>
  <si>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</si>
  <si>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</si>
  <si>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</si>
  <si>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</si>
  <si>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</si>
  <si>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</si>
  <si>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</si>
  <si>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</si>
  <si>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</si>
  <si>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</si>
  <si>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</si>
  <si>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</si>
  <si>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</si>
  <si>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</si>
  <si>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</si>
  <si>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</si>
  <si>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</si>
  <si>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</si>
  <si>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</si>
  <si>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</si>
  <si>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</si>
  <si>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</si>
  <si>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</si>
  <si>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</si>
  <si>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</si>
  <si>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</si>
  <si>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</si>
  <si>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</si>
  <si>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</si>
  <si>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</si>
  <si>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</si>
  <si>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</si>
  <si>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</si>
  <si>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</si>
  <si>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</si>
  <si>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</si>
  <si>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</si>
  <si>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</si>
  <si>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</si>
  <si>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</si>
  <si>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</si>
  <si>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</si>
  <si>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</si>
  <si>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</si>
  <si>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</si>
  <si>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</si>
  <si>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</si>
  <si>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</si>
  <si>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</si>
  <si>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</si>
  <si>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</si>
  <si>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</si>
  <si>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</si>
  <si>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</si>
  <si>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</si>
  <si>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</si>
  <si>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</si>
  <si>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</si>
  <si>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</si>
  <si>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</si>
  <si>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</si>
  <si>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</si>
  <si>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</si>
  <si>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</si>
  <si>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</si>
  <si>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</si>
  <si>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</si>
  <si>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</si>
  <si>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</si>
  <si>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</si>
  <si>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</si>
  <si>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</si>
  <si>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</si>
  <si>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</si>
  <si>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</si>
  <si>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</si>
  <si>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</si>
  <si>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</si>
  <si>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</si>
  <si>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</si>
  <si>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</si>
  <si>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</si>
  <si>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</si>
  <si>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</si>
  <si>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</si>
  <si>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</si>
  <si>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</si>
  <si>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</si>
  <si>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</si>
  <si>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</si>
  <si>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</si>
  <si>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</si>
  <si>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</si>
  <si>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</si>
  <si>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</si>
  <si>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</si>
  <si>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</si>
  <si>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</si>
  <si>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</si>
  <si>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</si>
  <si>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</si>
  <si>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</si>
  <si>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</si>
  <si>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</si>
  <si>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</si>
  <si>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</si>
  <si>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</si>
  <si>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</si>
  <si>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</si>
  <si>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</si>
  <si>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</si>
  <si>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</si>
  <si>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</si>
  <si>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</si>
  <si>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</si>
  <si>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</si>
  <si>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</si>
  <si>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</si>
  <si>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估价对象所在区域基础设施水平——七通</t>
  </si>
  <si>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</si>
  <si>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</si>
  <si>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</si>
  <si>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</si>
  <si>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</si>
  <si>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</si>
  <si>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</si>
  <si>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估价对象所在区域基础设施水平——七通</t>
    <phoneticPr fontId="20" type="noConversion"/>
  </si>
  <si>
    <t>南</t>
  </si>
  <si>
    <t>塔楼</t>
  </si>
  <si>
    <t>钢混</t>
  </si>
  <si>
    <t>60-70（含）</t>
  </si>
  <si>
    <t>31</t>
    <phoneticPr fontId="4" type="noConversion"/>
  </si>
  <si>
    <t>北京市朝阳区安华里五区5楼201号住宅用房</t>
    <phoneticPr fontId="4" type="noConversion"/>
  </si>
  <si>
    <t>北京市朝阳区安华里五区</t>
    <phoneticPr fontId="4" type="noConversion"/>
  </si>
  <si>
    <t>估价对象周边有安贞里小区、和平里小区、胜古家园、小黄庄小区、青年湖东里、裕中东里等居住小区，小区规模和社区发展完善程度较好，综合评价居住社区成熟度好</t>
  </si>
  <si>
    <t>估价对象周边有安贞里小区、和平里小区、胜古家园、小黄庄小区、青年湖东里、裕中东里等居住小区，小区规模和社区发展完善程度较好，综合评价居住社区成熟度好</t>
    <phoneticPr fontId="35" type="noConversion"/>
  </si>
  <si>
    <t>估价对象紧邻城市次干道——外馆斜街，临近地铁5号线（和平西桥站）；以估价对象为中心半径2公里范围内有18路、75路、108路、113路、119路等多条公交线路，综合评价交通便捷度好</t>
  </si>
  <si>
    <t>估价对象紧邻城市次干道——外馆斜街，临近地铁5号线（和平西桥站）；以估价对象为中心半径2公里范围内有18路、75路、108路、113路、119路等多条公交线路，综合评价交通便捷度好</t>
    <phoneticPr fontId="35" type="noConversion"/>
  </si>
  <si>
    <t>估价对象所在区域公共配套设施齐备情况好</t>
  </si>
  <si>
    <t>估价对象所在区域公共配套设施齐备情况好</t>
    <phoneticPr fontId="20" type="noConversion"/>
  </si>
  <si>
    <t>自然环境：柳荫公园、青年湖公园、地坛公园等；人文环境：北京化工大学等，综合评价环境状况较好</t>
  </si>
  <si>
    <t>自然环境：柳荫公园、青年湖公园、地坛公园等；人文环境：北京化工大学等，综合评价环境状况较好</t>
    <phoneticPr fontId="35" type="noConversion"/>
  </si>
  <si>
    <t>城市次干道——外馆斜街</t>
    <phoneticPr fontId="20" type="noConversion"/>
  </si>
  <si>
    <t>东北</t>
  </si>
  <si>
    <t>东</t>
  </si>
  <si>
    <t>东</t>
    <phoneticPr fontId="4" type="noConversion"/>
  </si>
  <si>
    <t>次</t>
  </si>
  <si>
    <t>次</t>
    <phoneticPr fontId="20" type="noConversion"/>
  </si>
  <si>
    <r>
      <t>2/16</t>
    </r>
    <r>
      <rPr>
        <sz val="11"/>
        <rFont val="宋体"/>
        <family val="3"/>
        <charset val="134"/>
      </rPr>
      <t>（低楼层）</t>
    </r>
    <phoneticPr fontId="20" type="noConversion"/>
  </si>
  <si>
    <r>
      <rPr>
        <sz val="11"/>
        <rFont val="宋体"/>
        <family val="3"/>
        <charset val="134"/>
      </rPr>
      <t>中楼层</t>
    </r>
    <r>
      <rPr>
        <sz val="11"/>
        <rFont val="Arial"/>
        <family val="2"/>
      </rPr>
      <t>/16</t>
    </r>
    <phoneticPr fontId="20" type="noConversion"/>
  </si>
  <si>
    <r>
      <rPr>
        <sz val="11"/>
        <rFont val="宋体"/>
        <family val="3"/>
        <charset val="134"/>
      </rPr>
      <t>低楼层</t>
    </r>
    <r>
      <rPr>
        <sz val="11"/>
        <rFont val="Arial"/>
        <family val="2"/>
      </rPr>
      <t>/16</t>
    </r>
    <phoneticPr fontId="20" type="noConversion"/>
  </si>
  <si>
    <t>普通装修</t>
  </si>
  <si>
    <r>
      <t>2/16</t>
    </r>
    <r>
      <rPr>
        <sz val="11"/>
        <color indexed="8"/>
        <rFont val="宋体"/>
        <family val="3"/>
        <charset val="134"/>
      </rPr>
      <t>（低楼层）</t>
    </r>
    <phoneticPr fontId="20" type="noConversion"/>
  </si>
  <si>
    <t>中楼层/16</t>
    <phoneticPr fontId="20" type="noConversion"/>
  </si>
  <si>
    <t>低楼层/16</t>
    <phoneticPr fontId="20" type="noConversion"/>
  </si>
  <si>
    <t>估价对象紧邻城市次干道——外馆斜街，临近地铁5号线（和平西桥站）；以估价对象为中心半径2公里范围内有18路、75路、108路、113路、119路等多条公交线路，综合评价交通便捷度好</t>
    <phoneticPr fontId="20" type="noConversion"/>
  </si>
  <si>
    <t>估价对象周边有安贞里小区、和平里小区、胜古家园、小黄庄小区、青年湖东里、裕中东里等居住小区，小区规模和社区发展完善程度较好，综合评价居住社区成熟度好</t>
    <phoneticPr fontId="20" type="noConversion"/>
  </si>
  <si>
    <t>估价对象紧邻城市次干道——外馆斜街，临近地铁5号线（和平西桥站）；以估价对象为中心半径2公里范围内有18路、75路、108路、113路、119路等多条公交线路，综合评价交通便捷度好</t>
    <phoneticPr fontId="20" type="noConversion"/>
  </si>
  <si>
    <t>40-50（含）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</si>
</sst>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151353</xdr:colOff>
      <xdr:row>10</xdr:row>
      <xdr:rowOff>9310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380953" cy="1723810"/>
        </a:xfrm>
        <a:prstGeom prst="rect">
          <a:avLst/>
        </a:prstGeom>
      </xdr:spPr>
    </xdr:pic>
    <xdr:clientData/>
  </xdr:twoCellAnchor>
  <xdr:twoCellAnchor editAs="oneCell">
    <xdr:from>
      <xdr:col>8</xdr:col>
      <xdr:colOff>564862</xdr:colOff>
      <xdr:row>6</xdr:row>
      <xdr:rowOff>47625</xdr:rowOff>
    </xdr:from>
    <xdr:to>
      <xdr:col>19</xdr:col>
      <xdr:colOff>122591</xdr:colOff>
      <xdr:row>29</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6051262" y="1076325"/>
          <a:ext cx="7101529" cy="3971925"/>
        </a:xfrm>
        <a:prstGeom prst="rect">
          <a:avLst/>
        </a:prstGeom>
      </xdr:spPr>
    </xdr:pic>
    <xdr:clientData/>
  </xdr:twoCellAnchor>
  <xdr:twoCellAnchor editAs="oneCell">
    <xdr:from>
      <xdr:col>1</xdr:col>
      <xdr:colOff>0</xdr:colOff>
      <xdr:row>10</xdr:row>
      <xdr:rowOff>0</xdr:rowOff>
    </xdr:from>
    <xdr:to>
      <xdr:col>9</xdr:col>
      <xdr:colOff>86848</xdr:colOff>
      <xdr:row>29</xdr:row>
      <xdr:rowOff>133350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573248" cy="3390900"/>
        </a:xfrm>
        <a:prstGeom prst="rect">
          <a:avLst/>
        </a:prstGeom>
      </xdr:spPr>
    </xdr:pic>
    <xdr:clientData/>
  </xdr:twoCellAnchor>
  <xdr:twoCellAnchor editAs="oneCell">
    <xdr:from>
      <xdr:col>1</xdr:col>
      <xdr:colOff>0</xdr:colOff>
      <xdr:row>31</xdr:row>
      <xdr:rowOff>0</xdr:rowOff>
    </xdr:from>
    <xdr:to>
      <xdr:col>12</xdr:col>
      <xdr:colOff>408581</xdr:colOff>
      <xdr:row>40</xdr:row>
      <xdr:rowOff>75998</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5314950"/>
          <a:ext cx="7952381" cy="1619048"/>
        </a:xfrm>
        <a:prstGeom prst="rect">
          <a:avLst/>
        </a:prstGeom>
      </xdr:spPr>
    </xdr:pic>
    <xdr:clientData/>
  </xdr:twoCellAnchor>
  <xdr:twoCellAnchor editAs="oneCell">
    <xdr:from>
      <xdr:col>9</xdr:col>
      <xdr:colOff>320983</xdr:colOff>
      <xdr:row>37</xdr:row>
      <xdr:rowOff>38101</xdr:rowOff>
    </xdr:from>
    <xdr:to>
      <xdr:col>20</xdr:col>
      <xdr:colOff>46384</xdr:colOff>
      <xdr:row>60</xdr:row>
      <xdr:rowOff>95250</xdr:rowOff>
    </xdr:to>
    <xdr:pic>
      <xdr:nvPicPr>
        <xdr:cNvPr id="6" name="图片 5"/>
        <xdr:cNvPicPr>
          <a:picLocks noChangeAspect="1"/>
        </xdr:cNvPicPr>
      </xdr:nvPicPr>
      <xdr:blipFill>
        <a:blip xmlns:r="http://schemas.openxmlformats.org/officeDocument/2006/relationships" r:embed="rId5"/>
        <a:stretch>
          <a:fillRect/>
        </a:stretch>
      </xdr:blipFill>
      <xdr:spPr>
        <a:xfrm>
          <a:off x="6493183" y="6381751"/>
          <a:ext cx="7269201" cy="4000499"/>
        </a:xfrm>
        <a:prstGeom prst="rect">
          <a:avLst/>
        </a:prstGeom>
      </xdr:spPr>
    </xdr:pic>
    <xdr:clientData/>
  </xdr:twoCellAnchor>
  <xdr:twoCellAnchor editAs="oneCell">
    <xdr:from>
      <xdr:col>0</xdr:col>
      <xdr:colOff>638176</xdr:colOff>
      <xdr:row>40</xdr:row>
      <xdr:rowOff>123825</xdr:rowOff>
    </xdr:from>
    <xdr:to>
      <xdr:col>9</xdr:col>
      <xdr:colOff>352426</xdr:colOff>
      <xdr:row>59</xdr:row>
      <xdr:rowOff>69196</xdr:rowOff>
    </xdr:to>
    <xdr:pic>
      <xdr:nvPicPr>
        <xdr:cNvPr id="7" name="图片 6"/>
        <xdr:cNvPicPr>
          <a:picLocks noChangeAspect="1"/>
        </xdr:cNvPicPr>
      </xdr:nvPicPr>
      <xdr:blipFill>
        <a:blip xmlns:r="http://schemas.openxmlformats.org/officeDocument/2006/relationships" r:embed="rId6"/>
        <a:stretch>
          <a:fillRect/>
        </a:stretch>
      </xdr:blipFill>
      <xdr:spPr>
        <a:xfrm>
          <a:off x="638176" y="6981825"/>
          <a:ext cx="5886450" cy="3202921"/>
        </a:xfrm>
        <a:prstGeom prst="rect">
          <a:avLst/>
        </a:prstGeom>
      </xdr:spPr>
    </xdr:pic>
    <xdr:clientData/>
  </xdr:twoCellAnchor>
  <xdr:twoCellAnchor editAs="oneCell">
    <xdr:from>
      <xdr:col>1</xdr:col>
      <xdr:colOff>0</xdr:colOff>
      <xdr:row>61</xdr:row>
      <xdr:rowOff>0</xdr:rowOff>
    </xdr:from>
    <xdr:to>
      <xdr:col>13</xdr:col>
      <xdr:colOff>456115</xdr:colOff>
      <xdr:row>71</xdr:row>
      <xdr:rowOff>37881</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10458450"/>
          <a:ext cx="8685715" cy="1752381"/>
        </a:xfrm>
        <a:prstGeom prst="rect">
          <a:avLst/>
        </a:prstGeom>
      </xdr:spPr>
    </xdr:pic>
    <xdr:clientData/>
  </xdr:twoCellAnchor>
  <xdr:twoCellAnchor editAs="oneCell">
    <xdr:from>
      <xdr:col>8</xdr:col>
      <xdr:colOff>485775</xdr:colOff>
      <xdr:row>67</xdr:row>
      <xdr:rowOff>28575</xdr:rowOff>
    </xdr:from>
    <xdr:to>
      <xdr:col>21</xdr:col>
      <xdr:colOff>122491</xdr:colOff>
      <xdr:row>92</xdr:row>
      <xdr:rowOff>106116</xdr:rowOff>
    </xdr:to>
    <xdr:pic>
      <xdr:nvPicPr>
        <xdr:cNvPr id="9" name="图片 8"/>
        <xdr:cNvPicPr>
          <a:picLocks noChangeAspect="1"/>
        </xdr:cNvPicPr>
      </xdr:nvPicPr>
      <xdr:blipFill>
        <a:blip xmlns:r="http://schemas.openxmlformats.org/officeDocument/2006/relationships" r:embed="rId8"/>
        <a:stretch>
          <a:fillRect/>
        </a:stretch>
      </xdr:blipFill>
      <xdr:spPr>
        <a:xfrm>
          <a:off x="5972175" y="11515725"/>
          <a:ext cx="8552116" cy="4363791"/>
        </a:xfrm>
        <a:prstGeom prst="rect">
          <a:avLst/>
        </a:prstGeom>
      </xdr:spPr>
    </xdr:pic>
    <xdr:clientData/>
  </xdr:twoCellAnchor>
  <xdr:twoCellAnchor editAs="oneCell">
    <xdr:from>
      <xdr:col>1</xdr:col>
      <xdr:colOff>0</xdr:colOff>
      <xdr:row>72</xdr:row>
      <xdr:rowOff>0</xdr:rowOff>
    </xdr:from>
    <xdr:to>
      <xdr:col>8</xdr:col>
      <xdr:colOff>552450</xdr:colOff>
      <xdr:row>91</xdr:row>
      <xdr:rowOff>4196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12344400"/>
          <a:ext cx="5353050" cy="3261746"/>
        </a:xfrm>
        <a:prstGeom prst="rect">
          <a:avLst/>
        </a:prstGeom>
      </xdr:spPr>
    </xdr:pic>
    <xdr:clientData/>
  </xdr:twoCellAnchor>
  <xdr:twoCellAnchor editAs="oneCell">
    <xdr:from>
      <xdr:col>1</xdr:col>
      <xdr:colOff>0</xdr:colOff>
      <xdr:row>94</xdr:row>
      <xdr:rowOff>0</xdr:rowOff>
    </xdr:from>
    <xdr:to>
      <xdr:col>13</xdr:col>
      <xdr:colOff>208496</xdr:colOff>
      <xdr:row>132</xdr:row>
      <xdr:rowOff>142043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116300"/>
          <a:ext cx="8438096" cy="6657143"/>
        </a:xfrm>
        <a:prstGeom prst="rect">
          <a:avLst/>
        </a:prstGeom>
      </xdr:spPr>
    </xdr:pic>
    <xdr:clientData/>
  </xdr:twoCellAnchor>
  <xdr:twoCellAnchor editAs="oneCell">
    <xdr:from>
      <xdr:col>1</xdr:col>
      <xdr:colOff>0</xdr:colOff>
      <xdr:row>133</xdr:row>
      <xdr:rowOff>0</xdr:rowOff>
    </xdr:from>
    <xdr:to>
      <xdr:col>14</xdr:col>
      <xdr:colOff>46505</xdr:colOff>
      <xdr:row>175</xdr:row>
      <xdr:rowOff>170529</xdr:rowOff>
    </xdr:to>
    <xdr:pic>
      <xdr:nvPicPr>
        <xdr:cNvPr id="12" name="图片 11"/>
        <xdr:cNvPicPr>
          <a:picLocks noChangeAspect="1"/>
        </xdr:cNvPicPr>
      </xdr:nvPicPr>
      <xdr:blipFill>
        <a:blip xmlns:r="http://schemas.openxmlformats.org/officeDocument/2006/relationships" r:embed="rId11"/>
        <a:stretch>
          <a:fillRect/>
        </a:stretch>
      </xdr:blipFill>
      <xdr:spPr>
        <a:xfrm>
          <a:off x="685800" y="22802850"/>
          <a:ext cx="8961905" cy="7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估价对象为房地产，为所有。根据《不动产权证书》[]，估价对象建筑面积为80.27平方米，（分摊）出让国有建设用地使用权面积为平方米。估价对象用途为。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2018年1月5日（评估专业人员实地查勘之日）</v>
      </c>
    </row>
    <row r="10" spans="1:2">
      <c r="A10" s="1708" t="s">
        <v>1120</v>
      </c>
      <c r="B10" s="1695" t="str">
        <f>'预评函-1'!A13</f>
        <v>本次估价的“房地产价值”是指在正常市场情况下，在价值时点2018年1月5日，估价对象规划用途为，假定未设立法定优先受偿款下的房地产市场价值。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80.27</v>
      </c>
    </row>
    <row r="19" spans="1:2">
      <c r="A19" s="1708" t="s">
        <v>1129</v>
      </c>
      <c r="B19" s="1695">
        <f ca="1">'预评函-2（1）'!D7</f>
        <v>5150043</v>
      </c>
    </row>
    <row r="20" spans="1:2">
      <c r="A20" s="1708" t="s">
        <v>1167</v>
      </c>
      <c r="B20" s="1695" t="str">
        <f>'预评函-2（1）'!C7</f>
        <v>总价（元）</v>
      </c>
    </row>
    <row r="21" spans="1:2">
      <c r="A21" s="1708" t="s">
        <v>1130</v>
      </c>
      <c r="B21" s="1695">
        <f ca="1">'预评函-2（1）'!D9</f>
        <v>64159</v>
      </c>
    </row>
    <row r="22" spans="1:2">
      <c r="A22" s="1708" t="s">
        <v>1131</v>
      </c>
      <c r="B22" s="1695" t="str">
        <f ca="1">'预评函-2（1）'!D8</f>
        <v>伍佰壹拾伍万零肆拾叁元整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5150043</v>
      </c>
    </row>
    <row r="30" spans="1:2">
      <c r="A30" s="1708" t="s">
        <v>1137</v>
      </c>
      <c r="B30" s="1695" t="str">
        <f ca="1">'预评函-2（1）'!D16</f>
        <v>伍佰壹拾伍万零肆拾叁元整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4877125</v>
      </c>
    </row>
    <row r="38" spans="1:2">
      <c r="A38" s="1708" t="s">
        <v>1145</v>
      </c>
      <c r="B38" s="1695">
        <f ca="1">'预评函-2（2）'!E4</f>
        <v>60759</v>
      </c>
    </row>
    <row r="39" spans="1:2">
      <c r="A39" s="1708" t="s">
        <v>1146</v>
      </c>
      <c r="B39" s="1695" t="str">
        <f ca="1">'预评函-2（2）'!D5</f>
        <v>肆佰捌拾柒万柒仟壹佰贰拾伍元整</v>
      </c>
    </row>
    <row r="40" spans="1:2">
      <c r="A40" s="1708" t="s">
        <v>1147</v>
      </c>
      <c r="B40" s="1695">
        <f ca="1">'预评函-2（2）'!F4</f>
        <v>272918</v>
      </c>
    </row>
    <row r="41" spans="1:2">
      <c r="A41" s="1708" t="s">
        <v>1148</v>
      </c>
      <c r="B41" s="1695">
        <f ca="1">'预评函-2（2）'!G4</f>
        <v>3400</v>
      </c>
    </row>
    <row r="42" spans="1:2" s="1705" customFormat="1" ht="15.75" thickBot="1">
      <c r="A42" s="1709" t="s">
        <v>1149</v>
      </c>
      <c r="B42" s="1697" t="str">
        <f ca="1">'预评函-2（2）'!F5</f>
        <v>贰拾柒万贰仟玖佰壹拾捌元整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64159</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54" sqref="C5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43105</v>
      </c>
      <c r="C2" s="2005" t="s">
        <v>1550</v>
      </c>
      <c r="D2" s="1089">
        <v>43105</v>
      </c>
      <c r="E2" s="1065"/>
      <c r="F2" s="1065"/>
      <c r="G2" s="1689"/>
      <c r="H2" s="1021"/>
    </row>
    <row r="3" spans="1:10" ht="13.5" thickBot="1">
      <c r="A3" s="2006" t="s">
        <v>1551</v>
      </c>
      <c r="B3" s="2007" t="s">
        <v>2816</v>
      </c>
      <c r="C3" s="1066">
        <f ca="1">SUMIF(注册房地产估价师,B3,估价师及机构信息!B3:B24)</f>
        <v>1119970111</v>
      </c>
      <c r="D3" s="2007" t="s">
        <v>2901</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2821</v>
      </c>
      <c r="D9" s="2029"/>
      <c r="E9" s="1011" t="s">
        <v>1565</v>
      </c>
      <c r="F9" s="997"/>
      <c r="G9" s="1013"/>
    </row>
    <row r="10" spans="1:10" ht="13.5" thickBot="1">
      <c r="A10" s="2813"/>
      <c r="B10" s="345" t="s">
        <v>1566</v>
      </c>
      <c r="C10" s="2828"/>
      <c r="D10" s="2829"/>
      <c r="E10" s="2030" t="s">
        <v>1567</v>
      </c>
      <c r="F10" s="1014"/>
      <c r="G10" s="1015"/>
    </row>
    <row r="11" spans="1:10" ht="13.5" thickBot="1">
      <c r="A11" s="2813"/>
      <c r="B11" s="2031" t="s">
        <v>1568</v>
      </c>
      <c r="C11" s="2830"/>
      <c r="D11" s="2831"/>
      <c r="E11" s="1023"/>
      <c r="F11" s="1022"/>
      <c r="G11" s="1075"/>
    </row>
    <row r="12" spans="1:10" ht="24.75" thickBot="1">
      <c r="A12" s="2817" t="s">
        <v>1569</v>
      </c>
      <c r="B12" s="2032" t="s">
        <v>1570</v>
      </c>
      <c r="C12" s="1017">
        <v>80.27</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43105</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80.27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42.5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0.86699999999999999</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0.04</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200675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0.62</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2907</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0.49</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1992</v>
      </c>
      <c r="C26" s="1861"/>
      <c r="D26" s="2100" t="s">
        <v>1692</v>
      </c>
      <c r="E26" s="40">
        <v>0.01</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0.05</v>
      </c>
      <c r="C31" s="1239"/>
      <c r="D31" s="2118" t="s">
        <v>1701</v>
      </c>
      <c r="E31" s="42">
        <f>E30*(E32+E33+E34)+E35</f>
        <v>6.000000000000001E-3</v>
      </c>
      <c r="F31" s="1855"/>
      <c r="G31" s="2083"/>
      <c r="H31" s="2757" t="s">
        <v>2883</v>
      </c>
      <c r="I31" s="2758">
        <f>1-I25</f>
        <v>0.5</v>
      </c>
      <c r="J31" s="2755" t="s">
        <v>2882</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-26</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5.0000000000000001E-3</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5.0000000000000001E-4</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5.0000000000000001E-3</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2902</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估价对象周边有安贞里小区、和平里小区、胜古家园、小黄庄小区、青年湖东里、裕中东里等居住小区，小区规模和社区发展完善程度较好，综合评价居住社区成熟度好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估价对象紧邻城市次干道——外馆斜街，临近地铁5号线（和平西桥站）；以估价对象为中心半径2公里范围内有18路、75路、108路、113路、119路等多条公交线路，综合评价交通便捷度好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自然环境：柳荫公园、青年湖公园、地坛公园等；人文环境：北京化工大学等，综合评价环境状况较好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城市次干道——外馆斜街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4" zoomScaleNormal="100" zoomScaleSheetLayoutView="100" zoomScalePageLayoutView="80" workbookViewId="0">
      <selection activeCell="E29" sqref="E29"/>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2864</v>
      </c>
      <c r="D4" s="2205" t="s">
        <v>2865</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5511178</v>
      </c>
      <c r="D19" s="60">
        <f ca="1">SUMIF(INDIRECT("'"&amp;D4&amp;"'"&amp;"!A:A"),结果表!B19,INDIRECT("'"&amp;D4&amp;"'"&amp;"!B:B"))</f>
        <v>3705554</v>
      </c>
      <c r="E19" s="2212" t="s">
        <v>1797</v>
      </c>
      <c r="F19" s="2213" t="s">
        <v>1796</v>
      </c>
      <c r="G19" s="61">
        <f ca="1">ROUND(C19*$C$18+D19*$D$18,0)</f>
        <v>5150053</v>
      </c>
      <c r="H19" s="2214" t="str">
        <f>'数据-取费表'!B3</f>
        <v>元</v>
      </c>
      <c r="I19" s="2201"/>
    </row>
    <row r="20" spans="1:35" ht="15">
      <c r="A20" s="2215"/>
      <c r="B20" s="2216" t="s">
        <v>1798</v>
      </c>
      <c r="C20" s="62">
        <f ca="1">SUMIF(INDIRECT("'"&amp;C4&amp;"'"&amp;"!A:A"),结果表!B20,INDIRECT("'"&amp;C4&amp;"'"&amp;"!B:B"))</f>
        <v>68658</v>
      </c>
      <c r="D20" s="63">
        <f ca="1">SUMIF(INDIRECT("'"&amp;D4&amp;"'"&amp;"!A:A"),结果表!B20,INDIRECT("'"&amp;D4&amp;"'"&amp;"!B:B"))</f>
        <v>46164</v>
      </c>
      <c r="E20" s="2215"/>
      <c r="F20" s="2216" t="s">
        <v>1798</v>
      </c>
      <c r="G20" s="64">
        <f ca="1">ROUND(C20*$C$18+D20*$D$18,0)</f>
        <v>64159</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0.4872750471319538</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64159</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60759</v>
      </c>
      <c r="D34" s="1092">
        <f ca="1">IF(D33="自定义",ROUND(C34/C32,3),1-D35)</f>
        <v>0.94699999999999995</v>
      </c>
      <c r="E34" s="2239" t="s">
        <v>1811</v>
      </c>
      <c r="F34" s="1834">
        <v>2000</v>
      </c>
      <c r="G34" s="2201"/>
      <c r="H34" s="2201"/>
      <c r="I34" s="2201"/>
    </row>
    <row r="35" spans="1:16" ht="15.75" hidden="1" thickBot="1">
      <c r="A35" s="2240"/>
      <c r="B35" s="2241" t="s">
        <v>1812</v>
      </c>
      <c r="C35" s="74">
        <f ca="1">IF(D33="自定义",F35,ROUND(C32*D35,0))</f>
        <v>3400</v>
      </c>
      <c r="D35" s="1091">
        <f ca="1">IF(D33="自定义",ROUND(C35/C32,3),IF(D33="成本法成本比率",成本法!C56,IF(D33="收益法收益比率",收益法!J38,收益法!J41)))</f>
        <v>5.2999999999999999E-2</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5150043</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43105</v>
      </c>
      <c r="N47" s="2867"/>
      <c r="O47" s="2867"/>
      <c r="P47" s="1851"/>
    </row>
    <row r="48" spans="1:16" ht="25.5" hidden="1">
      <c r="A48" s="2951" t="s">
        <v>1837</v>
      </c>
      <c r="B48" s="2952"/>
      <c r="C48" s="2952"/>
      <c r="D48" s="56">
        <f ca="1">IF(H48="情况1",0,IF(H48="情况2",D52,IF(H48="情况3",D53,IF(H48="情况4",D54))))</f>
        <v>274669</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5150043</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274669</v>
      </c>
      <c r="E52" s="10" t="s">
        <v>1854</v>
      </c>
      <c r="F52" s="101">
        <f>'数据-取费表'!E29</f>
        <v>5.6000000000000001E-2</v>
      </c>
      <c r="G52" s="2268"/>
      <c r="H52" s="2201"/>
      <c r="I52" s="2266"/>
      <c r="J52" s="1889">
        <v>1</v>
      </c>
      <c r="K52" s="2855" t="s">
        <v>1855</v>
      </c>
      <c r="L52" s="2855"/>
      <c r="M52" s="779">
        <f ca="1">D48</f>
        <v>274669</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274669</v>
      </c>
      <c r="E53" s="10" t="s">
        <v>1854</v>
      </c>
      <c r="F53" s="101">
        <f>'数据-取费表'!E29</f>
        <v>5.6000000000000001E-2</v>
      </c>
      <c r="G53" s="2268"/>
      <c r="H53" s="2201"/>
      <c r="I53" s="2266"/>
      <c r="J53" s="1889">
        <v>2</v>
      </c>
      <c r="K53" s="2855" t="s">
        <v>1858</v>
      </c>
      <c r="L53" s="2855"/>
      <c r="M53" s="779">
        <f t="shared" ref="M53:O54" ca="1" si="1">D55</f>
        <v>2575</v>
      </c>
      <c r="N53" s="1889" t="str">
        <f t="shared" si="1"/>
        <v>销售额×税（费）率</v>
      </c>
      <c r="O53" s="780">
        <f t="shared" si="1"/>
        <v>5.0000000000000001E-4</v>
      </c>
      <c r="P53" s="1851"/>
    </row>
    <row r="54" spans="1:16" ht="12" hidden="1" customHeight="1">
      <c r="A54" s="100" t="s">
        <v>1859</v>
      </c>
      <c r="B54" s="2931" t="s">
        <v>1860</v>
      </c>
      <c r="C54" s="2823"/>
      <c r="D54" s="99">
        <f ca="1">C68</f>
        <v>274669</v>
      </c>
      <c r="E54" s="20" t="s">
        <v>1861</v>
      </c>
      <c r="F54" s="101">
        <f>'数据-取费表'!E29</f>
        <v>5.6000000000000001E-2</v>
      </c>
      <c r="G54" s="2268"/>
      <c r="H54" s="2269"/>
      <c r="I54" s="2266"/>
      <c r="J54" s="1889">
        <v>3</v>
      </c>
      <c r="K54" s="2855" t="s">
        <v>1862</v>
      </c>
      <c r="L54" s="2855"/>
      <c r="M54" s="779">
        <f t="shared" ca="1" si="1"/>
        <v>2914924</v>
      </c>
      <c r="N54" s="1889" t="str">
        <f t="shared" si="1"/>
        <v>增值额×税（费）率</v>
      </c>
      <c r="O54" s="781" t="str">
        <f t="shared" si="1"/>
        <v>——</v>
      </c>
      <c r="P54" s="1851"/>
    </row>
    <row r="55" spans="1:16" ht="24" hidden="1" customHeight="1">
      <c r="A55" s="2815" t="s">
        <v>1863</v>
      </c>
      <c r="B55" s="2952"/>
      <c r="C55" s="2952"/>
      <c r="D55" s="102">
        <f ca="1">IF(H55="个人住宅",0,ROUND(D45*I55,0))</f>
        <v>2575</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51500</v>
      </c>
      <c r="N55" s="1892" t="str">
        <f>E59</f>
        <v>销售额×税（费）率</v>
      </c>
      <c r="O55" s="783">
        <f>F59</f>
        <v>0.01</v>
      </c>
      <c r="P55" s="1851"/>
    </row>
    <row r="56" spans="1:16" ht="24.75" hidden="1">
      <c r="A56" s="2815" t="s">
        <v>1866</v>
      </c>
      <c r="B56" s="2952"/>
      <c r="C56" s="2952"/>
      <c r="D56" s="102">
        <f ca="1">IF(H56="个人住宅",D57,D58)</f>
        <v>2914924</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3243668</v>
      </c>
      <c r="O57" s="2273"/>
      <c r="P57" s="1847" t="e">
        <f ca="1">N57/M49</f>
        <v>#VALUE!</v>
      </c>
    </row>
    <row r="58" spans="1:16" ht="24.75" hidden="1">
      <c r="A58" s="100" t="s">
        <v>1852</v>
      </c>
      <c r="B58" s="2940" t="s">
        <v>1872</v>
      </c>
      <c r="C58" s="2941"/>
      <c r="D58" s="102">
        <f ca="1">IF(H58="转让取得",C81,C97)</f>
        <v>2914924</v>
      </c>
      <c r="E58" s="10" t="s">
        <v>1867</v>
      </c>
      <c r="F58" s="14" t="s">
        <v>48</v>
      </c>
      <c r="G58" s="2268"/>
      <c r="H58" s="2271" t="s">
        <v>1873</v>
      </c>
      <c r="I58" s="1023"/>
      <c r="J58" s="2855"/>
      <c r="K58" s="2855"/>
      <c r="L58" s="2272" t="s">
        <v>1874</v>
      </c>
      <c r="M58" s="786"/>
      <c r="N58" s="2274" t="str">
        <f ca="1">IF(H19="元",NUMBERSTRING(INT(N57),2)&amp;"元整",NUMBERSTRING(INT(N57*10000),2)&amp;"元整")</f>
        <v>叁佰贰拾肆万叁仟陆佰陆拾捌元整</v>
      </c>
      <c r="O58" s="2275"/>
      <c r="P58" s="1851"/>
    </row>
    <row r="59" spans="1:16" ht="26.25" hidden="1" thickBot="1">
      <c r="A59" s="2816" t="s">
        <v>1875</v>
      </c>
      <c r="B59" s="2819"/>
      <c r="C59" s="2819"/>
      <c r="D59" s="105">
        <f ca="1">IF(H59="非个人房产","——",IF(H59="个人住宅",0,ROUND(D45*I59,0)))</f>
        <v>51500</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4904803</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5150043</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4904803</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274669</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4904803</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29429</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29429</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4875374</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165.66563593734071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2914924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4904803</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29429</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29429</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4875374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165.66563593734071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2914924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5511178</v>
      </c>
      <c r="D101" s="722">
        <f ca="1">D19</f>
        <v>3705554</v>
      </c>
      <c r="E101" s="2201"/>
      <c r="F101" s="2899" t="str">
        <f>项目基本情况!I1</f>
        <v>房地产</v>
      </c>
      <c r="G101" s="2901"/>
      <c r="H101" s="2960">
        <f>项目基本情况!C12</f>
        <v>80.27</v>
      </c>
      <c r="I101" s="2900"/>
    </row>
    <row r="102" spans="1:35" ht="15.75" hidden="1">
      <c r="A102" s="2919"/>
      <c r="B102" s="2296" t="s">
        <v>1940</v>
      </c>
      <c r="C102" s="723">
        <f ca="1">C20</f>
        <v>68658</v>
      </c>
      <c r="D102" s="724">
        <f ca="1">D20</f>
        <v>46164</v>
      </c>
      <c r="E102" s="2201"/>
      <c r="F102" s="2974" t="s">
        <v>1941</v>
      </c>
      <c r="G102" s="2975"/>
      <c r="H102" s="2297" t="str">
        <f>C106</f>
        <v>总价（元）</v>
      </c>
      <c r="I102" s="1868">
        <f ca="1">H121</f>
        <v>5150043</v>
      </c>
    </row>
    <row r="103" spans="1:35" ht="15" hidden="1">
      <c r="A103" s="2919" t="s">
        <v>1942</v>
      </c>
      <c r="B103" s="2298" t="str">
        <f>B101</f>
        <v>总价（元）</v>
      </c>
      <c r="C103" s="725">
        <f ca="1">H121</f>
        <v>5150043</v>
      </c>
      <c r="D103" s="726"/>
      <c r="E103" s="2201"/>
      <c r="F103" s="2974"/>
      <c r="G103" s="2975"/>
      <c r="H103" s="2297" t="s">
        <v>1940</v>
      </c>
      <c r="I103" s="1051">
        <f ca="1">I121</f>
        <v>64159</v>
      </c>
    </row>
    <row r="104" spans="1:35" ht="16.5" hidden="1" thickBot="1">
      <c r="A104" s="2920"/>
      <c r="B104" s="2299" t="s">
        <v>1940</v>
      </c>
      <c r="C104" s="727">
        <f ca="1">I121</f>
        <v>64159</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5150043</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64159</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5150043</v>
      </c>
    </row>
    <row r="111" spans="1:35" ht="15" hidden="1">
      <c r="A111" s="2888" t="s">
        <v>1949</v>
      </c>
      <c r="B111" s="2889"/>
      <c r="C111" s="2300" t="str">
        <f>C108</f>
        <v>总额（元）</v>
      </c>
      <c r="D111" s="638">
        <f>C38</f>
        <v>0</v>
      </c>
      <c r="E111" s="2201"/>
      <c r="F111" s="2870"/>
      <c r="G111" s="2871"/>
      <c r="H111" s="2297" t="s">
        <v>1940</v>
      </c>
      <c r="I111" s="2303">
        <f ca="1">D113</f>
        <v>64159</v>
      </c>
    </row>
    <row r="112" spans="1:35" ht="26.25" hidden="1" customHeight="1">
      <c r="A112" s="2927" t="str">
        <f>IF(项目基本情况!F5="已注销","——","3.房地产抵押价值")</f>
        <v>3.房地产抵押价值</v>
      </c>
      <c r="B112" s="2928"/>
      <c r="C112" s="2297" t="str">
        <f>B101</f>
        <v>总价（元）</v>
      </c>
      <c r="D112" s="1052">
        <f ca="1">IF(A112="——","——",D106-D108)</f>
        <v>5150043</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64159</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80.27</v>
      </c>
      <c r="C121" s="1893">
        <f>项目基本情况!C13</f>
        <v>0</v>
      </c>
      <c r="D121" s="1893">
        <f ca="1">ROUND(IF(B32="总价",C34,IF('数据-取费表'!B3="万元",E121*B121/10000,E121*B121)),0)</f>
        <v>4877125</v>
      </c>
      <c r="E121" s="1893">
        <f ca="1">ROUND(IF(B32="楼面单价",C34,IF(H19="元",D121/B121,D121*10000/B121)),0)</f>
        <v>60759</v>
      </c>
      <c r="F121" s="1893">
        <f ca="1">ROUND(IF(B32="总价",C35,IF('数据-取费表'!B3="万元",G121*B121/10000,G121*B121)),0)</f>
        <v>272918</v>
      </c>
      <c r="G121" s="1893">
        <f ca="1">ROUND(IF(B32="楼面单价",C35,IF(H19="元",F121/B121,F121*10000/B121)),0)</f>
        <v>3400</v>
      </c>
      <c r="H121" s="1893">
        <f ca="1">ROUND(IF(B32="总价",C32,IF('数据-取费表'!B3="万元",I121*B121/10000,I121*B121)),0)</f>
        <v>5150043</v>
      </c>
      <c r="I121" s="638">
        <f ca="1">ROUND(IF(B32="楼面单价",C32,IF(H19="元",H121/B121,H121*10000/B121)),0)</f>
        <v>64159</v>
      </c>
    </row>
    <row r="122" spans="1:15" ht="14.25" hidden="1">
      <c r="A122" s="2879" t="s">
        <v>1959</v>
      </c>
      <c r="B122" s="2875"/>
      <c r="C122" s="2875"/>
      <c r="D122" s="2911" t="str">
        <f ca="1">IF(H19="元",NUMBERSTRING(INT(D121),2)&amp;"元整",NUMBERSTRING(INT(D121*10000),2)&amp;"元整")</f>
        <v>肆佰捌拾柒万柒仟壹佰贰拾伍元整</v>
      </c>
      <c r="E122" s="2912"/>
      <c r="F122" s="2911" t="str">
        <f ca="1">IF(H19="元",NUMBERSTRING(INT(F121),2)&amp;"元整",NUMBERSTRING(INT(F121*10000),2)&amp;"元整")</f>
        <v>贰拾柒万贰仟玖佰壹拾捌元整</v>
      </c>
      <c r="G122" s="2912"/>
      <c r="H122" s="2911" t="str">
        <f ca="1">IF(H19="元",NUMBERSTRING(INT(H121),2)&amp;"元整",NUMBERSTRING(INT(H121*10000),2)&amp;"元整")</f>
        <v>伍佰壹拾伍万零肆拾叁元整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5150043</v>
      </c>
      <c r="E125" s="2914"/>
      <c r="F125" s="2914"/>
      <c r="G125" s="2914"/>
      <c r="H125" s="2914"/>
      <c r="I125" s="2963"/>
    </row>
    <row r="126" spans="1:15" ht="14.25" hidden="1">
      <c r="A126" s="2879" t="s">
        <v>1959</v>
      </c>
      <c r="B126" s="2875"/>
      <c r="C126" s="2875"/>
      <c r="D126" s="2964">
        <f ca="1">I111</f>
        <v>64159</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57743</v>
      </c>
      <c r="F134" s="2309">
        <f ca="1">G20</f>
        <v>64159</v>
      </c>
      <c r="G134" s="2309"/>
      <c r="H134" s="2310"/>
      <c r="I134" s="2311"/>
    </row>
    <row r="135" spans="1:9" ht="21.75" hidden="1" customHeight="1">
      <c r="A135" s="2312">
        <v>2</v>
      </c>
      <c r="B135" s="2313"/>
      <c r="C135" s="2313"/>
      <c r="D135" s="2309"/>
      <c r="E135" s="2309">
        <f>'数据-取费表'!B5-结果表!F135</f>
        <v>77.36</v>
      </c>
      <c r="F135" s="2309">
        <v>2.91</v>
      </c>
      <c r="G135" s="2739" t="s">
        <v>2874</v>
      </c>
      <c r="H135" s="2740" t="s">
        <v>2875</v>
      </c>
      <c r="I135" s="2311"/>
    </row>
    <row r="136" spans="1:9" ht="21.75" hidden="1" customHeight="1">
      <c r="A136" s="2312">
        <v>3</v>
      </c>
      <c r="B136" s="2313"/>
      <c r="C136" s="2313"/>
      <c r="D136" s="2309"/>
      <c r="E136" s="2309">
        <f ca="1">ROUND(E134*E135,0)</f>
        <v>4466998</v>
      </c>
      <c r="F136" s="2309">
        <f ca="1">ROUND(F134*F135,0)</f>
        <v>186703</v>
      </c>
      <c r="G136" s="2741">
        <f ca="1">E136+F136</f>
        <v>4653701</v>
      </c>
      <c r="H136" s="2741">
        <f ca="1">ROUND(G136/项目基本情况!C12,0)</f>
        <v>57976</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43105</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1611937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20081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6422</v>
      </c>
      <c r="D9" s="1540">
        <f>IF('数据-取费表'!B10="住宅",IF(B1="仅计算典型户型",'数据-取费表'!E5,'数据-取费表'!B5),0)</f>
        <v>80.27</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80.27</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74653</v>
      </c>
      <c r="D22" s="186">
        <f ca="1">C26</f>
        <v>4.0000000000000002E-4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365</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208161</v>
      </c>
      <c r="D27" s="186">
        <f>C29</f>
        <v>2E-3</v>
      </c>
      <c r="E27" s="187" t="s">
        <v>2041</v>
      </c>
      <c r="F27" s="197">
        <f>'数据-取费表'!E28</f>
        <v>0.2</v>
      </c>
      <c r="G27" s="198" t="s">
        <v>2056</v>
      </c>
    </row>
    <row r="28" spans="1:7" s="176" customFormat="1" ht="13.5" customHeight="1">
      <c r="A28" s="177" t="s">
        <v>2045</v>
      </c>
      <c r="B28" s="199" t="s">
        <v>2057</v>
      </c>
      <c r="C28" s="200">
        <f>ROUND((C5+C19+C20)*F27*'数据-取费表'!B22/'数据-取费表'!B21,0)</f>
        <v>208161</v>
      </c>
      <c r="D28" s="186"/>
      <c r="E28" s="187"/>
      <c r="F28" s="197"/>
      <c r="G28" s="198"/>
    </row>
    <row r="29" spans="1:7" s="176" customFormat="1" ht="13.5" customHeight="1">
      <c r="A29" s="177" t="s">
        <v>2019</v>
      </c>
      <c r="B29" s="199" t="s">
        <v>2058</v>
      </c>
      <c r="C29" s="189">
        <f>ROUND(C21*F27*'数据-取费表'!B22/'数据-取费表'!B21,4)</f>
        <v>2E-3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235793</v>
      </c>
      <c r="D33" s="184"/>
      <c r="E33" s="1534"/>
      <c r="F33" s="192"/>
      <c r="G33" s="185"/>
    </row>
    <row r="34" spans="1:7" s="207" customFormat="1" ht="13.5" customHeight="1">
      <c r="A34" s="177" t="s">
        <v>2045</v>
      </c>
      <c r="B34" s="178" t="s">
        <v>2067</v>
      </c>
      <c r="C34" s="200">
        <f>IF(B1="仅计算典型户型",'数据-取费表'!F18,'数据-取费表'!E18)</f>
        <v>200675</v>
      </c>
      <c r="D34" s="1535"/>
      <c r="E34" s="200"/>
      <c r="F34" s="1546" t="str">
        <f>IF('数据-取费表'!B25=0,"",'数据-取费表'!E20)</f>
        <v/>
      </c>
      <c r="G34" s="180"/>
    </row>
    <row r="35" spans="1:7" ht="13.5" customHeight="1">
      <c r="A35" s="177" t="s">
        <v>2019</v>
      </c>
      <c r="B35" s="178" t="s">
        <v>2068</v>
      </c>
      <c r="C35" s="200">
        <f>ROUND(C34*F35,0)</f>
        <v>6020</v>
      </c>
      <c r="D35" s="200"/>
      <c r="E35" s="200"/>
      <c r="F35" s="1547">
        <f>'数据-取费表'!E21</f>
        <v>0.03</v>
      </c>
      <c r="G35" s="180" t="s">
        <v>2069</v>
      </c>
    </row>
    <row r="36" spans="1:7" ht="24">
      <c r="A36" s="177" t="s">
        <v>2021</v>
      </c>
      <c r="B36" s="178" t="s">
        <v>2070</v>
      </c>
      <c r="C36" s="200">
        <f>ROUND(IF('数据-取费表'!B10="住宅",C34*F36,0),0)</f>
        <v>10034</v>
      </c>
      <c r="D36" s="200"/>
      <c r="E36" s="200"/>
      <c r="F36" s="1547">
        <f>'数据-取费表'!E22</f>
        <v>0.05</v>
      </c>
      <c r="G36" s="208" t="s">
        <v>2071</v>
      </c>
    </row>
    <row r="37" spans="1:7" s="207" customFormat="1" ht="13.5" customHeight="1">
      <c r="A37" s="177" t="s">
        <v>2052</v>
      </c>
      <c r="B37" s="178" t="s">
        <v>2072</v>
      </c>
      <c r="C37" s="200">
        <f>ROUND(E37*D37,0)</f>
        <v>16054</v>
      </c>
      <c r="D37" s="1535">
        <f>IF(B1="仅计算典型户型",'数据-取费表'!E5,'数据-取费表'!B5)</f>
        <v>80.27</v>
      </c>
      <c r="E37" s="200">
        <f>'数据-取费表'!E23</f>
        <v>200</v>
      </c>
      <c r="F37" s="1547"/>
      <c r="G37" s="209" t="s">
        <v>2073</v>
      </c>
    </row>
    <row r="38" spans="1:7" ht="13.5" customHeight="1">
      <c r="A38" s="177" t="s">
        <v>2074</v>
      </c>
      <c r="B38" s="178" t="s">
        <v>2075</v>
      </c>
      <c r="C38" s="200">
        <f>ROUND(C34*F38,0)</f>
        <v>3010</v>
      </c>
      <c r="D38" s="200"/>
      <c r="E38" s="200"/>
      <c r="F38" s="1547">
        <f>'数据-取费表'!E24</f>
        <v>1.4999999999999999E-2</v>
      </c>
      <c r="G38" s="180" t="s">
        <v>2069</v>
      </c>
    </row>
    <row r="39" spans="1:7" s="176" customFormat="1" ht="13.5" customHeight="1">
      <c r="A39" s="205" t="s">
        <v>2034</v>
      </c>
      <c r="B39" s="174" t="s">
        <v>2037</v>
      </c>
      <c r="C39" s="184">
        <f>ROUND(C33*F20,0)</f>
        <v>2358</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8435</v>
      </c>
      <c r="D41" s="186">
        <f ca="1">C44</f>
        <v>4.0000000000000002E-4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8351</v>
      </c>
      <c r="D42" s="189"/>
      <c r="E42" s="189"/>
      <c r="F42" s="190"/>
      <c r="G42" s="2992" t="s">
        <v>2079</v>
      </c>
    </row>
    <row r="43" spans="1:7" ht="13.5" customHeight="1">
      <c r="A43" s="177" t="s">
        <v>2019</v>
      </c>
      <c r="B43" s="178" t="s">
        <v>2048</v>
      </c>
      <c r="C43" s="189">
        <f ca="1">ROUND(IF('数据-取费表'!B23&lt;=1,C39*F22*'数据-取费表'!B22/2,C39*(POWER((1+F22),'数据-取费表'!B22/2)-1)),0)</f>
        <v>84</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47630</v>
      </c>
      <c r="D45" s="186">
        <f>C47</f>
        <v>2E-3</v>
      </c>
      <c r="E45" s="187" t="s">
        <v>2077</v>
      </c>
      <c r="F45" s="197"/>
      <c r="G45" s="198" t="s">
        <v>2080</v>
      </c>
    </row>
    <row r="46" spans="1:7" s="176" customFormat="1" ht="13.5" customHeight="1">
      <c r="A46" s="177" t="s">
        <v>2045</v>
      </c>
      <c r="B46" s="199" t="s">
        <v>2081</v>
      </c>
      <c r="C46" s="200">
        <f>ROUND((C33+C39)*F27,0)</f>
        <v>47630</v>
      </c>
      <c r="D46" s="210"/>
      <c r="E46" s="187"/>
      <c r="F46" s="197"/>
      <c r="G46" s="198"/>
    </row>
    <row r="47" spans="1:7" s="176" customFormat="1" ht="13.5" customHeight="1">
      <c r="A47" s="177" t="s">
        <v>2019</v>
      </c>
      <c r="B47" s="199" t="s">
        <v>2082</v>
      </c>
      <c r="C47" s="189">
        <f>ROUND(C40*F27,4)</f>
        <v>2E-3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314905</v>
      </c>
      <c r="D49" s="184"/>
      <c r="E49" s="184"/>
      <c r="F49" s="211"/>
      <c r="G49" s="185" t="s">
        <v>2087</v>
      </c>
    </row>
    <row r="50" spans="1:7" s="207" customFormat="1" ht="24">
      <c r="A50" s="1307" t="s">
        <v>2088</v>
      </c>
      <c r="B50" s="174" t="s">
        <v>2089</v>
      </c>
      <c r="C50" s="184"/>
      <c r="D50" s="184"/>
      <c r="E50" s="184"/>
      <c r="F50" s="211">
        <f>IF('数据-取费表'!B25=0,'数据-取费表'!E20,1)</f>
        <v>0.62</v>
      </c>
      <c r="G50" s="198" t="s">
        <v>2090</v>
      </c>
    </row>
    <row r="51" spans="1:7" ht="16.5" customHeight="1">
      <c r="A51" s="1307" t="s">
        <v>2091</v>
      </c>
      <c r="B51" s="174" t="s">
        <v>2092</v>
      </c>
      <c r="C51" s="184">
        <f ca="1">ROUND(C49*F50,0)</f>
        <v>195241</v>
      </c>
      <c r="D51" s="184"/>
      <c r="E51" s="184"/>
      <c r="F51" s="211"/>
      <c r="G51" s="185" t="s">
        <v>2093</v>
      </c>
    </row>
    <row r="52" spans="1:7" s="173" customFormat="1" ht="16.5" thickBot="1">
      <c r="A52" s="212" t="s">
        <v>2094</v>
      </c>
      <c r="B52" s="213"/>
      <c r="C52" s="214">
        <f ca="1">C31+C51</f>
        <v>1611937</v>
      </c>
      <c r="D52" s="213"/>
      <c r="E52" s="213"/>
      <c r="F52" s="213"/>
      <c r="G52" s="215"/>
    </row>
    <row r="55" spans="1:7" ht="15">
      <c r="B55" s="217" t="s">
        <v>2095</v>
      </c>
      <c r="C55" s="218"/>
    </row>
    <row r="56" spans="1:7">
      <c r="B56" s="220" t="s">
        <v>2096</v>
      </c>
      <c r="C56" s="221">
        <f ca="1">ROUND(C51/C52,3)</f>
        <v>0.121</v>
      </c>
    </row>
    <row r="57" spans="1:7">
      <c r="B57" s="220" t="s">
        <v>2097</v>
      </c>
      <c r="C57" s="222">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0.38</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A37" zoomScale="90" zoomScaleNormal="90" zoomScaleSheetLayoutView="100" workbookViewId="0">
      <selection activeCell="D30" sqref="D30"/>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3705554</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46164</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195241</v>
      </c>
      <c r="D13" s="1424" t="s">
        <v>2125</v>
      </c>
      <c r="E13" s="1424" t="s">
        <v>2126</v>
      </c>
      <c r="F13" s="1425">
        <f>'数据-取费表'!E20</f>
        <v>0.62</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200675</v>
      </c>
      <c r="D14" s="1894" t="s">
        <v>2129</v>
      </c>
      <c r="E14" s="1895"/>
      <c r="F14" s="980"/>
      <c r="G14" s="1241"/>
      <c r="H14" s="338" t="s">
        <v>2108</v>
      </c>
      <c r="I14" s="320" t="s">
        <v>2130</v>
      </c>
      <c r="J14" s="14">
        <f ca="1">C29</f>
        <v>314905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6020</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10034</v>
      </c>
      <c r="D16" s="320" t="s">
        <v>2133</v>
      </c>
      <c r="E16" s="320" t="s">
        <v>2134</v>
      </c>
      <c r="F16" s="343">
        <f>IF('数据-取费表'!B10="住宅",'数据-取费表'!E22,0)</f>
        <v>0.05</v>
      </c>
      <c r="G16" s="1241"/>
      <c r="H16" s="1422" t="s">
        <v>14</v>
      </c>
      <c r="I16" s="1423" t="s">
        <v>2139</v>
      </c>
      <c r="J16" s="328">
        <f ca="1">ROUND(J17+J22+J23+J24,0)</f>
        <v>1575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16054</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3010</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235793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2358</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1575</v>
      </c>
      <c r="K22" s="1899" t="s">
        <v>2172</v>
      </c>
      <c r="L22" s="320" t="s">
        <v>2134</v>
      </c>
      <c r="M22" s="351">
        <f>'数据-取费表'!B44</f>
        <v>5.0000000000000001E-3</v>
      </c>
    </row>
    <row r="23" spans="1:37" ht="18" customHeight="1">
      <c r="A23" s="338" t="s">
        <v>2151</v>
      </c>
      <c r="B23" s="320" t="s">
        <v>2173</v>
      </c>
      <c r="C23" s="14">
        <f ca="1">IF('数据-取费表'!B23&lt;=1,ROUND(C19*F24*F23/2,0)+ROUND(C20*F24*F23/2,0),ROUND(C19*(POWER((1+F24),F23/2)-1),0)+ROUND(C20*(POWER((1+F24),F23/2)-1),0))</f>
        <v>8435</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5.0000000000000001E-4</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5.0000000000000001E-3</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-1575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47630</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0.04</v>
      </c>
    </row>
    <row r="27" spans="1:37" ht="18" customHeight="1">
      <c r="A27" s="338" t="s">
        <v>2193</v>
      </c>
      <c r="B27" s="320" t="s">
        <v>2194</v>
      </c>
      <c r="C27" s="14">
        <f>ROUND(F21*F26,4)</f>
        <v>2E-3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314905</v>
      </c>
      <c r="D29" s="1435"/>
      <c r="E29" s="1433"/>
      <c r="F29" s="1436"/>
      <c r="G29" s="792"/>
      <c r="H29" s="357" t="s">
        <v>24</v>
      </c>
      <c r="I29" s="358" t="s">
        <v>2204</v>
      </c>
      <c r="J29" s="359">
        <f ca="1">ROUND(J26/(1+F40)^F41,0)</f>
        <v>0</v>
      </c>
      <c r="K29" s="360" t="s">
        <v>2205</v>
      </c>
      <c r="L29" s="361"/>
      <c r="M29" s="362">
        <f>IF(D1="仅计算典型户型",'数据-取费表'!E5,'数据-取费表'!B5)</f>
        <v>80.27</v>
      </c>
    </row>
    <row r="30" spans="1:37" ht="18" customHeight="1" thickTop="1">
      <c r="A30" s="1422" t="s">
        <v>14</v>
      </c>
      <c r="B30" s="1423" t="s">
        <v>2206</v>
      </c>
      <c r="C30" s="328">
        <f ca="1">ROUND(C31+C36+C37+C38,0)</f>
        <v>6068</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15619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1575</v>
      </c>
      <c r="D36" s="1899" t="s">
        <v>2216</v>
      </c>
      <c r="E36" s="320" t="s">
        <v>2160</v>
      </c>
      <c r="F36" s="351">
        <f>'数据-取费表'!B44</f>
        <v>5.0000000000000001E-3</v>
      </c>
      <c r="G36" s="792"/>
      <c r="H36" s="1232"/>
      <c r="I36" s="370" t="s">
        <v>2217</v>
      </c>
      <c r="J36" s="371"/>
      <c r="K36" s="1236"/>
      <c r="L36" s="1232"/>
      <c r="M36" s="1232"/>
    </row>
    <row r="37" spans="1:18" ht="18" customHeight="1">
      <c r="A37" s="338" t="s">
        <v>2164</v>
      </c>
      <c r="B37" s="320" t="s">
        <v>2175</v>
      </c>
      <c r="C37" s="14">
        <f ca="1">ROUND(C13*F37,0)</f>
        <v>98</v>
      </c>
      <c r="D37" s="1899" t="s">
        <v>2176</v>
      </c>
      <c r="E37" s="320" t="s">
        <v>2177</v>
      </c>
      <c r="F37" s="352">
        <f>'数据-取费表'!B45</f>
        <v>5.0000000000000001E-4</v>
      </c>
      <c r="G37" s="792"/>
      <c r="H37" s="1232"/>
      <c r="I37" s="217" t="s">
        <v>2218</v>
      </c>
      <c r="J37" s="372"/>
      <c r="K37" s="1236"/>
      <c r="L37" s="1232"/>
      <c r="M37" s="1232"/>
    </row>
    <row r="38" spans="1:18" ht="18" customHeight="1" thickBot="1">
      <c r="A38" s="1432" t="s">
        <v>2169</v>
      </c>
      <c r="B38" s="1433" t="s">
        <v>2158</v>
      </c>
      <c r="C38" s="1434">
        <f ca="1">ROUND(C5*F38,0)</f>
        <v>400</v>
      </c>
      <c r="D38" s="1435" t="s">
        <v>2181</v>
      </c>
      <c r="E38" s="1433" t="s">
        <v>2177</v>
      </c>
      <c r="F38" s="1428">
        <f>'数据-取费表'!B46</f>
        <v>5.0000000000000001E-3</v>
      </c>
      <c r="G38" s="792"/>
      <c r="H38" s="1232"/>
      <c r="I38" s="366" t="s">
        <v>2219</v>
      </c>
      <c r="J38" s="221">
        <f ca="1">ROUND(J34/C39,3)</f>
        <v>0.21199999999999999</v>
      </c>
      <c r="K38" s="1237"/>
      <c r="L38" s="1232"/>
      <c r="M38" s="1232"/>
    </row>
    <row r="39" spans="1:18" ht="18" customHeight="1" thickTop="1">
      <c r="A39" s="1422" t="s">
        <v>22</v>
      </c>
      <c r="B39" s="1437" t="s">
        <v>2220</v>
      </c>
      <c r="C39" s="328">
        <f ca="1">C5-C30</f>
        <v>73837</v>
      </c>
      <c r="D39" s="1438" t="s">
        <v>2221</v>
      </c>
      <c r="E39" s="1439"/>
      <c r="F39" s="1440"/>
      <c r="G39" s="792"/>
      <c r="H39" s="1232"/>
      <c r="I39" s="366" t="s">
        <v>2222</v>
      </c>
      <c r="J39" s="221">
        <f ca="1">1-J38</f>
        <v>0.78800000000000003</v>
      </c>
      <c r="K39" s="1237"/>
      <c r="L39" s="1232"/>
      <c r="M39" s="1232"/>
    </row>
    <row r="40" spans="1:18" s="792" customFormat="1" ht="18" customHeight="1">
      <c r="A40" s="317" t="s">
        <v>23</v>
      </c>
      <c r="B40" s="318" t="s">
        <v>2223</v>
      </c>
      <c r="C40" s="319">
        <f ca="1">ROUND(C39*(1-((1+F42)/(1+F40))^F41)/(F40-F42),0)</f>
        <v>3705554</v>
      </c>
      <c r="D40" s="347" t="s">
        <v>2191</v>
      </c>
      <c r="E40" s="320" t="s">
        <v>2192</v>
      </c>
      <c r="F40" s="330">
        <f>'数据-取费表'!B16</f>
        <v>0.04</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42.5</v>
      </c>
      <c r="H41" s="1239"/>
      <c r="I41" s="220" t="s">
        <v>2096</v>
      </c>
      <c r="J41" s="221">
        <f ca="1">ROUND(C13/C40,3)</f>
        <v>5.2999999999999999E-2</v>
      </c>
      <c r="K41" s="1236"/>
      <c r="L41" s="1239"/>
      <c r="M41" s="1239"/>
      <c r="Q41" s="796"/>
    </row>
    <row r="42" spans="1:18" s="792" customFormat="1" ht="18" customHeight="1">
      <c r="A42" s="326"/>
      <c r="B42" s="327"/>
      <c r="C42" s="328"/>
      <c r="D42" s="350"/>
      <c r="E42" s="320" t="s">
        <v>2201</v>
      </c>
      <c r="F42" s="330">
        <f>'数据-取费表'!B31</f>
        <v>0.05</v>
      </c>
      <c r="H42" s="1239"/>
      <c r="I42" s="220" t="s">
        <v>2097</v>
      </c>
      <c r="J42" s="222">
        <f ca="1">1-J41</f>
        <v>0.94699999999999995</v>
      </c>
      <c r="K42" s="1236"/>
      <c r="L42" s="1239"/>
      <c r="M42" s="1239"/>
      <c r="Q42" s="796"/>
    </row>
    <row r="43" spans="1:18" s="792" customFormat="1" ht="18" customHeight="1" thickBot="1">
      <c r="A43" s="357" t="s">
        <v>24</v>
      </c>
      <c r="B43" s="358" t="s">
        <v>2226</v>
      </c>
      <c r="C43" s="359">
        <f ca="1">ROUND(C40/F43,0)</f>
        <v>46164</v>
      </c>
      <c r="D43" s="360" t="s">
        <v>2227</v>
      </c>
      <c r="E43" s="361" t="s">
        <v>2228</v>
      </c>
      <c r="F43" s="362">
        <f>IF(D1="仅计算典型户型",'数据-取费表'!E5,'数据-取费表'!B5)</f>
        <v>80.27</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3705554</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-3739481</v>
      </c>
      <c r="D47" s="2351" t="str">
        <f>C2</f>
        <v>元</v>
      </c>
      <c r="E47" s="777"/>
      <c r="F47" s="777"/>
      <c r="I47" s="2352" t="s">
        <v>2239</v>
      </c>
      <c r="J47" s="1345"/>
      <c r="K47" s="1346"/>
      <c r="L47" s="1359">
        <f>IF(M48="住宅",0,IF(L49&gt;J52,L61,J61))</f>
        <v>0</v>
      </c>
      <c r="O47" s="1373" t="s">
        <v>960</v>
      </c>
      <c r="P47" s="1370" t="s">
        <v>2240</v>
      </c>
      <c r="Q47" s="1371">
        <f ca="1">C29</f>
        <v>314905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42.5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1992</v>
      </c>
      <c r="K50" s="2360" t="s">
        <v>2256</v>
      </c>
      <c r="L50" s="1348"/>
      <c r="O50" s="1373" t="s">
        <v>963</v>
      </c>
      <c r="P50" s="1370" t="s">
        <v>2257</v>
      </c>
      <c r="Q50" s="1371">
        <f>J54</f>
        <v>-26</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3705554</v>
      </c>
      <c r="R51" s="1372" t="s">
        <v>965</v>
      </c>
    </row>
    <row r="52" spans="1:18" s="792" customFormat="1" ht="16.5" thickBot="1">
      <c r="A52" s="322"/>
      <c r="B52" s="323"/>
      <c r="C52" s="324"/>
      <c r="D52" s="325"/>
      <c r="E52" s="320" t="s">
        <v>2113</v>
      </c>
      <c r="F52" s="321">
        <f>F8</f>
        <v>12</v>
      </c>
      <c r="I52" s="2361" t="s">
        <v>2261</v>
      </c>
      <c r="J52" s="1350">
        <f>IF(J50="",J51,J50+J51-YEAR('数据-取费表'!B2))</f>
        <v>-26</v>
      </c>
      <c r="K52" s="2362" t="s">
        <v>2262</v>
      </c>
      <c r="L52" s="1351">
        <f ca="1">ROUND(-PV('数据-取费表'!B15,L49,(C40-C13*J35)),0)</f>
        <v>74828624</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-26</v>
      </c>
      <c r="K54" s="2995" t="s">
        <v>2805</v>
      </c>
      <c r="L54" s="2996"/>
      <c r="O54" s="1369" t="s">
        <v>958</v>
      </c>
      <c r="P54" s="1370" t="s">
        <v>2234</v>
      </c>
      <c r="Q54" s="1371">
        <f ca="1">C40+J29</f>
        <v>3705554</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195241</v>
      </c>
      <c r="D57" s="1296"/>
      <c r="E57" s="1297"/>
      <c r="F57" s="1304"/>
      <c r="I57" s="2371" t="s">
        <v>2272</v>
      </c>
      <c r="J57" s="1357" t="s">
        <v>2868</v>
      </c>
      <c r="K57" s="2356" t="s">
        <v>2273</v>
      </c>
      <c r="L57" s="1129">
        <f>IF(L49&lt;J52,"——",L49-J52)</f>
        <v>68.5</v>
      </c>
      <c r="O57" s="1373" t="s">
        <v>961</v>
      </c>
      <c r="P57" s="1370" t="s">
        <v>2274</v>
      </c>
      <c r="Q57" s="1374">
        <f>L53</f>
        <v>0</v>
      </c>
      <c r="R57" s="1372"/>
    </row>
    <row r="58" spans="1:18" s="792" customFormat="1" ht="29.25" thickBot="1">
      <c r="A58" s="1303"/>
      <c r="B58" s="320" t="s">
        <v>2203</v>
      </c>
      <c r="C58" s="189">
        <f ca="1">C29</f>
        <v>314905</v>
      </c>
      <c r="D58" s="1296"/>
      <c r="E58" s="1297"/>
      <c r="F58" s="1304"/>
      <c r="I58" s="2372" t="s">
        <v>2275</v>
      </c>
      <c r="J58" s="1356" t="str">
        <f>IF(OR(M48="住宅",J52&lt;L49,J57="是"),"——",J52-L49)</f>
        <v>——</v>
      </c>
      <c r="K58" s="2356" t="s">
        <v>2276</v>
      </c>
      <c r="L58" s="1129">
        <f ca="1">IF(L49&lt;J52,"——",IF(L56="比较法",L50,IF(L56="基准地价",L51,L52)))</f>
        <v>74828624</v>
      </c>
      <c r="O58" s="1373" t="s">
        <v>962</v>
      </c>
      <c r="P58" s="1370" t="s">
        <v>2277</v>
      </c>
      <c r="Q58" s="1371" t="e">
        <f>L59</f>
        <v>#DIV/0!</v>
      </c>
      <c r="R58" s="1372" t="s">
        <v>2278</v>
      </c>
    </row>
    <row r="59" spans="1:18" s="792" customFormat="1" ht="29.25" thickBot="1">
      <c r="A59" s="333" t="s">
        <v>14</v>
      </c>
      <c r="B59" s="334" t="s">
        <v>2206</v>
      </c>
      <c r="C59" s="335">
        <f ca="1">ROUND(C60+C65+C66+C67,0)</f>
        <v>1673</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3705554</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3705554</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1575</v>
      </c>
      <c r="D65" s="1899" t="s">
        <v>2216</v>
      </c>
      <c r="E65" s="320" t="s">
        <v>2160</v>
      </c>
      <c r="F65" s="351">
        <f t="shared" si="0"/>
        <v>5.0000000000000001E-3</v>
      </c>
      <c r="I65" s="2375" t="s">
        <v>2297</v>
      </c>
      <c r="J65" s="1880">
        <v>50</v>
      </c>
      <c r="K65" s="1880">
        <v>35</v>
      </c>
      <c r="L65" s="1880">
        <v>60</v>
      </c>
      <c r="M65" s="1879">
        <v>0</v>
      </c>
      <c r="O65" s="1373" t="s">
        <v>960</v>
      </c>
      <c r="P65" s="1370" t="s">
        <v>2271</v>
      </c>
      <c r="Q65" s="1375">
        <f ca="1">L52</f>
        <v>74828624</v>
      </c>
      <c r="R65" s="1376" t="s">
        <v>2298</v>
      </c>
    </row>
    <row r="66" spans="1:18" s="792" customFormat="1" ht="20.25" thickBot="1">
      <c r="A66" s="338" t="s">
        <v>20</v>
      </c>
      <c r="B66" s="320" t="s">
        <v>2175</v>
      </c>
      <c r="C66" s="14">
        <f ca="1">ROUND(C57*F66,0)</f>
        <v>98</v>
      </c>
      <c r="D66" s="1899" t="s">
        <v>2176</v>
      </c>
      <c r="E66" s="320" t="s">
        <v>2177</v>
      </c>
      <c r="F66" s="352">
        <f t="shared" si="0"/>
        <v>5.0000000000000001E-4</v>
      </c>
      <c r="I66" s="2375" t="s">
        <v>2299</v>
      </c>
      <c r="J66" s="1880">
        <v>40</v>
      </c>
      <c r="K66" s="1880">
        <v>30</v>
      </c>
      <c r="L66" s="1880">
        <v>50</v>
      </c>
      <c r="M66" s="1878">
        <v>0.02</v>
      </c>
      <c r="O66" s="1373" t="s">
        <v>961</v>
      </c>
      <c r="P66" s="1377" t="s">
        <v>2300</v>
      </c>
      <c r="Q66" s="1371">
        <f ca="1">ROUND(Q67-Q68*Q69,0)</f>
        <v>58218</v>
      </c>
      <c r="R66" s="1372"/>
    </row>
    <row r="67" spans="1:18" s="792" customFormat="1" ht="15.75" thickBot="1">
      <c r="A67" s="338" t="s">
        <v>21</v>
      </c>
      <c r="B67" s="320" t="s">
        <v>2158</v>
      </c>
      <c r="C67" s="14">
        <f ca="1">ROUND(C49*F67,0)</f>
        <v>0</v>
      </c>
      <c r="D67" s="1899" t="s">
        <v>2181</v>
      </c>
      <c r="E67" s="320" t="s">
        <v>2177</v>
      </c>
      <c r="F67" s="330">
        <f t="shared" si="0"/>
        <v>5.0000000000000001E-3</v>
      </c>
      <c r="O67" s="1373" t="s">
        <v>966</v>
      </c>
      <c r="P67" s="1377" t="s">
        <v>2301</v>
      </c>
      <c r="Q67" s="1371">
        <f ca="1">C39</f>
        <v>73837</v>
      </c>
      <c r="R67" s="1372" t="s">
        <v>2235</v>
      </c>
    </row>
    <row r="68" spans="1:18" ht="15.75" thickBot="1">
      <c r="A68" s="333" t="s">
        <v>22</v>
      </c>
      <c r="B68" s="90" t="s">
        <v>2185</v>
      </c>
      <c r="C68" s="335">
        <f ca="1">C49-C59</f>
        <v>-1673</v>
      </c>
      <c r="D68" s="1894" t="s">
        <v>2186</v>
      </c>
      <c r="E68" s="1898"/>
      <c r="F68" s="354"/>
      <c r="H68" s="792"/>
      <c r="I68" s="792"/>
      <c r="J68" s="792"/>
      <c r="K68" s="792"/>
      <c r="L68" s="792"/>
      <c r="M68" s="792"/>
      <c r="O68" s="1373" t="s">
        <v>967</v>
      </c>
      <c r="P68" s="1377" t="s">
        <v>2302</v>
      </c>
      <c r="Q68" s="1371">
        <f ca="1">C13</f>
        <v>195241</v>
      </c>
      <c r="R68" s="1372" t="s">
        <v>2235</v>
      </c>
    </row>
    <row r="69" spans="1:18" ht="15.75" thickBot="1">
      <c r="A69" s="317" t="s">
        <v>23</v>
      </c>
      <c r="B69" s="318" t="s">
        <v>2223</v>
      </c>
      <c r="C69" s="319">
        <f ca="1">ROUND(C68*(1-((1+F71)/(1+F69))^F70)/(F69-F71),0)</f>
        <v>-33927</v>
      </c>
      <c r="D69" s="347" t="s">
        <v>2191</v>
      </c>
      <c r="E69" s="320" t="s">
        <v>2192</v>
      </c>
      <c r="F69" s="330">
        <f>F40</f>
        <v>0.04</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42.5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-423</v>
      </c>
      <c r="D72" s="360" t="s">
        <v>2227</v>
      </c>
      <c r="E72" s="361" t="s">
        <v>2228</v>
      </c>
      <c r="F72" s="362">
        <f>F43</f>
        <v>80.27</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3705554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91" t="s">
        <v>976</v>
      </c>
      <c r="E2" s="1391" t="s">
        <v>977</v>
      </c>
      <c r="F2" s="1391" t="s">
        <v>978</v>
      </c>
      <c r="G2" s="1391" t="s">
        <v>979</v>
      </c>
      <c r="H2" s="1391" t="s">
        <v>980</v>
      </c>
      <c r="I2" s="1392" t="s">
        <v>981</v>
      </c>
    </row>
    <row r="3" spans="1:9">
      <c r="A3" s="3002"/>
      <c r="B3" s="3003" t="s">
        <v>982</v>
      </c>
      <c r="C3" s="3003"/>
      <c r="D3" s="1393"/>
      <c r="E3" s="1391"/>
      <c r="F3" s="1394"/>
      <c r="G3" s="1394"/>
      <c r="H3" s="1395"/>
      <c r="I3" s="1396">
        <f>ROUND(D3*E3*F3*G3*H3/10000,0)</f>
        <v>0</v>
      </c>
    </row>
    <row r="4" spans="1:9">
      <c r="A4" s="3002"/>
      <c r="B4" s="3003" t="s">
        <v>983</v>
      </c>
      <c r="C4" s="3003"/>
      <c r="D4" s="1393"/>
      <c r="E4" s="1391"/>
      <c r="F4" s="1394"/>
      <c r="G4" s="1394"/>
      <c r="H4" s="1395"/>
      <c r="I4" s="1396">
        <f t="shared" ref="I4:I9" si="0">ROUND(D4*E4*F4*G4*H4/10000,0)</f>
        <v>0</v>
      </c>
    </row>
    <row r="5" spans="1:9">
      <c r="A5" s="3002"/>
      <c r="B5" s="3003" t="s">
        <v>984</v>
      </c>
      <c r="C5" s="3003"/>
      <c r="D5" s="1393"/>
      <c r="E5" s="1391"/>
      <c r="F5" s="1394"/>
      <c r="G5" s="1394"/>
      <c r="H5" s="1395"/>
      <c r="I5" s="1396">
        <f t="shared" si="0"/>
        <v>0</v>
      </c>
    </row>
    <row r="6" spans="1:9">
      <c r="A6" s="3002"/>
      <c r="B6" s="3003" t="s">
        <v>985</v>
      </c>
      <c r="C6" s="3003"/>
      <c r="D6" s="1393"/>
      <c r="E6" s="1391"/>
      <c r="F6" s="1394"/>
      <c r="G6" s="1394"/>
      <c r="H6" s="1395"/>
      <c r="I6" s="1396">
        <f t="shared" si="0"/>
        <v>0</v>
      </c>
    </row>
    <row r="7" spans="1:9">
      <c r="A7" s="3002"/>
      <c r="B7" s="3003" t="s">
        <v>986</v>
      </c>
      <c r="C7" s="3003"/>
      <c r="D7" s="1393"/>
      <c r="E7" s="1391"/>
      <c r="F7" s="1394"/>
      <c r="G7" s="1394"/>
      <c r="H7" s="1395"/>
      <c r="I7" s="1396">
        <f t="shared" si="0"/>
        <v>0</v>
      </c>
    </row>
    <row r="8" spans="1:9">
      <c r="A8" s="3002"/>
      <c r="B8" s="3003" t="s">
        <v>987</v>
      </c>
      <c r="C8" s="3003"/>
      <c r="D8" s="1393"/>
      <c r="E8" s="1391"/>
      <c r="F8" s="1394"/>
      <c r="G8" s="1394"/>
      <c r="H8" s="1395"/>
      <c r="I8" s="1396">
        <f t="shared" si="0"/>
        <v>0</v>
      </c>
    </row>
    <row r="9" spans="1:9">
      <c r="A9" s="3002"/>
      <c r="B9" s="3003" t="s">
        <v>988</v>
      </c>
      <c r="C9" s="3003"/>
      <c r="D9" s="1393"/>
      <c r="E9" s="1391"/>
      <c r="F9" s="1394"/>
      <c r="G9" s="1394"/>
      <c r="H9" s="1395"/>
      <c r="I9" s="1396">
        <f t="shared" si="0"/>
        <v>0</v>
      </c>
    </row>
    <row r="10" spans="1:9">
      <c r="A10" s="3002"/>
      <c r="B10" s="3004" t="s">
        <v>989</v>
      </c>
      <c r="C10" s="3004"/>
      <c r="D10" s="1397">
        <v>527</v>
      </c>
      <c r="E10" s="1397" t="e">
        <f>ROUND(D1*10000/D10/H9,0)</f>
        <v>#DIV/0!</v>
      </c>
      <c r="F10" s="1398"/>
      <c r="G10" s="1398"/>
      <c r="H10" s="1399"/>
      <c r="I10" s="1400">
        <f>SUM(I3:I9)</f>
        <v>0</v>
      </c>
    </row>
    <row r="11" spans="1:9" ht="14.25">
      <c r="A11" s="3002" t="s">
        <v>1027</v>
      </c>
      <c r="B11" s="3003" t="s">
        <v>990</v>
      </c>
      <c r="C11" s="3003"/>
      <c r="D11" s="1393" t="s">
        <v>991</v>
      </c>
      <c r="E11" s="1393" t="s">
        <v>992</v>
      </c>
      <c r="F11" s="1394" t="s">
        <v>993</v>
      </c>
      <c r="G11" s="1394" t="s">
        <v>980</v>
      </c>
      <c r="H11" s="1401" t="s">
        <v>994</v>
      </c>
      <c r="I11" s="1392" t="s">
        <v>981</v>
      </c>
    </row>
    <row r="12" spans="1:9">
      <c r="A12" s="3002"/>
      <c r="B12" s="3003" t="s">
        <v>995</v>
      </c>
      <c r="C12" s="3003"/>
      <c r="D12" s="1393"/>
      <c r="E12" s="1393"/>
      <c r="F12" s="1394"/>
      <c r="G12" s="1395"/>
      <c r="H12" s="1402"/>
      <c r="I12" s="1392">
        <f>ROUND(D12*E12*F12*G12/10000,0)</f>
        <v>0</v>
      </c>
    </row>
    <row r="13" spans="1:9">
      <c r="A13" s="3002"/>
      <c r="B13" s="3003" t="s">
        <v>996</v>
      </c>
      <c r="C13" s="3003"/>
      <c r="D13" s="1393"/>
      <c r="E13" s="1393"/>
      <c r="F13" s="1394"/>
      <c r="G13" s="1395"/>
      <c r="H13" s="1402"/>
      <c r="I13" s="1392">
        <f>ROUND(D13*E13*F13*G13/10000,0)</f>
        <v>0</v>
      </c>
    </row>
    <row r="14" spans="1:9">
      <c r="A14" s="3002"/>
      <c r="B14" s="3003" t="s">
        <v>997</v>
      </c>
      <c r="C14" s="3003"/>
      <c r="D14" s="1393"/>
      <c r="E14" s="1393"/>
      <c r="F14" s="1394"/>
      <c r="G14" s="1395"/>
      <c r="H14" s="1402"/>
      <c r="I14" s="1392">
        <f>ROUND(D14*E14*F14*G14/10000,0)</f>
        <v>0</v>
      </c>
    </row>
    <row r="15" spans="1:9">
      <c r="A15" s="3002"/>
      <c r="B15" s="3004" t="s">
        <v>989</v>
      </c>
      <c r="C15" s="3004"/>
      <c r="D15" s="1397"/>
      <c r="E15" s="1397">
        <f>SUM(E12:E14)</f>
        <v>0</v>
      </c>
      <c r="F15" s="1398"/>
      <c r="G15" s="1395"/>
      <c r="H15" s="1402"/>
      <c r="I15" s="1403">
        <f>SUM(I12:I14)</f>
        <v>0</v>
      </c>
    </row>
    <row r="16" spans="1:9" ht="24">
      <c r="A16" s="3002" t="s">
        <v>1028</v>
      </c>
      <c r="B16" s="3003" t="s">
        <v>998</v>
      </c>
      <c r="C16" s="3003"/>
      <c r="D16" s="1393" t="s">
        <v>976</v>
      </c>
      <c r="E16" s="1404" t="s">
        <v>999</v>
      </c>
      <c r="F16" s="1394" t="s">
        <v>1000</v>
      </c>
      <c r="G16" s="1395" t="s">
        <v>980</v>
      </c>
      <c r="H16" s="1401" t="s">
        <v>994</v>
      </c>
      <c r="I16" s="1392" t="s">
        <v>981</v>
      </c>
    </row>
    <row r="17" spans="1:9" ht="14.25">
      <c r="A17" s="3002"/>
      <c r="B17" s="3003" t="s">
        <v>1001</v>
      </c>
      <c r="C17" s="3003"/>
      <c r="D17" s="1393"/>
      <c r="E17" s="1393"/>
      <c r="F17" s="1394"/>
      <c r="G17" s="1395"/>
      <c r="H17" s="1405"/>
      <c r="I17" s="1406">
        <f>ROUND(D17*E17*F17*G17/10000,0)</f>
        <v>0</v>
      </c>
    </row>
    <row r="18" spans="1:9" ht="14.25">
      <c r="A18" s="3002"/>
      <c r="B18" s="3003" t="s">
        <v>1002</v>
      </c>
      <c r="C18" s="3003"/>
      <c r="D18" s="1393"/>
      <c r="E18" s="1393"/>
      <c r="F18" s="1394"/>
      <c r="G18" s="1395"/>
      <c r="H18" s="1405"/>
      <c r="I18" s="1406">
        <f>ROUND(D18*E18*F18*G18/10000,0)</f>
        <v>0</v>
      </c>
    </row>
    <row r="19" spans="1:9" ht="14.25">
      <c r="A19" s="3002"/>
      <c r="B19" s="3003" t="s">
        <v>1003</v>
      </c>
      <c r="C19" s="3003"/>
      <c r="D19" s="1393"/>
      <c r="E19" s="1393"/>
      <c r="F19" s="1394"/>
      <c r="G19" s="1395"/>
      <c r="H19" s="1405"/>
      <c r="I19" s="1406">
        <f>ROUND(D19*E19*F19*G19/10000,0)</f>
        <v>0</v>
      </c>
    </row>
    <row r="20" spans="1:9">
      <c r="A20" s="3002"/>
      <c r="B20" s="3004" t="s">
        <v>989</v>
      </c>
      <c r="C20" s="3004"/>
      <c r="D20" s="1397">
        <f>SUM(D17:D19)</f>
        <v>0</v>
      </c>
      <c r="E20" s="1397"/>
      <c r="F20" s="1398"/>
      <c r="G20" s="1395"/>
      <c r="H20" s="1402"/>
      <c r="I20" s="1403">
        <f>SUM(I17:I19)</f>
        <v>0</v>
      </c>
    </row>
    <row r="21" spans="1:9">
      <c r="A21" s="3002"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13">
        <f>C27-C30-C31-C32</f>
        <v>0</v>
      </c>
      <c r="F26" s="3013"/>
      <c r="G26" s="3013"/>
      <c r="H26" s="1835" t="s">
        <v>1223</v>
      </c>
    </row>
    <row r="27" spans="1:9">
      <c r="A27" s="1415">
        <v>1</v>
      </c>
      <c r="B27" s="1416" t="s">
        <v>1008</v>
      </c>
      <c r="C27" s="1416">
        <f>C28+C29</f>
        <v>0</v>
      </c>
      <c r="D27" s="1416"/>
      <c r="E27" s="3014"/>
      <c r="F27" s="3014"/>
      <c r="G27" s="3014"/>
    </row>
    <row r="28" spans="1:9">
      <c r="A28" s="1417" t="s">
        <v>1009</v>
      </c>
      <c r="B28" s="1416" t="s">
        <v>1010</v>
      </c>
      <c r="C28" s="1416"/>
      <c r="D28" s="1416"/>
      <c r="E28" s="3014"/>
      <c r="F28" s="3014"/>
      <c r="G28" s="301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15" t="s">
        <v>1019</v>
      </c>
      <c r="B33" s="3016"/>
      <c r="C33" s="3016"/>
      <c r="D33" s="3017"/>
      <c r="E33" s="3013"/>
      <c r="F33" s="3013"/>
      <c r="G33" s="3013"/>
    </row>
    <row r="34" spans="1:7" hidden="1">
      <c r="A34" s="1419">
        <v>1</v>
      </c>
      <c r="B34" s="1416" t="s">
        <v>1020</v>
      </c>
      <c r="C34" s="1416"/>
      <c r="D34" s="1416"/>
      <c r="E34" s="3014"/>
      <c r="F34" s="3014"/>
      <c r="G34" s="3014"/>
    </row>
    <row r="35" spans="1:7" hidden="1">
      <c r="A35" s="1419">
        <v>2</v>
      </c>
      <c r="B35" s="1416" t="s">
        <v>1021</v>
      </c>
      <c r="C35" s="1416"/>
      <c r="D35" s="1416"/>
      <c r="E35" s="3014"/>
      <c r="F35" s="3014"/>
      <c r="G35" s="3014"/>
    </row>
    <row r="36" spans="1:7" hidden="1">
      <c r="A36" s="1419">
        <v>3</v>
      </c>
      <c r="B36" s="1416" t="s">
        <v>1022</v>
      </c>
      <c r="C36" s="1416"/>
      <c r="D36" s="1416"/>
      <c r="E36" s="3014"/>
      <c r="F36" s="3014"/>
      <c r="G36" s="3014"/>
    </row>
    <row r="37" spans="1:7" hidden="1">
      <c r="A37" s="1419">
        <v>4</v>
      </c>
      <c r="B37" s="1416" t="s">
        <v>1023</v>
      </c>
      <c r="C37" s="1416"/>
      <c r="D37" s="1416"/>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4" zoomScale="90" zoomScaleNormal="90" workbookViewId="0">
      <selection activeCell="J15" sqref="J1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5511178</v>
      </c>
      <c r="C2" s="164" t="str">
        <f>'数据-取费表'!B3</f>
        <v>元</v>
      </c>
      <c r="D2" s="2391" t="s">
        <v>1257</v>
      </c>
      <c r="E2" s="1849">
        <f ca="1">SUMIF(INDIRECT("'"&amp;G2&amp;"'"&amp;"!A:A"),"承租人权益价值",INDIRECT("'"&amp;G2&amp;"'"&amp;"!c:c"))</f>
        <v>-3739481</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68658</v>
      </c>
      <c r="C3" s="380" t="s">
        <v>2341</v>
      </c>
      <c r="D3" s="379">
        <f>IF(C1="仅计算典型户型",'数据-取费表'!E5,'数据-取费表'!B5)</f>
        <v>80.27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2908</v>
      </c>
      <c r="D5" s="3047"/>
      <c r="E5" s="3044" t="s">
        <v>2909</v>
      </c>
      <c r="F5" s="3045"/>
      <c r="G5" s="3046" t="s">
        <v>2909</v>
      </c>
      <c r="H5" s="3047"/>
      <c r="I5" s="3046" t="s">
        <v>2909</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v>42986</v>
      </c>
      <c r="F7" s="393">
        <f>SUMIF(58:58,YEAR(E7)&amp;"-"&amp;MONTH(E7),59:59)</f>
        <v>101</v>
      </c>
      <c r="G7" s="392">
        <v>43074</v>
      </c>
      <c r="H7" s="391">
        <f>SUMIF(58:58,YEAR(G7)&amp;"-"&amp;MONTH(G7),59:59)</f>
        <v>100.5</v>
      </c>
      <c r="I7" s="392">
        <v>43048</v>
      </c>
      <c r="J7" s="391">
        <f>SUMIF(58:58,YEAR(I7)&amp;"-"&amp;MONTH(I7),59:59)</f>
        <v>100.5</v>
      </c>
      <c r="K7" s="2404"/>
      <c r="L7" s="1247"/>
      <c r="M7" s="1248"/>
      <c r="N7" s="1248"/>
      <c r="O7" s="1248"/>
      <c r="P7" s="3060" t="s">
        <v>2356</v>
      </c>
      <c r="Q7" s="3062"/>
      <c r="R7" s="750" t="s">
        <v>34</v>
      </c>
      <c r="S7" s="751">
        <f t="shared" ref="S7:S15" si="0">F7</f>
        <v>101</v>
      </c>
      <c r="T7" s="750" t="s">
        <v>34</v>
      </c>
      <c r="U7" s="751">
        <f t="shared" ref="U7:U15" si="1">H7</f>
        <v>100.5</v>
      </c>
      <c r="V7" s="750" t="s">
        <v>34</v>
      </c>
      <c r="W7" s="751">
        <f t="shared" ref="W7:W15" si="2">J7</f>
        <v>100.5</v>
      </c>
      <c r="X7" s="752"/>
      <c r="Y7" s="3060" t="s">
        <v>2356</v>
      </c>
      <c r="Z7" s="3061"/>
      <c r="AA7" s="753">
        <f>D7/F7</f>
        <v>0.99009900990099009</v>
      </c>
      <c r="AB7" s="753">
        <f>D7/H7</f>
        <v>0.99502487562189057</v>
      </c>
      <c r="AC7" s="753">
        <f>D7/J7</f>
        <v>0.99502487562189057</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2934</v>
      </c>
      <c r="D10" s="52">
        <v>100</v>
      </c>
      <c r="E10" s="405" t="s">
        <v>2934</v>
      </c>
      <c r="F10" s="406">
        <f>SUMIF(65:65,E10,66:66)-SUMIF(65:65,C10,66:66)+100</f>
        <v>100</v>
      </c>
      <c r="G10" s="404" t="s">
        <v>2934</v>
      </c>
      <c r="H10" s="52">
        <f>SUMIF(65:65,G10,66:66)-SUMIF(65:65,C10,66:66)+100</f>
        <v>100</v>
      </c>
      <c r="I10" s="404" t="s">
        <v>2906</v>
      </c>
      <c r="J10" s="52">
        <f>SUMIF(65:65,I10,66:66)-SUMIF(65:65,C10,66:66)+100</f>
        <v>100.30000000000001</v>
      </c>
      <c r="K10" s="407">
        <v>0.15</v>
      </c>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100.30000000000001</v>
      </c>
      <c r="X10" s="752"/>
      <c r="Y10" s="2875"/>
      <c r="Z10" s="23" t="str">
        <f t="shared" si="7"/>
        <v>土地使用年限（年）</v>
      </c>
      <c r="AA10" s="753">
        <f t="shared" si="3"/>
        <v>1</v>
      </c>
      <c r="AB10" s="753">
        <f t="shared" si="4"/>
        <v>1</v>
      </c>
      <c r="AC10" s="753">
        <f t="shared" si="5"/>
        <v>0.99700897308075764</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51.5" customHeight="1">
      <c r="A15" s="420" t="s">
        <v>2366</v>
      </c>
      <c r="B15" s="26" t="s">
        <v>1742</v>
      </c>
      <c r="C15" s="2410" t="str">
        <f>估价对象房地状况!C3</f>
        <v>估价对象周边有安贞里小区、和平里小区、胜古家园、小黄庄小区、青年湖东里、裕中东里等居住小区，小区规模和社区发展完善程度较好，综合评价居住社区成熟度好</v>
      </c>
      <c r="D15" s="421">
        <v>100</v>
      </c>
      <c r="E15" s="2735" t="s">
        <v>2932</v>
      </c>
      <c r="F15" s="423">
        <f>SUMIF(76:76,E16,77:77)-SUMIF(76:76,C16,77:77)+100</f>
        <v>100</v>
      </c>
      <c r="G15" s="2735" t="s">
        <v>2910</v>
      </c>
      <c r="H15" s="421">
        <f>SUMIF(76:76,G16,77:77)-SUMIF(76:76,C16,77:77)+100</f>
        <v>100</v>
      </c>
      <c r="I15" s="2735" t="s">
        <v>2910</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29</v>
      </c>
      <c r="D16" s="428"/>
      <c r="E16" s="429" t="s">
        <v>29</v>
      </c>
      <c r="F16" s="430"/>
      <c r="G16" s="2411" t="s">
        <v>29</v>
      </c>
      <c r="H16" s="431"/>
      <c r="I16" s="429" t="s">
        <v>29</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74" customHeight="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2723" t="s">
        <v>2931</v>
      </c>
      <c r="F17" s="434">
        <f>SUMIF(78:78,E18,79:79)-SUMIF(78:78,C18,79:79)+100</f>
        <v>100</v>
      </c>
      <c r="G17" s="2724" t="s">
        <v>2933</v>
      </c>
      <c r="H17" s="436">
        <f>SUMIF(78:78,G18,79:79)-SUMIF(78:78,C18,79:79)+100</f>
        <v>100</v>
      </c>
      <c r="I17" s="2723" t="s">
        <v>2912</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29</v>
      </c>
      <c r="D18" s="431"/>
      <c r="E18" s="1470" t="s">
        <v>29</v>
      </c>
      <c r="F18" s="434"/>
      <c r="G18" s="2414" t="s">
        <v>29</v>
      </c>
      <c r="H18" s="428"/>
      <c r="I18" s="1470" t="s">
        <v>29</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2914</v>
      </c>
      <c r="F19" s="440">
        <f>SUMIF(80:80,E20,81:81)-SUMIF(80:80,C20,81:81)+100</f>
        <v>100</v>
      </c>
      <c r="G19" s="2726" t="s">
        <v>2914</v>
      </c>
      <c r="H19" s="431">
        <f>SUMIF(80:80,G20,81:81)-SUMIF(80:80,C20,81:81)+100</f>
        <v>100</v>
      </c>
      <c r="I19" s="2725" t="s">
        <v>2914</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29</v>
      </c>
      <c r="D20" s="428"/>
      <c r="E20" s="429" t="s">
        <v>29</v>
      </c>
      <c r="F20" s="430"/>
      <c r="G20" s="2411" t="s">
        <v>29</v>
      </c>
      <c r="H20" s="428"/>
      <c r="I20" s="429" t="s">
        <v>29</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2894</v>
      </c>
      <c r="F21" s="440">
        <f>SUMIF(82:82,E22,83:83)-SUMIF(82:82,C22,83:83)+100</f>
        <v>100</v>
      </c>
      <c r="G21" s="2726" t="s">
        <v>2894</v>
      </c>
      <c r="H21" s="431">
        <f>SUMIF(82:82,G22,83:83)-SUMIF(82:82,C22,83:83)+100</f>
        <v>100</v>
      </c>
      <c r="I21" s="2725" t="s">
        <v>2894</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96" customHeight="1">
      <c r="A23" s="409"/>
      <c r="B23" s="432" t="s">
        <v>1756</v>
      </c>
      <c r="C23" s="2413" t="str">
        <f>估价对象房地状况!C9</f>
        <v>自然环境：柳荫公园、青年湖公园、地坛公园等；人文环境：北京化工大学等，综合评价环境状况较好</v>
      </c>
      <c r="D23" s="431">
        <v>100</v>
      </c>
      <c r="E23" s="2723" t="s">
        <v>2916</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2919</v>
      </c>
      <c r="D26" s="416">
        <v>100</v>
      </c>
      <c r="E26" s="2417" t="s">
        <v>2903</v>
      </c>
      <c r="F26" s="443">
        <f>SUMIF(88:88,E26,89:89)-SUMIF(88:88,C26,89:89)+100</f>
        <v>102</v>
      </c>
      <c r="G26" s="2418" t="s">
        <v>2920</v>
      </c>
      <c r="H26" s="416">
        <f>SUMIF(88:88,G26,89:89)-SUMIF(88:88,C26,89:89)+100</f>
        <v>98</v>
      </c>
      <c r="I26" s="2417" t="s">
        <v>2920</v>
      </c>
      <c r="J26" s="416">
        <f>SUMIF(88:88,I26,89:89)-SUMIF(88:88,C26,89:89)+100</f>
        <v>98</v>
      </c>
      <c r="K26" s="407">
        <v>1</v>
      </c>
      <c r="L26" s="1255"/>
      <c r="M26" s="1246"/>
      <c r="N26" s="1246"/>
      <c r="O26" s="1246"/>
      <c r="P26" s="3067"/>
      <c r="Q26" s="1905" t="str">
        <f t="shared" si="11"/>
        <v>朝向</v>
      </c>
      <c r="R26" s="754" t="s">
        <v>28</v>
      </c>
      <c r="S26" s="755">
        <f>F26</f>
        <v>102</v>
      </c>
      <c r="T26" s="754" t="s">
        <v>28</v>
      </c>
      <c r="U26" s="755">
        <f>H26</f>
        <v>98</v>
      </c>
      <c r="V26" s="754" t="s">
        <v>28</v>
      </c>
      <c r="W26" s="755">
        <f>J26</f>
        <v>98</v>
      </c>
      <c r="X26" s="1906"/>
      <c r="Y26" s="3053"/>
      <c r="Z26" s="1908" t="str">
        <f>Q26</f>
        <v>朝向</v>
      </c>
      <c r="AA26" s="1909">
        <f t="shared" si="3"/>
        <v>0.98039215686274506</v>
      </c>
      <c r="AB26" s="1909">
        <f t="shared" si="4"/>
        <v>1.0204081632653061</v>
      </c>
      <c r="AC26" s="1909">
        <f t="shared" si="5"/>
        <v>1.0204081632653061</v>
      </c>
    </row>
    <row r="27" spans="1:29" s="35" customFormat="1" ht="15">
      <c r="A27" s="412"/>
      <c r="B27" s="2406" t="s">
        <v>2370</v>
      </c>
      <c r="C27" s="2730" t="s">
        <v>2923</v>
      </c>
      <c r="D27" s="444">
        <v>100</v>
      </c>
      <c r="E27" s="2730" t="s">
        <v>2922</v>
      </c>
      <c r="F27" s="446">
        <f>SUMIF(90:90,E27,91:91)-SUMIF(90:90,C27,91:91)+100</f>
        <v>100</v>
      </c>
      <c r="G27" s="2730" t="s">
        <v>2923</v>
      </c>
      <c r="H27" s="444">
        <f>SUMIF(90:90,G27,91:91)-SUMIF(90:90,C27,91:91)+100</f>
        <v>100</v>
      </c>
      <c r="I27" s="2730" t="s">
        <v>2923</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2900</v>
      </c>
      <c r="C29" s="415" t="s">
        <v>2924</v>
      </c>
      <c r="D29" s="416">
        <v>100</v>
      </c>
      <c r="E29" s="415" t="s">
        <v>2925</v>
      </c>
      <c r="F29" s="443">
        <f>SUMIF(94:94,E29,95:95)-SUMIF(94:94,C29,95:95)+100</f>
        <v>101.5</v>
      </c>
      <c r="G29" s="415" t="s">
        <v>2925</v>
      </c>
      <c r="H29" s="416">
        <f>SUMIF(94:94,G29,95:95)-SUMIF(94:94,C29,95:95)+100</f>
        <v>101.5</v>
      </c>
      <c r="I29" s="415" t="s">
        <v>2926</v>
      </c>
      <c r="J29" s="416">
        <f>SUMIF(94:94,I29,95:95)-SUMIF(94:94,C29,95:95)+100</f>
        <v>100</v>
      </c>
      <c r="K29" s="2407"/>
      <c r="L29" s="1255"/>
      <c r="M29" s="1246"/>
      <c r="N29" s="1246"/>
      <c r="O29" s="1246"/>
      <c r="P29" s="3067"/>
      <c r="Q29" s="1905" t="str">
        <f t="shared" si="11"/>
        <v>楼层</v>
      </c>
      <c r="R29" s="754" t="s">
        <v>28</v>
      </c>
      <c r="S29" s="755">
        <f t="shared" si="12"/>
        <v>101.5</v>
      </c>
      <c r="T29" s="754" t="s">
        <v>28</v>
      </c>
      <c r="U29" s="755">
        <f t="shared" si="13"/>
        <v>101.5</v>
      </c>
      <c r="V29" s="754" t="s">
        <v>28</v>
      </c>
      <c r="W29" s="755">
        <f t="shared" si="14"/>
        <v>100</v>
      </c>
      <c r="X29" s="1906"/>
      <c r="Y29" s="3053"/>
      <c r="Z29" s="1908" t="str">
        <f t="shared" si="15"/>
        <v>楼层</v>
      </c>
      <c r="AA29" s="1909">
        <f t="shared" si="3"/>
        <v>0.98522167487684731</v>
      </c>
      <c r="AB29" s="1909">
        <f t="shared" si="4"/>
        <v>0.98522167487684731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2904</v>
      </c>
      <c r="D32" s="449">
        <v>100</v>
      </c>
      <c r="E32" s="2421" t="s">
        <v>2904</v>
      </c>
      <c r="F32" s="443">
        <f>SUMIF(100:100,E32,101:101)-SUMIF(100:100,C32,101:101)+100</f>
        <v>100</v>
      </c>
      <c r="G32" s="2420" t="s">
        <v>2904</v>
      </c>
      <c r="H32" s="449">
        <f>SUMIF(100:100,G32,101:101)-SUMIF(100:100,C32,101:101)+100</f>
        <v>100</v>
      </c>
      <c r="I32" s="2421" t="s">
        <v>2904</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80.27</v>
      </c>
      <c r="D33" s="52">
        <v>100</v>
      </c>
      <c r="E33" s="411">
        <v>68.44</v>
      </c>
      <c r="F33" s="406">
        <f>LOOKUP(E33,103:103,104:104)-LOOKUP(C33,103:103,104:104)+100</f>
        <v>102</v>
      </c>
      <c r="G33" s="411">
        <v>54.34</v>
      </c>
      <c r="H33" s="52">
        <f>LOOKUP(G33,103:103,104:104)-LOOKUP(C33,103:103,104:104)+100</f>
        <v>103</v>
      </c>
      <c r="I33" s="411">
        <v>54.82</v>
      </c>
      <c r="J33" s="52">
        <f>LOOKUP(I33,103:103,104:104)-LOOKUP(C33,103:103,104:104)+100</f>
        <v>103</v>
      </c>
      <c r="K33" s="2407"/>
      <c r="L33" s="1253"/>
      <c r="M33" s="1256"/>
      <c r="N33" s="1256"/>
      <c r="O33" s="1256"/>
      <c r="P33" s="3055"/>
      <c r="Q33" s="756" t="str">
        <f t="shared" si="11"/>
        <v>项目建筑规模</v>
      </c>
      <c r="R33" s="757" t="s">
        <v>28</v>
      </c>
      <c r="S33" s="758">
        <f t="shared" si="12"/>
        <v>102</v>
      </c>
      <c r="T33" s="757" t="s">
        <v>28</v>
      </c>
      <c r="U33" s="758">
        <f t="shared" si="13"/>
        <v>103</v>
      </c>
      <c r="V33" s="757" t="s">
        <v>28</v>
      </c>
      <c r="W33" s="758">
        <f t="shared" si="14"/>
        <v>103</v>
      </c>
      <c r="X33" s="759"/>
      <c r="Y33" s="3057"/>
      <c r="Z33" s="760" t="str">
        <f t="shared" si="15"/>
        <v>项目建筑规模</v>
      </c>
      <c r="AA33" s="1909">
        <f t="shared" si="3"/>
        <v>0.98039215686274506</v>
      </c>
      <c r="AB33" s="1909">
        <f t="shared" si="4"/>
        <v>0.970873786407767</v>
      </c>
      <c r="AC33" s="1909">
        <f t="shared" si="5"/>
        <v>0.970873786407767</v>
      </c>
    </row>
    <row r="34" spans="1:29" ht="15">
      <c r="A34" s="454"/>
      <c r="B34" s="403" t="s">
        <v>2375</v>
      </c>
      <c r="C34" s="2422" t="s">
        <v>2905</v>
      </c>
      <c r="D34" s="416">
        <v>100</v>
      </c>
      <c r="E34" s="2423" t="s">
        <v>2905</v>
      </c>
      <c r="F34" s="443">
        <f>SUMIF(105:105,E34,106:106)-SUMIF(105:105,C34,106:106)+100</f>
        <v>100</v>
      </c>
      <c r="G34" s="2422" t="s">
        <v>2905</v>
      </c>
      <c r="H34" s="416">
        <f>SUMIF(105:105,G34,106:106)-SUMIF(105:105,C34,106:106)+100</f>
        <v>100</v>
      </c>
      <c r="I34" s="2423" t="s">
        <v>2905</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2927</v>
      </c>
      <c r="H42" s="416">
        <f>SUMIF(122:122,G42,123:123)-SUMIF(122:122,C42,123:123)+100</f>
        <v>103.5</v>
      </c>
      <c r="I42" s="2417" t="s">
        <v>2927</v>
      </c>
      <c r="J42" s="416">
        <f>SUMIF(122:122,I42,123:123)-SUMIF(122:122,C42,123:123)+100</f>
        <v>103.5</v>
      </c>
      <c r="K42" s="407">
        <v>3.5</v>
      </c>
      <c r="L42" s="1255"/>
      <c r="M42" s="1246"/>
      <c r="N42" s="1246"/>
      <c r="O42" s="1246"/>
      <c r="P42" s="3055"/>
      <c r="Q42" s="1905" t="str">
        <f t="shared" si="11"/>
        <v>内部装修</v>
      </c>
      <c r="R42" s="754" t="s">
        <v>28</v>
      </c>
      <c r="S42" s="755">
        <f t="shared" si="12"/>
        <v>100</v>
      </c>
      <c r="T42" s="754" t="s">
        <v>28</v>
      </c>
      <c r="U42" s="755">
        <f t="shared" si="13"/>
        <v>103.5</v>
      </c>
      <c r="V42" s="754" t="s">
        <v>28</v>
      </c>
      <c r="W42" s="755">
        <f t="shared" si="14"/>
        <v>103.5</v>
      </c>
      <c r="X42" s="1906"/>
      <c r="Y42" s="3057"/>
      <c r="Z42" s="1908" t="str">
        <f t="shared" si="15"/>
        <v>内部装修</v>
      </c>
      <c r="AA42" s="1909">
        <f t="shared" si="3"/>
        <v>1</v>
      </c>
      <c r="AB42" s="1909">
        <f t="shared" si="4"/>
        <v>0.96618357487922701</v>
      </c>
      <c r="AC42" s="1909">
        <f t="shared" si="5"/>
        <v>0.96618357487922701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5"/>
      <c r="Q43" s="1905" t="str">
        <f t="shared" si="11"/>
        <v>内部装修维护情况</v>
      </c>
      <c r="R43" s="754" t="s">
        <v>28</v>
      </c>
      <c r="S43" s="755">
        <f t="shared" si="12"/>
        <v>100</v>
      </c>
      <c r="T43" s="754" t="s">
        <v>28</v>
      </c>
      <c r="U43" s="755">
        <f t="shared" si="13"/>
        <v>100</v>
      </c>
      <c r="V43" s="754" t="s">
        <v>28</v>
      </c>
      <c r="W43" s="755">
        <f t="shared" si="14"/>
        <v>100</v>
      </c>
      <c r="X43" s="1906"/>
      <c r="Y43" s="3057"/>
      <c r="Z43" s="1908" t="str">
        <f t="shared" si="15"/>
        <v>内部装修维护情况</v>
      </c>
      <c r="AA43" s="1909">
        <f t="shared" si="3"/>
        <v>1</v>
      </c>
      <c r="AB43" s="1909">
        <f t="shared" si="4"/>
        <v>1</v>
      </c>
      <c r="AC43" s="1909">
        <f t="shared" si="5"/>
        <v>1</v>
      </c>
    </row>
    <row r="44" spans="1:29" s="35" customFormat="1" ht="15.75" thickBot="1">
      <c r="A44" s="455"/>
      <c r="B44" s="2720" t="s">
        <v>2826</v>
      </c>
      <c r="C44" s="451">
        <v>1986</v>
      </c>
      <c r="D44" s="52">
        <v>100</v>
      </c>
      <c r="E44" s="451">
        <v>1985</v>
      </c>
      <c r="F44" s="406">
        <f>SUMIF(126:126,E44,127:127)-SUMIF(126:126,C44,127:127)+100</f>
        <v>99.5</v>
      </c>
      <c r="G44" s="451">
        <v>1985</v>
      </c>
      <c r="H44" s="52">
        <f>SUMIF(126:126,G44,127:127)-SUMIF(126:126,C44,127:127)+100</f>
        <v>99.5</v>
      </c>
      <c r="I44" s="451">
        <v>1985</v>
      </c>
      <c r="J44" s="52">
        <f>SUMIF(126:126,I44,127:127)-SUMIF(126:126,C44,127:127)+100</f>
        <v>99.5</v>
      </c>
      <c r="K44" s="2407"/>
      <c r="L44" s="1247"/>
      <c r="M44" s="1248"/>
      <c r="N44" s="1248"/>
      <c r="O44" s="1248"/>
      <c r="P44" s="3055"/>
      <c r="Q44" s="1893" t="str">
        <f t="shared" si="11"/>
        <v>建成年代</v>
      </c>
      <c r="R44" s="750" t="s">
        <v>28</v>
      </c>
      <c r="S44" s="751">
        <f t="shared" si="12"/>
        <v>99.5</v>
      </c>
      <c r="T44" s="750" t="s">
        <v>28</v>
      </c>
      <c r="U44" s="751">
        <f t="shared" si="13"/>
        <v>99.5</v>
      </c>
      <c r="V44" s="750" t="s">
        <v>28</v>
      </c>
      <c r="W44" s="751">
        <f t="shared" si="14"/>
        <v>99.5</v>
      </c>
      <c r="X44" s="752"/>
      <c r="Y44" s="3057"/>
      <c r="Z44" s="23" t="str">
        <f t="shared" si="15"/>
        <v>建成年代</v>
      </c>
      <c r="AA44" s="753">
        <f t="shared" si="3"/>
        <v>1.0050251256281406</v>
      </c>
      <c r="AB44" s="753">
        <f t="shared" si="4"/>
        <v>1.0050251256281406</v>
      </c>
      <c r="AC44" s="753">
        <f t="shared" si="5"/>
        <v>1.0050251256281406</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73788</v>
      </c>
      <c r="F47" s="1507"/>
      <c r="G47" s="1508">
        <v>73611</v>
      </c>
      <c r="H47" s="1509"/>
      <c r="I47" s="1506">
        <v>70230</v>
      </c>
      <c r="J47" s="1509"/>
      <c r="K47" s="2424"/>
      <c r="L47" s="1258"/>
      <c r="M47" s="1259"/>
      <c r="N47" s="1246"/>
      <c r="O47" s="1259"/>
      <c r="P47" s="3064" t="str">
        <f>A47</f>
        <v>成交单价（元/平方米）</v>
      </c>
      <c r="Q47" s="3064"/>
      <c r="R47" s="3065">
        <f>E47</f>
        <v>73788</v>
      </c>
      <c r="S47" s="3065"/>
      <c r="T47" s="3065">
        <f>G47</f>
        <v>73611</v>
      </c>
      <c r="U47" s="3065"/>
      <c r="V47" s="3065">
        <f>I47</f>
        <v>70230</v>
      </c>
      <c r="W47" s="3065"/>
      <c r="X47" s="739"/>
      <c r="Y47" s="761"/>
      <c r="Z47" s="739"/>
      <c r="AA47" s="739"/>
      <c r="AB47" s="739"/>
      <c r="AC47" s="739"/>
    </row>
    <row r="48" spans="1:29" ht="15.75" thickBot="1">
      <c r="A48" s="468" t="s">
        <v>2386</v>
      </c>
      <c r="B48" s="469"/>
      <c r="C48" s="1510">
        <f>R49</f>
        <v>68658</v>
      </c>
      <c r="D48" s="1511"/>
      <c r="E48" s="1512">
        <f>R48</f>
        <v>69530</v>
      </c>
      <c r="F48" s="1512"/>
      <c r="G48" s="1510">
        <f>T48</f>
        <v>69420</v>
      </c>
      <c r="H48" s="1511"/>
      <c r="I48" s="1512">
        <f>V48</f>
        <v>67024</v>
      </c>
      <c r="J48" s="1511"/>
      <c r="K48" s="2425"/>
      <c r="L48" s="1258"/>
      <c r="M48" s="1259"/>
      <c r="N48" s="1259"/>
      <c r="O48" s="1259"/>
      <c r="P48" s="3064" t="str">
        <f>A48</f>
        <v>比较价值（元/平方米）</v>
      </c>
      <c r="Q48" s="3064"/>
      <c r="R48" s="3065">
        <f>IF(E1="售价",ROUND(PRODUCT(R47,AA7:AA46),0),ROUND(PRODUCT(R47,AA7:AA46),1))</f>
        <v>69530</v>
      </c>
      <c r="S48" s="3065"/>
      <c r="T48" s="3068">
        <f>IF(E1="售价",ROUND(PRODUCT(T47,AB7:AB46),0),ROUND(PRODUCT(T47,AB7:AB46),1))</f>
        <v>69420</v>
      </c>
      <c r="U48" s="3069"/>
      <c r="V48" s="3065">
        <f>IF(E1="售价",ROUND(PRODUCT(V47,AC7:AC46),0),ROUND(PRODUCT(V47,AC7:AC46),1))</f>
        <v>67024</v>
      </c>
      <c r="W48" s="3065"/>
      <c r="X48" s="739"/>
      <c r="Y48" s="739"/>
      <c r="Z48" s="739"/>
      <c r="AA48" s="739"/>
      <c r="AB48" s="739"/>
      <c r="AC48" s="739"/>
    </row>
    <row r="49" spans="1:29" ht="15.75" thickBot="1">
      <c r="A49" s="474" t="s">
        <v>2387</v>
      </c>
      <c r="B49" s="475"/>
      <c r="C49" s="1513">
        <f>R49</f>
        <v>68658</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68658</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6.123975262476633E-2</v>
      </c>
      <c r="F52" s="482" t="str">
        <f>IF(OR(E52&gt;=0.3,E52&lt;=-0.3),"超过30%","")</f>
        <v/>
      </c>
      <c r="G52" s="481">
        <f>IF(G47&lt;G48,G48/G47-1,G47/G48-1)</f>
        <v>6.0371650821088974E-2</v>
      </c>
      <c r="H52" s="482" t="str">
        <f>IF(OR(G52&gt;=0.3,G52&lt;=-0.3),"超过30%","")</f>
        <v/>
      </c>
      <c r="I52" s="481">
        <f>IF(I47&lt;I48,I48/I47-1,I47/I48-1)</f>
        <v>4.7833611840534696E-2</v>
      </c>
      <c r="J52" s="482" t="str">
        <f>IF(OR(I52&gt;=0.3,I52&lt;=-0.3),"超过30%","")</f>
        <v/>
      </c>
      <c r="K52" s="1264"/>
      <c r="L52" s="1260"/>
      <c r="M52" s="1259"/>
      <c r="N52" s="1259"/>
      <c r="O52" s="1259"/>
    </row>
    <row r="53" spans="1:29" ht="13.5" customHeight="1">
      <c r="A53" s="1259"/>
      <c r="B53" s="1259"/>
      <c r="C53" s="479" t="s">
        <v>2389</v>
      </c>
      <c r="D53" s="483"/>
      <c r="E53" s="481">
        <f>IF(E48&lt;G48,G48/E48-1,E48/G48-1)</f>
        <v>1.5845577643329722E-3</v>
      </c>
      <c r="F53" s="482" t="str">
        <f>IF(OR(E53&gt;=0.2,E53&lt;=-0.2),"超过20%","")</f>
        <v/>
      </c>
      <c r="G53" s="481">
        <f>IF(G48&lt;I48,I48/G48-1,G48/I48-1)</f>
        <v>3.5748388636906103E-2</v>
      </c>
      <c r="H53" s="482" t="str">
        <f>IF(OR(G53&gt;=0.2,G53&lt;=-0.2),"超过20%","")</f>
        <v/>
      </c>
      <c r="I53" s="481">
        <f>IF(I48&lt;E48,E48/I48-1,I48/E48-1)</f>
        <v>3.7389591788016263E-2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2.404531931369025E-3</v>
      </c>
      <c r="F54" s="482" t="str">
        <f>IF(OR(E54&gt;=0.3,E54&lt;=-0.3),"超过30%","")</f>
        <v/>
      </c>
      <c r="G54" s="481">
        <f>IF(G47&lt;I47,I47/G47-1,G47/I47-1)</f>
        <v>4.8141819735155966E-2</v>
      </c>
      <c r="H54" s="482" t="str">
        <f>IF(OR(G54&gt;=0.3,G54&lt;=-0.3),"超过30%","")</f>
        <v/>
      </c>
      <c r="I54" s="481">
        <f>IF(I47&lt;E47,E47/I47-1,I47/E47-1)</f>
        <v>5.0662110209312328E-2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v>100.5</v>
      </c>
      <c r="E59" s="494">
        <v>100.5</v>
      </c>
      <c r="F59" s="494">
        <v>100.5</v>
      </c>
      <c r="G59" s="494">
        <v>101</v>
      </c>
      <c r="H59" s="494">
        <v>101</v>
      </c>
      <c r="I59" s="494">
        <v>101</v>
      </c>
      <c r="J59" s="494">
        <v>101</v>
      </c>
      <c r="K59" s="494">
        <v>101</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99.85</v>
      </c>
      <c r="E66" s="528">
        <f t="shared" si="17"/>
        <v>99.699999999999989</v>
      </c>
      <c r="F66" s="528">
        <f t="shared" si="17"/>
        <v>99.549999999999983</v>
      </c>
      <c r="G66" s="528">
        <f t="shared" si="17"/>
        <v>99.399999999999977</v>
      </c>
      <c r="H66" s="528">
        <f t="shared" si="17"/>
        <v>99.249999999999972</v>
      </c>
      <c r="I66" s="528">
        <f t="shared" si="17"/>
        <v>99.099999999999966</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2895</v>
      </c>
      <c r="L88" s="2729" t="s">
        <v>2921</v>
      </c>
      <c r="M88" s="2762"/>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2896</v>
      </c>
      <c r="D92" s="2731" t="s">
        <v>2897</v>
      </c>
      <c r="E92" s="2731" t="s">
        <v>2899</v>
      </c>
      <c r="F92" s="2731" t="s">
        <v>2898</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2928</v>
      </c>
      <c r="D94" s="2761" t="s">
        <v>2929</v>
      </c>
      <c r="E94" s="2761" t="s">
        <v>2930</v>
      </c>
      <c r="F94" s="538"/>
      <c r="G94" s="568"/>
      <c r="H94" s="568"/>
      <c r="I94" s="568"/>
      <c r="J94" s="568"/>
      <c r="K94" s="569"/>
      <c r="L94" s="570"/>
      <c r="M94" s="571"/>
      <c r="N94" s="1269"/>
      <c r="O94" s="1269"/>
      <c r="P94" s="2433"/>
      <c r="Q94" s="486"/>
    </row>
    <row r="95" spans="1:17" ht="15.75" thickBot="1">
      <c r="A95" s="517"/>
      <c r="B95" s="527"/>
      <c r="C95" s="545">
        <v>100</v>
      </c>
      <c r="D95" s="545">
        <v>101.5</v>
      </c>
      <c r="E95" s="545">
        <v>100</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60(含)-70</v>
      </c>
      <c r="F102" s="563" t="str">
        <f t="shared" si="23"/>
        <v>70(含)-80</v>
      </c>
      <c r="G102" s="563" t="str">
        <f t="shared" si="23"/>
        <v>80(含)-90</v>
      </c>
      <c r="H102" s="563" t="str">
        <f t="shared" si="23"/>
        <v>90(含)-100</v>
      </c>
      <c r="I102" s="563" t="str">
        <f t="shared" si="23"/>
        <v>100(含)-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70</v>
      </c>
      <c r="G103" s="580">
        <v>80</v>
      </c>
      <c r="H103" s="580">
        <v>90</v>
      </c>
      <c r="I103" s="580">
        <v>100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96.5</v>
      </c>
      <c r="E123" s="528">
        <f t="shared" si="29"/>
        <v>93</v>
      </c>
      <c r="F123" s="528">
        <f t="shared" si="29"/>
        <v>89.5</v>
      </c>
      <c r="G123" s="528">
        <f t="shared" si="29"/>
        <v>86</v>
      </c>
      <c r="H123" s="528">
        <f t="shared" si="29"/>
        <v>82.5</v>
      </c>
      <c r="I123" s="528">
        <f t="shared" si="29"/>
        <v>79</v>
      </c>
      <c r="J123" s="528">
        <f t="shared" si="29"/>
        <v>75.5</v>
      </c>
      <c r="K123" s="528">
        <f t="shared" si="29"/>
        <v>72</v>
      </c>
      <c r="L123" s="528">
        <f t="shared" si="29"/>
        <v>68.5</v>
      </c>
      <c r="M123" s="528">
        <f t="shared" si="29"/>
        <v>65</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1986</v>
      </c>
      <c r="D126" s="538">
        <v>1985</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40" workbookViewId="0">
      <selection activeCell="B134" sqref="B13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80.27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43105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515.00429999999994</v>
      </c>
      <c r="C5" s="1836">
        <f ca="1">ROUND(B5*10000/$B$1,0)</f>
        <v>64159</v>
      </c>
      <c r="D5" s="1836" t="e">
        <f ca="1">ROUND(B5*10000/$B$2,0)</f>
        <v>#DIV/0!</v>
      </c>
      <c r="E5" s="1837"/>
      <c r="F5" s="1841"/>
      <c r="G5" s="1841"/>
    </row>
    <row r="6" spans="1:9" ht="16.5">
      <c r="A6" s="1836" t="s">
        <v>1237</v>
      </c>
      <c r="B6" s="1836">
        <f ca="1">SUM(G14:G23)</f>
        <v>515.00429999999994</v>
      </c>
      <c r="C6" s="1836">
        <f t="shared" ref="C6:C8" ca="1" si="0">ROUND(B6*10000/$B$1,0)</f>
        <v>64159</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80.27</v>
      </c>
      <c r="C14" s="1840">
        <f>项目基本情况!C13</f>
        <v>0</v>
      </c>
      <c r="D14" s="1840">
        <f ca="1">IF('数据-取费表'!B3="万元",IF(A14="估价对象1（结果表）",结果表!H121,'结果表 (1修多)'!H124),IF(A14="估价对象1（结果表）",结果表!H121,'结果表 (1修多)'!H124)/10000)</f>
        <v>515.00429999999994</v>
      </c>
      <c r="E14" s="1840">
        <f ca="1">ROUND(D14*10000/B14,0)</f>
        <v>64159</v>
      </c>
      <c r="F14" s="1840" t="e">
        <f ca="1">ROUND(D14*10000/C14,0)</f>
        <v>#DIV/0!</v>
      </c>
      <c r="G14" s="1840">
        <f ca="1">IF('数据-取费表'!B3="万元",IF(A14="估价对象1（结果表）",结果表!D125,'结果表 (1修多)'!D128),IF(A14="估价对象1（结果表）",结果表!D125,'结果表 (1修多)'!D128)/10000)</f>
        <v>515.00429999999994</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80.27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43105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7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99.75">
      <c r="A23" s="409"/>
      <c r="B23" s="432" t="s">
        <v>1756</v>
      </c>
      <c r="C23" s="2464" t="str">
        <f>估价对象房地状况!C9</f>
        <v>自然环境：柳荫公园、青年湖公园、地坛公园等；人文环境：北京化工大学等，综合评价环境状况较好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80.27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71">
      <c r="A17" s="409"/>
      <c r="B17" s="616" t="s">
        <v>1751</v>
      </c>
      <c r="C17" s="2475" t="str">
        <f>估价对象房地状况!C6</f>
        <v>估价对象紧邻城市次干道——外馆斜街，临近地铁5号线（和平西桥站）；以估价对象为中心半径2公里范围内有18路、75路、108路、113路、119路等多条公交线路，综合评价交通便捷度好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99.75">
      <c r="A23" s="409"/>
      <c r="B23" s="616" t="s">
        <v>2484</v>
      </c>
      <c r="C23" s="2475" t="str">
        <f>估价对象房地状况!C9</f>
        <v>自然环境：柳荫公园、青年湖公园、地坛公园等；人文环境：北京化工大学等，综合评价环境状况较好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2018-1</v>
      </c>
      <c r="D59" s="1685">
        <f>EDATE(C59,-1)</f>
        <v>43070</v>
      </c>
      <c r="E59" s="1685">
        <f t="shared" ref="E59:O59" si="16">EDATE(D59,-1)</f>
        <v>43040</v>
      </c>
      <c r="F59" s="1685">
        <f t="shared" si="16"/>
        <v>43009</v>
      </c>
      <c r="G59" s="1685">
        <f t="shared" si="16"/>
        <v>42979</v>
      </c>
      <c r="H59" s="1685">
        <f t="shared" si="16"/>
        <v>42948</v>
      </c>
      <c r="I59" s="1685">
        <f t="shared" si="16"/>
        <v>42917</v>
      </c>
      <c r="J59" s="1685">
        <f t="shared" si="16"/>
        <v>42887</v>
      </c>
      <c r="K59" s="1685">
        <f t="shared" si="16"/>
        <v>42856</v>
      </c>
      <c r="L59" s="1685">
        <f t="shared" si="16"/>
        <v>42826</v>
      </c>
      <c r="M59" s="1685">
        <f t="shared" si="16"/>
        <v>42795</v>
      </c>
      <c r="N59" s="1685">
        <f t="shared" si="16"/>
        <v>42767</v>
      </c>
      <c r="O59" s="1685">
        <f t="shared" si="16"/>
        <v>42736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2018-1</v>
      </c>
      <c r="D52" s="1685">
        <f>EDATE(C52,-1)</f>
        <v>43070</v>
      </c>
      <c r="E52" s="1686">
        <f t="shared" ref="E52:O52" si="16">EDATE(D52,-1)</f>
        <v>43040</v>
      </c>
      <c r="F52" s="1686">
        <f t="shared" si="16"/>
        <v>43009</v>
      </c>
      <c r="G52" s="1686">
        <f t="shared" si="16"/>
        <v>42979</v>
      </c>
      <c r="H52" s="1686">
        <f t="shared" si="16"/>
        <v>42948</v>
      </c>
      <c r="I52" s="1686">
        <f t="shared" si="16"/>
        <v>42917</v>
      </c>
      <c r="J52" s="1686">
        <f t="shared" si="16"/>
        <v>42887</v>
      </c>
      <c r="K52" s="1686">
        <f t="shared" si="16"/>
        <v>42856</v>
      </c>
      <c r="L52" s="1686">
        <f t="shared" si="16"/>
        <v>42826</v>
      </c>
      <c r="M52" s="1686">
        <f t="shared" si="16"/>
        <v>42795</v>
      </c>
      <c r="N52" s="1686">
        <f t="shared" si="16"/>
        <v>42767</v>
      </c>
      <c r="O52" s="1686">
        <f t="shared" si="16"/>
        <v>42736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80.27</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99.75">
      <c r="A20" s="384"/>
      <c r="B20" s="616" t="s">
        <v>2511</v>
      </c>
      <c r="C20" s="1484" t="str">
        <f>IF(B1="工业",估价对象房地状况!G7,估价对象房地状况!C9)</f>
        <v>自然环境：柳荫公园、青年湖公园、地坛公园等；人文环境：北京化工大学等，综合评价环境状况较好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2018-1</v>
      </c>
      <c r="D48" s="1685">
        <f>EDATE(C48,-1)</f>
        <v>43070</v>
      </c>
      <c r="E48" s="1685">
        <f t="shared" ref="E48:O48" si="16">EDATE(D48,-1)</f>
        <v>43040</v>
      </c>
      <c r="F48" s="1685">
        <f t="shared" si="16"/>
        <v>43009</v>
      </c>
      <c r="G48" s="1685">
        <f t="shared" si="16"/>
        <v>42979</v>
      </c>
      <c r="H48" s="1685">
        <f t="shared" si="16"/>
        <v>42948</v>
      </c>
      <c r="I48" s="1685">
        <f t="shared" si="16"/>
        <v>42917</v>
      </c>
      <c r="J48" s="1685">
        <f t="shared" si="16"/>
        <v>42887</v>
      </c>
      <c r="K48" s="1685">
        <f t="shared" si="16"/>
        <v>42856</v>
      </c>
      <c r="L48" s="1685">
        <f t="shared" si="16"/>
        <v>42826</v>
      </c>
      <c r="M48" s="1685">
        <f t="shared" si="16"/>
        <v>42795</v>
      </c>
      <c r="N48" s="1685">
        <f t="shared" si="16"/>
        <v>42767</v>
      </c>
      <c r="O48" s="1685">
        <f t="shared" si="16"/>
        <v>42736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估价对象为房地产，为所有。根据《不动产权证书》[]，估价对象建筑面积为80.27平方米，（分摊）出让国有建设用地使用权面积为平方米。估价对象用途为。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2018年1月5日（评估专业人员实地查勘之日）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99.75">
      <c r="A20" s="409"/>
      <c r="B20" s="432" t="s">
        <v>2511</v>
      </c>
      <c r="C20" s="2413" t="str">
        <f>IF(B1="工业",估价对象房地状况!G7,估价对象房地状况!C9)</f>
        <v>自然环境：柳荫公园、青年湖公园、地坛公园等；人文环境：北京化工大学等，综合评价环境状况较好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2018-1</v>
      </c>
      <c r="D46" s="1685">
        <f>EDATE(C46,-1)</f>
        <v>43070</v>
      </c>
      <c r="E46" s="1685">
        <f t="shared" ref="E46:O46" si="16">EDATE(D46,-1)</f>
        <v>43040</v>
      </c>
      <c r="F46" s="1685">
        <f t="shared" si="16"/>
        <v>43009</v>
      </c>
      <c r="G46" s="1685">
        <f t="shared" si="16"/>
        <v>42979</v>
      </c>
      <c r="H46" s="1685">
        <f t="shared" si="16"/>
        <v>42948</v>
      </c>
      <c r="I46" s="1685">
        <f t="shared" si="16"/>
        <v>42917</v>
      </c>
      <c r="J46" s="1685">
        <f t="shared" si="16"/>
        <v>42887</v>
      </c>
      <c r="K46" s="1685">
        <f t="shared" si="16"/>
        <v>42856</v>
      </c>
      <c r="L46" s="1685">
        <f t="shared" si="16"/>
        <v>42826</v>
      </c>
      <c r="M46" s="1685">
        <f t="shared" si="16"/>
        <v>42795</v>
      </c>
      <c r="N46" s="1685">
        <f t="shared" si="16"/>
        <v>42767</v>
      </c>
      <c r="O46" s="1685">
        <f t="shared" si="16"/>
        <v>42736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43105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115</v>
      </c>
      <c r="G10" s="445"/>
      <c r="H10" s="52">
        <f>ROUND(100/'数据-取费表'!B14,0)</f>
        <v>115</v>
      </c>
      <c r="I10" s="445"/>
      <c r="J10" s="52">
        <f>ROUND(100/'数据-取费表'!B14,0)</f>
        <v>115</v>
      </c>
      <c r="K10" s="656"/>
      <c r="L10" s="1250"/>
      <c r="M10" s="1251"/>
      <c r="N10" s="1251"/>
      <c r="O10" s="1252"/>
      <c r="P10" s="3064"/>
      <c r="Q10" s="1893" t="str">
        <f t="shared" si="6"/>
        <v>土地使用年限（年）</v>
      </c>
      <c r="R10" s="750" t="s">
        <v>25</v>
      </c>
      <c r="S10" s="751">
        <f t="shared" si="0"/>
        <v>115</v>
      </c>
      <c r="T10" s="750" t="s">
        <v>25</v>
      </c>
      <c r="U10" s="751">
        <f t="shared" si="1"/>
        <v>115</v>
      </c>
      <c r="V10" s="750" t="s">
        <v>25</v>
      </c>
      <c r="W10" s="751">
        <f t="shared" si="2"/>
        <v>115</v>
      </c>
      <c r="X10" s="752"/>
      <c r="Y10" s="2875"/>
      <c r="Z10" s="23" t="str">
        <f t="shared" si="7"/>
        <v>土地使用年限（年）</v>
      </c>
      <c r="AA10" s="753">
        <f t="shared" si="3"/>
        <v>0.86956521739130432</v>
      </c>
      <c r="AB10" s="753">
        <f t="shared" si="4"/>
        <v>0.86956521739130432</v>
      </c>
      <c r="AC10" s="753">
        <f t="shared" si="5"/>
        <v>0.86956521739130432</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56.75">
      <c r="A15" s="381" t="s">
        <v>2366</v>
      </c>
      <c r="B15" s="1489" t="s">
        <v>1742</v>
      </c>
      <c r="C15" s="2474" t="str">
        <f>估价对象房地状况!C15</f>
        <v>估价对象周边有安贞里小区、和平里小区、胜古家园、小黄庄小区、青年湖东里、裕中东里等居住小区，小区规模和社区发展完善程度较好，综合评价居住社区成熟度好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71">
      <c r="A21" s="384"/>
      <c r="B21" s="1491" t="s">
        <v>2510</v>
      </c>
      <c r="C21" s="2475" t="str">
        <f>估价对象房地状况!C18</f>
        <v>估价对象紧邻城市次干道——外馆斜街，临近地铁5号线（和平西桥站）；以估价对象为中心半径2公里范围内有18路、75路、108路、113路、119路等多条公交线路，综合评价交通便捷度好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99.75">
      <c r="A25" s="384"/>
      <c r="B25" s="1493" t="s">
        <v>2551</v>
      </c>
      <c r="C25" s="2492" t="str">
        <f>估价对象房地状况!C20</f>
        <v>自然环境：柳荫公园、青年湖公园、地坛公园等；人文环境：北京化工大学等，综合评价环境状况较好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2018-1-1</v>
      </c>
      <c r="D68" s="1676">
        <f>EDATE(C68,-3)</f>
        <v>43009</v>
      </c>
      <c r="E68" s="1676">
        <f t="shared" ref="E68:O68" si="18">EDATE(D68,-3)</f>
        <v>42917</v>
      </c>
      <c r="F68" s="1676">
        <f t="shared" si="18"/>
        <v>42826</v>
      </c>
      <c r="G68" s="1676">
        <f t="shared" si="18"/>
        <v>42736</v>
      </c>
      <c r="H68" s="1676">
        <f t="shared" si="18"/>
        <v>42644</v>
      </c>
      <c r="I68" s="1676">
        <f t="shared" si="18"/>
        <v>42552</v>
      </c>
      <c r="J68" s="1676">
        <f t="shared" si="18"/>
        <v>42461</v>
      </c>
      <c r="K68" s="1676">
        <f t="shared" si="18"/>
        <v>42370</v>
      </c>
      <c r="L68" s="1676">
        <f t="shared" si="18"/>
        <v>42278</v>
      </c>
      <c r="M68" s="1676">
        <f t="shared" si="18"/>
        <v>42186</v>
      </c>
      <c r="N68" s="1676">
        <f t="shared" si="18"/>
        <v>42095</v>
      </c>
      <c r="O68" s="1676">
        <f t="shared" si="18"/>
        <v>42005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43105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115</v>
      </c>
      <c r="G10" s="413"/>
      <c r="H10" s="52">
        <f>ROUND(100/'数据-取费表'!B14,0)</f>
        <v>115</v>
      </c>
      <c r="I10" s="413"/>
      <c r="J10" s="52">
        <f>ROUND(100/'数据-取费表'!B14,0)</f>
        <v>115</v>
      </c>
      <c r="K10" s="656"/>
      <c r="L10" s="1250"/>
      <c r="M10" s="1251"/>
      <c r="N10" s="1251"/>
      <c r="O10" s="1252"/>
      <c r="P10" s="3064"/>
      <c r="Q10" s="1893" t="str">
        <f t="shared" si="6"/>
        <v>土地使用年限（年）</v>
      </c>
      <c r="R10" s="750" t="s">
        <v>25</v>
      </c>
      <c r="S10" s="751">
        <f t="shared" si="0"/>
        <v>115</v>
      </c>
      <c r="T10" s="750" t="s">
        <v>25</v>
      </c>
      <c r="U10" s="751">
        <f t="shared" si="1"/>
        <v>115</v>
      </c>
      <c r="V10" s="750" t="s">
        <v>25</v>
      </c>
      <c r="W10" s="751">
        <f t="shared" si="2"/>
        <v>115</v>
      </c>
      <c r="X10" s="752"/>
      <c r="Y10" s="2875"/>
      <c r="Z10" s="23" t="str">
        <f t="shared" si="7"/>
        <v>土地使用年限（年）</v>
      </c>
      <c r="AA10" s="753">
        <f t="shared" si="3"/>
        <v>0.86956521739130432</v>
      </c>
      <c r="AB10" s="753">
        <f t="shared" si="4"/>
        <v>0.86956521739130432</v>
      </c>
      <c r="AC10" s="753">
        <f t="shared" si="5"/>
        <v>0.86956521739130432</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2018-1-1</v>
      </c>
      <c r="D63" s="1676">
        <f>EDATE(C63,-3)</f>
        <v>43009</v>
      </c>
      <c r="E63" s="1676">
        <f t="shared" ref="E63:O63" si="18">EDATE(D63,-3)</f>
        <v>42917</v>
      </c>
      <c r="F63" s="1676">
        <f t="shared" si="18"/>
        <v>42826</v>
      </c>
      <c r="G63" s="1676">
        <f t="shared" si="18"/>
        <v>42736</v>
      </c>
      <c r="H63" s="1676">
        <f t="shared" si="18"/>
        <v>42644</v>
      </c>
      <c r="I63" s="1676">
        <f t="shared" si="18"/>
        <v>42552</v>
      </c>
      <c r="J63" s="1676">
        <f t="shared" si="18"/>
        <v>42461</v>
      </c>
      <c r="K63" s="1676">
        <f t="shared" si="18"/>
        <v>42370</v>
      </c>
      <c r="L63" s="1676">
        <f t="shared" si="18"/>
        <v>42278</v>
      </c>
      <c r="M63" s="1676">
        <f t="shared" si="18"/>
        <v>42186</v>
      </c>
      <c r="N63" s="1676">
        <f t="shared" si="18"/>
        <v>42095</v>
      </c>
      <c r="O63" s="1676">
        <f t="shared" si="18"/>
        <v>42005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43105</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42.5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估价对象紧邻城市次干道——外馆斜街，临近地铁5号线（和平西桥站）；以估价对象为中心半径2公里范围内有18路、75路、108路、113路、119路等多条公交线路，综合评价交通便捷度好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城市次干道——外馆斜街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自然环境：柳荫公园、青年湖公园、地坛公园等；人文环境：北京化工大学等，综合评价环境状况较好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估价对象紧邻城市次干道——外馆斜街，临近地铁5号线（和平西桥站）；以估价对象为中心半径2公里范围内有18路、75路、108路、113路、119路等多条公交线路，综合评价交通便捷度好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城市次干道——外馆斜街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自然环境：柳荫公园、青年湖公园、地坛公园等；人文环境：北京化工大学等，综合评价环境状况较好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估价对象周边有安贞里小区、和平里小区、胜古家园、小黄庄小区、青年湖东里、裕中东里等居住小区，小区规模和社区发展完善程度较好，综合评价居住社区成熟度好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估价对象紧邻城市次干道——外馆斜街，临近地铁5号线（和平西桥站）；以估价对象为中心半径2公里范围内有18路、75路、108路、113路、119路等多条公交线路，综合评价交通便捷度好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城市次干道——外馆斜街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自然环境：柳荫公园、青年湖公园、地坛公园等；人文环境：北京化工大学等，综合评价环境状况较好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估价对象紧邻城市次干道——外馆斜街，临近地铁5号线（和平西桥站）；以估价对象为中心半径2公里范围内有18路、75路、108路、113路、119路等多条公交线路，综合评价交通便捷度好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城市次干道——外馆斜街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自然环境：柳荫公园、青年湖公园、地坛公园等；人文环境：北京化工大学等，综合评价环境状况较好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估价对象紧邻城市次干道——外馆斜街，临近地铁5号线（和平西桥站）；以估价对象为中心半径2公里范围内有18路、75路、108路、113路、119路等多条公交线路，综合评价交通便捷度好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城市次干道——外馆斜街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自然环境：柳荫公园、青年湖公园、地坛公园等；人文环境：北京化工大学等，综合评价环境状况较好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估价对象周边有安贞里小区、和平里小区、胜古家园、小黄庄小区、青年湖东里、裕中东里等居住小区，小区规模和社区发展完善程度较好，综合评价居住社区成熟度好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估价对象紧邻城市次干道——外馆斜街，临近地铁5号线（和平西桥站）；以估价对象为中心半径2公里范围内有18路、75路、108路、113路、119路等多条公交线路，综合评价交通便捷度好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城市次干道——外馆斜街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自然环境：柳荫公园、青年湖公园、地坛公园等；人文环境：北京化工大学等，综合评价环境状况较好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80.27</v>
      </c>
      <c r="D6" s="2769"/>
      <c r="E6" s="1933"/>
    </row>
    <row r="7" spans="1:5" ht="14.25">
      <c r="A7" s="1933"/>
      <c r="B7" s="2763" t="s">
        <v>785</v>
      </c>
      <c r="C7" s="1939" t="str">
        <f>IF('数据-取费表'!B3="万元","总价（万元）","总价（元）")</f>
        <v>总价（元）</v>
      </c>
      <c r="D7" s="1940">
        <f ca="1">IF('数据-取费表'!E3="否",结果表!I102,'结果表 (1修多)'!I103)</f>
        <v>5150043</v>
      </c>
      <c r="E7" s="1933"/>
    </row>
    <row r="8" spans="1:5" ht="28.5">
      <c r="A8" s="1933"/>
      <c r="B8" s="2763"/>
      <c r="C8" s="1941" t="s">
        <v>1179</v>
      </c>
      <c r="D8" s="1942" t="str">
        <f ca="1">IF('数据-取费表'!B3="万元",NUMBERSTRING(INT(D7*10000),2)&amp;"元整",NUMBERSTRING(INT(D7),2)&amp;"元整")</f>
        <v>伍佰壹拾伍万零肆拾叁元整</v>
      </c>
      <c r="E8" s="1933"/>
    </row>
    <row r="9" spans="1:5" ht="14.25">
      <c r="A9" s="1933"/>
      <c r="B9" s="2763"/>
      <c r="C9" s="1943" t="s">
        <v>1277</v>
      </c>
      <c r="D9" s="1940">
        <f ca="1">IF('数据-取费表'!E3="否",结果表!I103,'结果表 (1修多)'!I104)</f>
        <v>64159</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5150043</v>
      </c>
      <c r="E15" s="1933"/>
    </row>
    <row r="16" spans="1:5" ht="28.5">
      <c r="A16" s="1933"/>
      <c r="B16" s="2770"/>
      <c r="C16" s="1941" t="s">
        <v>1179</v>
      </c>
      <c r="D16" s="1940" t="str">
        <f ca="1">IF('数据-取费表'!B3="万元",NUMBERSTRING(INT(D15*10000),2)&amp;"元整",NUMBERSTRING(INT(D15),2)&amp;"元整")</f>
        <v>伍佰壹拾伍万零肆拾叁元整</v>
      </c>
      <c r="E16" s="1933"/>
    </row>
    <row r="17" spans="1:5" ht="14.25">
      <c r="A17" s="1933"/>
      <c r="B17" s="2770"/>
      <c r="C17" s="1943" t="s">
        <v>1277</v>
      </c>
      <c r="D17" s="1940">
        <f ca="1">IF('数据-取费表'!E3="否",结果表!I111,'结果表 (1修多)'!I112)</f>
        <v>64159</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5150043</v>
      </c>
      <c r="E28" s="1933"/>
    </row>
    <row r="29" spans="1:5" ht="28.5">
      <c r="A29" s="1933"/>
      <c r="B29" s="2772"/>
      <c r="C29" s="1952" t="s">
        <v>1179</v>
      </c>
      <c r="D29" s="1953" t="str">
        <f ca="1">IF('数据-取费表'!B3="万元",NUMBERSTRING(INT(D28*10000),2)&amp;"元整",NUMBERSTRING(INT(D28),2)&amp;"元整")</f>
        <v>伍佰壹拾伍万零肆拾叁元整</v>
      </c>
      <c r="E29" s="1933"/>
    </row>
    <row r="30" spans="1:5" ht="14.25">
      <c r="A30" s="1933"/>
      <c r="B30" s="2773"/>
      <c r="C30" s="1943" t="s">
        <v>1182</v>
      </c>
      <c r="D30" s="1954">
        <f ca="1">IF('数据-取费表'!E3="否",结果表!I103,'结果表 (1修多)'!I104)</f>
        <v>64159</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5150043</v>
      </c>
      <c r="E36" s="1933"/>
    </row>
    <row r="37" spans="1:5" ht="28.5">
      <c r="A37" s="1933"/>
      <c r="B37" s="2774"/>
      <c r="C37" s="1952" t="s">
        <v>1179</v>
      </c>
      <c r="D37" s="1957" t="str">
        <f ca="1">IF('数据-取费表'!B3="万元",NUMBERSTRING(INT(D36*10000),2)&amp;"元整",NUMBERSTRING(INT(D36),2)&amp;"元整")</f>
        <v>伍佰壹拾伍万零肆拾叁元整</v>
      </c>
      <c r="E37" s="1933"/>
    </row>
    <row r="38" spans="1:5" ht="14.25">
      <c r="A38" s="1933"/>
      <c r="B38" s="2774"/>
      <c r="C38" s="1943" t="s">
        <v>1183</v>
      </c>
      <c r="D38" s="1954">
        <f ca="1">IF('数据-取费表'!E3="否",结果表!D113,'结果表 (1修多)'!D116)</f>
        <v>64159</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43105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80.27</v>
      </c>
      <c r="C4" s="1050">
        <f>结果表!C121</f>
        <v>0</v>
      </c>
      <c r="D4" s="1050">
        <f ca="1">IF('数据-取费表'!E3="否",结果表!D121,'结果表 (1修多)'!D124)</f>
        <v>4877125</v>
      </c>
      <c r="E4" s="1050">
        <f ca="1">IF('数据-取费表'!E3="否",结果表!E121,'结果表 (1修多)'!E124)</f>
        <v>60759</v>
      </c>
      <c r="F4" s="1050">
        <f ca="1">IF('数据-取费表'!E3="否",结果表!F121,'结果表 (1修多)'!F124)</f>
        <v>272918</v>
      </c>
      <c r="G4" s="1050">
        <f ca="1">IF('数据-取费表'!E3="否",结果表!G121,'结果表 (1修多)'!G124)</f>
        <v>3400</v>
      </c>
      <c r="H4" s="1050">
        <f ca="1">IF('数据-取费表'!E3="否",结果表!H121,'结果表 (1修多)'!H124)</f>
        <v>5150043</v>
      </c>
      <c r="I4" s="1050">
        <f ca="1">IF('数据-取费表'!E3="否",结果表!I121,'结果表 (1修多)'!I124)</f>
        <v>64159</v>
      </c>
    </row>
    <row r="5" spans="1:9" ht="15">
      <c r="A5" s="2788" t="s">
        <v>1287</v>
      </c>
      <c r="B5" s="2788"/>
      <c r="C5" s="2788"/>
      <c r="D5" s="2786" t="str">
        <f ca="1">IF('数据-取费表'!E3="否",结果表!D122,'结果表 (1修多)'!D125)</f>
        <v>肆佰捌拾柒万柒仟壹佰贰拾伍元整</v>
      </c>
      <c r="E5" s="2786"/>
      <c r="F5" s="2786" t="str">
        <f ca="1">IF('数据-取费表'!E3="否",结果表!F122,'结果表 (1修多)'!F125)</f>
        <v>贰拾柒万贰仟玖佰壹拾捌元整</v>
      </c>
      <c r="G5" s="2786"/>
      <c r="H5" s="2786" t="str">
        <f ca="1">IF('数据-取费表'!E3="否",结果表!H122,'结果表 (1修多)'!H125)</f>
        <v>伍佰壹拾伍万零肆拾叁元整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5150043</v>
      </c>
      <c r="E8" s="2787"/>
      <c r="F8" s="2787"/>
      <c r="G8" s="2787"/>
      <c r="H8" s="2787"/>
      <c r="I8" s="2787"/>
    </row>
    <row r="9" spans="1:9" ht="15">
      <c r="A9" s="2788" t="s">
        <v>1287</v>
      </c>
      <c r="B9" s="2788"/>
      <c r="C9" s="2788"/>
      <c r="D9" s="2786">
        <f ca="1">IF('数据-取费表'!E3="否",结果表!D126,'结果表 (1修多)'!D129)</f>
        <v>64159</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43124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2018-01-24T06:26:40Z</dcterms:modified>
</cp:coreProperties>
</file>